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13_ncr:1_{58093C7E-A687-4F38-8DB0-49CC41E9F4C8}" xr6:coauthVersionLast="43" xr6:coauthVersionMax="43" xr10:uidLastSave="{00000000-0000-0000-0000-000000000000}"/>
  <bookViews>
    <workbookView xWindow="11190" yWindow="3810" windowWidth="14475" windowHeight="15720" firstSheet="15" activeTab="17" xr2:uid="{5F218C85-7CA4-403B-B31F-CAF13A1A9151}"/>
  </bookViews>
  <sheets>
    <sheet name="#Key Stats#" sheetId="1" r:id="rId1"/>
    <sheet name="#Income Statement#" sheetId="2" r:id="rId2"/>
    <sheet name="#Balance Sheet#" sheetId="3" r:id="rId3"/>
    <sheet name="#Cash Flow#" sheetId="4" r:id="rId4"/>
    <sheet name="#Consolidated Cash Flows#" sheetId="22" r:id="rId5"/>
    <sheet name="#Ratios#" sheetId="5" r:id="rId6"/>
    <sheet name="%First Pro Forma%" sheetId="7" r:id="rId7"/>
    <sheet name="^Profit and Loss^" sheetId="9" r:id="rId8"/>
    <sheet name="Consolidated Statement of CF" sheetId="10" r:id="rId9"/>
    <sheet name="^Analysis of Sales^" sheetId="12" r:id="rId10"/>
    <sheet name="^NWC Analysis^" sheetId="13" r:id="rId11"/>
    <sheet name="^Operating Costs^" sheetId="14" r:id="rId12"/>
    <sheet name="^Analysis of Fixed Assets^" sheetId="15" r:id="rId13"/>
    <sheet name="^Div and DPS as CAGR^" sheetId="16" r:id="rId14"/>
    <sheet name="^Other Liabilities and Pensions" sheetId="17" r:id="rId15"/>
    <sheet name="^Tax Rate^" sheetId="18" r:id="rId16"/>
    <sheet name="^Various Plugs vs Sales^" sheetId="19" r:id="rId17"/>
    <sheet name="Pro Forma" sheetId="21" r:id="rId18"/>
  </sheets>
  <definedNames>
    <definedName name="_xlnm.Print_Titles" localSheetId="2">'#Balance Sheet#'!$1:$3</definedName>
    <definedName name="_xlnm.Print_Titles" localSheetId="3">'#Cash Flow#'!$1:$3</definedName>
    <definedName name="_xlnm.Print_Titles" localSheetId="1">'#Income Statement#'!$1:$3</definedName>
    <definedName name="_xlnm.Print_Titles" localSheetId="0">'#Key Stats#'!$1:$3</definedName>
    <definedName name="_xlnm.Print_Titles" localSheetId="5">'#Ratios#'!$1:$3</definedName>
  </definedNames>
  <calcPr calcId="191029" concurrentCalc="0"/>
  <fileRecoveryPr autoRecover="0"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72" i="21" l="1"/>
  <c r="G73" i="21"/>
  <c r="B75" i="21"/>
  <c r="B77" i="21"/>
  <c r="B79" i="21"/>
  <c r="B81" i="21"/>
  <c r="B80" i="21"/>
  <c r="G64" i="21"/>
  <c r="F64" i="21"/>
  <c r="E64" i="21"/>
  <c r="D64" i="21"/>
  <c r="G62" i="21"/>
  <c r="F62" i="21"/>
  <c r="E62" i="21"/>
  <c r="D62" i="21"/>
  <c r="C64" i="21"/>
  <c r="C60" i="21"/>
  <c r="C62" i="21"/>
  <c r="D63" i="21"/>
  <c r="E63" i="21"/>
  <c r="F63" i="21"/>
  <c r="G63" i="21"/>
  <c r="C63" i="21"/>
  <c r="B37" i="21"/>
  <c r="B35" i="21"/>
  <c r="C61" i="21"/>
  <c r="C49" i="21"/>
  <c r="D49" i="21"/>
  <c r="E49" i="21"/>
  <c r="F49" i="21"/>
  <c r="G49" i="21"/>
  <c r="C50" i="21"/>
  <c r="D50" i="21"/>
  <c r="E50" i="21"/>
  <c r="F50" i="21"/>
  <c r="G50" i="21"/>
  <c r="B49" i="21"/>
  <c r="B50" i="21"/>
  <c r="G23" i="21"/>
  <c r="F23" i="21"/>
  <c r="E23" i="21"/>
  <c r="D23" i="21"/>
  <c r="C23" i="21"/>
  <c r="B23" i="21"/>
  <c r="B46" i="21"/>
  <c r="B51" i="21"/>
  <c r="B48" i="21"/>
  <c r="B47" i="21"/>
  <c r="B45" i="21"/>
  <c r="B31" i="21"/>
  <c r="B42" i="21"/>
  <c r="B41" i="21"/>
  <c r="B40" i="21"/>
  <c r="B30" i="21"/>
  <c r="B22" i="21"/>
  <c r="B20" i="21"/>
  <c r="B15" i="21"/>
  <c r="B14" i="21"/>
  <c r="B12" i="21"/>
  <c r="B8" i="21"/>
  <c r="B4" i="13"/>
  <c r="C4" i="13"/>
  <c r="D4" i="13"/>
  <c r="E4" i="13"/>
  <c r="F4" i="13"/>
  <c r="B3" i="13"/>
  <c r="C3" i="13"/>
  <c r="D3" i="13"/>
  <c r="E3" i="13"/>
  <c r="F3" i="13"/>
  <c r="B10" i="15"/>
  <c r="C10" i="15"/>
  <c r="D10" i="15"/>
  <c r="E10" i="15"/>
  <c r="B3" i="15"/>
  <c r="C3" i="15"/>
  <c r="D3" i="15"/>
  <c r="E3" i="15"/>
  <c r="F10" i="15"/>
  <c r="F3" i="15"/>
  <c r="B6" i="17"/>
  <c r="B3" i="17"/>
  <c r="C3" i="17"/>
  <c r="D3" i="17"/>
  <c r="E3" i="17"/>
  <c r="F3" i="17"/>
  <c r="B9" i="19"/>
  <c r="C9" i="19"/>
  <c r="D9" i="19"/>
  <c r="E9" i="19"/>
  <c r="F9" i="19"/>
  <c r="B7" i="19"/>
  <c r="C7" i="19"/>
  <c r="D7" i="19"/>
  <c r="E7" i="19"/>
  <c r="F7" i="19"/>
  <c r="J43" i="3"/>
  <c r="K43" i="3"/>
  <c r="L43" i="3"/>
  <c r="M43" i="3"/>
  <c r="I43" i="3"/>
  <c r="J17" i="3"/>
  <c r="K17" i="3"/>
  <c r="L17" i="3"/>
  <c r="M17" i="3"/>
  <c r="I17" i="3"/>
  <c r="B5" i="19"/>
  <c r="C5" i="19"/>
  <c r="D5" i="19"/>
  <c r="E5" i="19"/>
  <c r="F5" i="19"/>
  <c r="B4" i="18"/>
  <c r="B3" i="18"/>
  <c r="B5" i="18"/>
  <c r="C4" i="18"/>
  <c r="C3" i="18"/>
  <c r="C5" i="18"/>
  <c r="D4" i="18"/>
  <c r="D3" i="18"/>
  <c r="D5" i="18"/>
  <c r="E4" i="18"/>
  <c r="E3" i="18"/>
  <c r="E5" i="18"/>
  <c r="F4" i="18"/>
  <c r="F3" i="18"/>
  <c r="F5" i="18"/>
  <c r="B6" i="18"/>
  <c r="B13" i="16"/>
  <c r="D10" i="16"/>
  <c r="E10" i="16"/>
  <c r="F10" i="16"/>
  <c r="C10" i="16"/>
  <c r="B9" i="16"/>
  <c r="C9" i="16"/>
  <c r="D9" i="16"/>
  <c r="E9" i="16"/>
  <c r="F9" i="16"/>
  <c r="B7" i="16"/>
  <c r="B3" i="16"/>
  <c r="C3" i="16"/>
  <c r="D3" i="16"/>
  <c r="E3" i="16"/>
  <c r="F3" i="16"/>
  <c r="B4" i="14"/>
  <c r="C4" i="14"/>
  <c r="D4" i="14"/>
  <c r="E4" i="14"/>
  <c r="F4" i="14"/>
  <c r="B22" i="9"/>
  <c r="C22" i="9"/>
  <c r="D22" i="9"/>
  <c r="E22" i="9"/>
  <c r="B18" i="9"/>
  <c r="C18" i="9"/>
  <c r="D18" i="9"/>
  <c r="E18" i="9"/>
  <c r="B17" i="9"/>
  <c r="C17" i="9"/>
  <c r="D17" i="9"/>
  <c r="E17" i="9"/>
  <c r="B4" i="9"/>
  <c r="C4" i="9"/>
  <c r="D4" i="9"/>
  <c r="E4" i="9"/>
  <c r="B3" i="9"/>
  <c r="C3" i="9"/>
  <c r="D3" i="9"/>
  <c r="E3" i="9"/>
  <c r="B5" i="9"/>
  <c r="B15" i="9"/>
  <c r="C5" i="9"/>
  <c r="C15" i="9"/>
  <c r="D5" i="9"/>
  <c r="D15" i="9"/>
  <c r="E5" i="9"/>
  <c r="E15" i="9"/>
  <c r="B12" i="9"/>
  <c r="C12" i="9"/>
  <c r="D12" i="9"/>
  <c r="E12" i="9"/>
  <c r="B11" i="9"/>
  <c r="C11" i="9"/>
  <c r="D11" i="9"/>
  <c r="E11" i="9"/>
  <c r="B10" i="9"/>
  <c r="C10" i="9"/>
  <c r="D10" i="9"/>
  <c r="E10" i="9"/>
  <c r="B9" i="9"/>
  <c r="C9" i="9"/>
  <c r="D9" i="9"/>
  <c r="E9" i="9"/>
  <c r="F9" i="9"/>
  <c r="B8" i="9"/>
  <c r="C8" i="9"/>
  <c r="D8" i="9"/>
  <c r="E8" i="9"/>
  <c r="E13" i="9"/>
  <c r="E3" i="14"/>
  <c r="B7" i="12"/>
  <c r="C7" i="12"/>
  <c r="D7" i="12"/>
  <c r="E7" i="12"/>
  <c r="D13" i="9"/>
  <c r="D3" i="14"/>
  <c r="C13" i="9"/>
  <c r="C3" i="14"/>
  <c r="B13" i="9"/>
  <c r="B3" i="14"/>
  <c r="F8" i="9"/>
  <c r="F10" i="9"/>
  <c r="F11" i="9"/>
  <c r="F12" i="9"/>
  <c r="F13" i="9"/>
  <c r="F3" i="14"/>
  <c r="F3" i="9"/>
  <c r="B3" i="12"/>
  <c r="C3" i="12"/>
  <c r="D3" i="12"/>
  <c r="B17" i="12"/>
  <c r="B5" i="12"/>
  <c r="C5" i="12"/>
  <c r="D5" i="12"/>
  <c r="B4" i="12"/>
  <c r="C4" i="12"/>
  <c r="D4" i="12"/>
  <c r="E5" i="12"/>
  <c r="B6" i="12"/>
  <c r="C6" i="12"/>
  <c r="D6" i="12"/>
  <c r="E6" i="12"/>
  <c r="E4" i="12"/>
  <c r="F22" i="9"/>
  <c r="F4" i="9"/>
  <c r="F5" i="9"/>
  <c r="F15" i="9"/>
  <c r="F17" i="9"/>
  <c r="F20" i="9"/>
  <c r="F50" i="10"/>
  <c r="B66" i="2"/>
  <c r="C66" i="2"/>
  <c r="D66" i="2"/>
  <c r="E66" i="2"/>
  <c r="F66" i="2"/>
  <c r="B20" i="9"/>
  <c r="B23" i="9"/>
  <c r="B27" i="9"/>
  <c r="C20" i="9"/>
  <c r="C23" i="9"/>
  <c r="C27" i="9"/>
  <c r="D20" i="9"/>
  <c r="D23" i="9"/>
  <c r="D27" i="9"/>
  <c r="E20" i="9"/>
  <c r="E23" i="9"/>
  <c r="E27" i="9"/>
  <c r="F23" i="9"/>
  <c r="F27" i="9"/>
  <c r="F18" i="9"/>
  <c r="A90" i="21"/>
  <c r="B19" i="21"/>
  <c r="B78" i="21"/>
  <c r="B76" i="21"/>
  <c r="B13" i="19"/>
  <c r="B11" i="21"/>
  <c r="F3" i="19"/>
  <c r="F6" i="19"/>
  <c r="B12" i="19"/>
  <c r="B10" i="21"/>
  <c r="B33" i="21"/>
  <c r="C33" i="21"/>
  <c r="D33" i="21"/>
  <c r="E33" i="21"/>
  <c r="F33" i="21"/>
  <c r="G33" i="21"/>
  <c r="B34" i="21"/>
  <c r="C34" i="21"/>
  <c r="D34" i="21"/>
  <c r="E34" i="21"/>
  <c r="F34" i="21"/>
  <c r="G34" i="21"/>
  <c r="B9" i="15"/>
  <c r="B11" i="15"/>
  <c r="B13" i="15"/>
  <c r="B15" i="15"/>
  <c r="C9" i="15"/>
  <c r="C11" i="15"/>
  <c r="C13" i="15"/>
  <c r="C15" i="15"/>
  <c r="D9" i="15"/>
  <c r="D11" i="15"/>
  <c r="D13" i="15"/>
  <c r="D15" i="15"/>
  <c r="E9" i="15"/>
  <c r="E11" i="15"/>
  <c r="E13" i="15"/>
  <c r="E15" i="15"/>
  <c r="F9" i="15"/>
  <c r="F11" i="15"/>
  <c r="F13" i="15"/>
  <c r="F15" i="15"/>
  <c r="B5" i="21"/>
  <c r="B7" i="13"/>
  <c r="B4" i="21"/>
  <c r="B6" i="13"/>
  <c r="B3" i="21"/>
  <c r="B36" i="21"/>
  <c r="B52" i="21"/>
  <c r="C47" i="21"/>
  <c r="D47" i="21"/>
  <c r="E47" i="21"/>
  <c r="F47" i="21"/>
  <c r="G47" i="21"/>
  <c r="B9" i="21"/>
  <c r="C42" i="21"/>
  <c r="D42" i="21"/>
  <c r="E42" i="21"/>
  <c r="F42" i="21"/>
  <c r="G42" i="21"/>
  <c r="C41" i="21"/>
  <c r="D41" i="21"/>
  <c r="E41" i="21"/>
  <c r="F41" i="21"/>
  <c r="G41" i="21"/>
  <c r="C40" i="21"/>
  <c r="D40" i="21"/>
  <c r="E40" i="21"/>
  <c r="F40" i="21"/>
  <c r="G40" i="21"/>
  <c r="B26" i="21"/>
  <c r="C26" i="21"/>
  <c r="D26" i="21"/>
  <c r="E26" i="21"/>
  <c r="F26" i="21"/>
  <c r="G26" i="21"/>
  <c r="B24" i="21"/>
  <c r="B25" i="21"/>
  <c r="F5" i="14"/>
  <c r="F6" i="14"/>
  <c r="F7" i="14"/>
  <c r="B6" i="21"/>
  <c r="F8" i="19"/>
  <c r="E3" i="19"/>
  <c r="E8" i="19"/>
  <c r="D3" i="19"/>
  <c r="D8" i="19"/>
  <c r="C3" i="19"/>
  <c r="C8" i="19"/>
  <c r="B3" i="19"/>
  <c r="B8" i="19"/>
  <c r="E6" i="19"/>
  <c r="D6" i="19"/>
  <c r="C6" i="19"/>
  <c r="B6" i="19"/>
  <c r="F4" i="17"/>
  <c r="E4" i="17"/>
  <c r="D4" i="17"/>
  <c r="C4" i="17"/>
  <c r="F4" i="16"/>
  <c r="E4" i="16"/>
  <c r="D4" i="16"/>
  <c r="C4" i="16"/>
  <c r="B17" i="15"/>
  <c r="F16" i="15"/>
  <c r="E16" i="15"/>
  <c r="D16" i="15"/>
  <c r="C16" i="15"/>
  <c r="B16" i="15"/>
  <c r="C28" i="14"/>
  <c r="B5" i="14"/>
  <c r="B6" i="14"/>
  <c r="C5" i="14"/>
  <c r="C6" i="14"/>
  <c r="D5" i="14"/>
  <c r="E5" i="14"/>
  <c r="D6" i="14"/>
  <c r="E6" i="14"/>
  <c r="B28" i="14"/>
  <c r="C27" i="14"/>
  <c r="B27" i="14"/>
  <c r="C26" i="14"/>
  <c r="B26" i="14"/>
  <c r="G7" i="14"/>
  <c r="E7" i="14"/>
  <c r="D7" i="14"/>
  <c r="C7" i="14"/>
  <c r="B7" i="14"/>
  <c r="G6" i="14"/>
  <c r="G5" i="14"/>
  <c r="G4" i="14"/>
  <c r="G3" i="14"/>
  <c r="E50" i="10"/>
  <c r="D50" i="10"/>
  <c r="C50" i="10"/>
  <c r="B50" i="10"/>
  <c r="F49" i="10"/>
  <c r="E49" i="10"/>
  <c r="D49" i="10"/>
  <c r="C49" i="10"/>
  <c r="B49" i="10"/>
  <c r="F47" i="10"/>
  <c r="E47" i="10"/>
  <c r="D47" i="10"/>
  <c r="C47" i="10"/>
  <c r="B47" i="10"/>
  <c r="F30" i="10"/>
  <c r="E30" i="10"/>
  <c r="D30" i="10"/>
  <c r="C30" i="10"/>
  <c r="B30" i="10"/>
  <c r="F16" i="10"/>
  <c r="E16" i="10"/>
  <c r="D16" i="10"/>
  <c r="C16" i="10"/>
  <c r="B16" i="10"/>
  <c r="F30" i="9"/>
  <c r="E30" i="9"/>
  <c r="D30" i="9"/>
  <c r="C30" i="9"/>
  <c r="B30" i="9"/>
  <c r="B38" i="7"/>
  <c r="G30" i="7"/>
  <c r="F30" i="7"/>
  <c r="G20" i="7"/>
  <c r="F20" i="7"/>
  <c r="E20" i="7"/>
  <c r="D20" i="7"/>
  <c r="C20" i="7"/>
  <c r="B37" i="7"/>
  <c r="C30" i="7"/>
  <c r="E30" i="7"/>
  <c r="B15" i="7"/>
  <c r="C15" i="7"/>
  <c r="D15" i="7"/>
  <c r="D32" i="7"/>
  <c r="D30" i="7"/>
  <c r="B31" i="7"/>
  <c r="B27" i="7"/>
  <c r="B11" i="7"/>
  <c r="B10" i="7"/>
  <c r="B19" i="7"/>
  <c r="E15" i="7"/>
  <c r="F15" i="7"/>
  <c r="G15" i="7"/>
  <c r="G16" i="7"/>
  <c r="B28" i="7"/>
  <c r="B32" i="7"/>
  <c r="B33" i="7"/>
  <c r="B35" i="7"/>
  <c r="B36" i="7"/>
  <c r="C36" i="7"/>
  <c r="D36" i="7"/>
  <c r="E36" i="7"/>
  <c r="F36" i="7"/>
  <c r="G36" i="7"/>
  <c r="G17" i="7"/>
  <c r="F35" i="7"/>
  <c r="C37" i="7"/>
  <c r="D37" i="7"/>
  <c r="E37" i="7"/>
  <c r="F37" i="7"/>
  <c r="C16" i="7"/>
  <c r="C17" i="7"/>
  <c r="C35" i="7"/>
  <c r="F16" i="7"/>
  <c r="F17" i="7"/>
  <c r="E35" i="7"/>
  <c r="E16" i="7"/>
  <c r="E17" i="7"/>
  <c r="D35" i="7"/>
  <c r="D16" i="7"/>
  <c r="D17" i="7"/>
  <c r="G48" i="7"/>
  <c r="F48" i="7"/>
  <c r="E48" i="7"/>
  <c r="D48" i="7"/>
  <c r="C48" i="7"/>
  <c r="G32" i="7"/>
  <c r="C32" i="7"/>
  <c r="F32" i="7"/>
  <c r="E32" i="7"/>
  <c r="G35" i="7"/>
  <c r="G46" i="7"/>
  <c r="F46" i="7"/>
  <c r="E46" i="7"/>
  <c r="D46" i="7"/>
  <c r="C46" i="7"/>
  <c r="G28" i="7"/>
  <c r="F28" i="7"/>
  <c r="G45" i="7"/>
  <c r="E28" i="7"/>
  <c r="F45" i="7"/>
  <c r="D28" i="7"/>
  <c r="E45" i="7"/>
  <c r="C28" i="7"/>
  <c r="D45" i="7"/>
  <c r="C45" i="7"/>
  <c r="G37" i="7"/>
  <c r="B39" i="7"/>
  <c r="B30" i="7"/>
  <c r="B16" i="7"/>
  <c r="B17" i="7"/>
  <c r="B18" i="7"/>
  <c r="B20" i="7"/>
  <c r="B21" i="7"/>
  <c r="B22" i="7"/>
  <c r="B23" i="7"/>
  <c r="B24" i="7"/>
  <c r="C19" i="7"/>
  <c r="C44" i="7"/>
  <c r="C31" i="7"/>
  <c r="C47" i="7"/>
  <c r="D19" i="7"/>
  <c r="D44" i="7"/>
  <c r="D31" i="7"/>
  <c r="D47" i="7"/>
  <c r="E19" i="7"/>
  <c r="E31" i="7"/>
  <c r="E47" i="7"/>
  <c r="E44" i="7"/>
  <c r="C21" i="7"/>
  <c r="C22" i="7"/>
  <c r="C23" i="7"/>
  <c r="C24" i="7"/>
  <c r="C38" i="7"/>
  <c r="C39" i="7"/>
  <c r="C27" i="7"/>
  <c r="C33" i="7"/>
  <c r="C18" i="7"/>
  <c r="C49" i="7"/>
  <c r="C43" i="7"/>
  <c r="C50" i="7"/>
  <c r="D21" i="7"/>
  <c r="D22" i="7"/>
  <c r="D23" i="7"/>
  <c r="D24" i="7"/>
  <c r="D38" i="7"/>
  <c r="D39" i="7"/>
  <c r="D27" i="7"/>
  <c r="D43" i="7"/>
  <c r="D18" i="7"/>
  <c r="D49" i="7"/>
  <c r="D50" i="7"/>
  <c r="D33" i="7"/>
  <c r="E21" i="7"/>
  <c r="E22" i="7"/>
  <c r="E23" i="7"/>
  <c r="E24" i="7"/>
  <c r="E38" i="7"/>
  <c r="E39" i="7"/>
  <c r="E27" i="7"/>
  <c r="E43" i="7"/>
  <c r="E18" i="7"/>
  <c r="E49" i="7"/>
  <c r="E50" i="7"/>
  <c r="E33" i="7"/>
  <c r="F21" i="7"/>
  <c r="F22" i="7"/>
  <c r="F23" i="7"/>
  <c r="F24" i="7"/>
  <c r="F38" i="7"/>
  <c r="F39" i="7"/>
  <c r="F27" i="7"/>
  <c r="F33" i="7"/>
  <c r="F18" i="7"/>
  <c r="F49" i="7"/>
  <c r="F43" i="7"/>
  <c r="G21" i="7"/>
  <c r="G22" i="7"/>
  <c r="G43" i="7"/>
  <c r="G23" i="7"/>
  <c r="G24" i="7"/>
  <c r="G38" i="7"/>
  <c r="G39" i="7"/>
  <c r="G27" i="7"/>
  <c r="G18" i="7"/>
  <c r="G49" i="7"/>
  <c r="G33" i="7"/>
  <c r="F47" i="7"/>
  <c r="F19" i="7"/>
  <c r="F31" i="7"/>
  <c r="F44" i="7"/>
  <c r="F50" i="7"/>
  <c r="G19" i="7"/>
  <c r="G44" i="7"/>
  <c r="G47" i="7"/>
  <c r="G50" i="7"/>
  <c r="G31" i="7"/>
  <c r="B18" i="12"/>
  <c r="B19" i="12"/>
  <c r="B2" i="21"/>
  <c r="C19" i="21"/>
  <c r="C37" i="21"/>
  <c r="D19" i="21"/>
  <c r="D37" i="21"/>
  <c r="E19" i="21"/>
  <c r="E37" i="21"/>
  <c r="F19" i="21"/>
  <c r="F37" i="21"/>
  <c r="G19" i="21"/>
  <c r="G37" i="21"/>
  <c r="C20" i="21"/>
  <c r="C30" i="21"/>
  <c r="C31" i="21"/>
  <c r="B7" i="21"/>
  <c r="C39" i="21"/>
  <c r="C43" i="21"/>
  <c r="C46" i="21"/>
  <c r="C21" i="21"/>
  <c r="G20" i="21"/>
  <c r="G30" i="21"/>
  <c r="G31" i="21"/>
  <c r="D39" i="21"/>
  <c r="E39" i="21"/>
  <c r="F39" i="21"/>
  <c r="G39" i="21"/>
  <c r="G43" i="21"/>
  <c r="G46" i="21"/>
  <c r="G21" i="21"/>
  <c r="F20" i="21"/>
  <c r="F30" i="21"/>
  <c r="F31" i="21"/>
  <c r="F43" i="21"/>
  <c r="F46" i="21"/>
  <c r="F21" i="21"/>
  <c r="E20" i="21"/>
  <c r="E30" i="21"/>
  <c r="E31" i="21"/>
  <c r="E43" i="21"/>
  <c r="E46" i="21"/>
  <c r="E21" i="21"/>
  <c r="D20" i="21"/>
  <c r="D30" i="21"/>
  <c r="D31" i="21"/>
  <c r="D43" i="21"/>
  <c r="D46" i="21"/>
  <c r="D21" i="21"/>
  <c r="G45" i="21"/>
  <c r="F45" i="21"/>
  <c r="G61" i="21"/>
  <c r="E45" i="21"/>
  <c r="F61" i="21"/>
  <c r="D45" i="21"/>
  <c r="E61" i="21"/>
  <c r="C45" i="21"/>
  <c r="D61" i="21"/>
  <c r="G60" i="21"/>
  <c r="F60" i="21"/>
  <c r="E60" i="21"/>
  <c r="D60" i="21"/>
  <c r="B21" i="12"/>
  <c r="B22" i="12"/>
  <c r="C24" i="21"/>
  <c r="C25" i="21"/>
  <c r="C27" i="21"/>
  <c r="C51" i="21"/>
  <c r="C48" i="21"/>
  <c r="C52" i="21"/>
  <c r="C57" i="21"/>
  <c r="D24" i="21"/>
  <c r="D25" i="21"/>
  <c r="D57" i="21"/>
  <c r="D27" i="21"/>
  <c r="D51" i="21"/>
  <c r="D48" i="21"/>
  <c r="D52" i="21"/>
  <c r="E24" i="21"/>
  <c r="E25" i="21"/>
  <c r="E27" i="21"/>
  <c r="E51" i="21"/>
  <c r="E48" i="21"/>
  <c r="E52" i="21"/>
  <c r="E57" i="21"/>
  <c r="F24" i="21"/>
  <c r="F25" i="21"/>
  <c r="F57" i="21"/>
  <c r="F27" i="21"/>
  <c r="F51" i="21"/>
  <c r="F48" i="21"/>
  <c r="F52" i="21"/>
  <c r="G24" i="21"/>
  <c r="G25" i="21"/>
  <c r="G27" i="21"/>
  <c r="G51" i="21"/>
  <c r="G48" i="21"/>
  <c r="G52" i="21"/>
  <c r="G57" i="21"/>
  <c r="B43" i="21"/>
  <c r="C71" i="21"/>
  <c r="C73" i="21"/>
  <c r="D71" i="21"/>
  <c r="D73" i="21"/>
  <c r="E71" i="21"/>
  <c r="E73" i="21"/>
  <c r="F71" i="21"/>
  <c r="F73" i="21"/>
  <c r="G71" i="21"/>
  <c r="B85" i="21"/>
  <c r="E35" i="21"/>
  <c r="D35" i="21"/>
  <c r="C22" i="21"/>
  <c r="C58" i="21"/>
  <c r="D22" i="21"/>
  <c r="D58" i="21"/>
  <c r="E22" i="21"/>
  <c r="E58" i="21"/>
  <c r="F22" i="21"/>
  <c r="F58" i="21"/>
  <c r="G58" i="21"/>
  <c r="G22" i="21"/>
  <c r="F35" i="21"/>
  <c r="C35" i="21"/>
  <c r="C36" i="21"/>
  <c r="D36" i="21"/>
  <c r="E36" i="21"/>
  <c r="F36" i="21"/>
  <c r="G36" i="21"/>
  <c r="G35"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286EBCC0-B60D-4D4D-B316-F3D6E442FF0B}">
      <text>
        <r>
          <rPr>
            <b/>
            <sz val="9"/>
            <color indexed="81"/>
            <rFont val="Tahoma"/>
            <family val="2"/>
          </rPr>
          <t>NEEDS to be checked</t>
        </r>
        <r>
          <rPr>
            <sz val="9"/>
            <color indexed="81"/>
            <rFont val="Tahoma"/>
            <family val="2"/>
          </rPr>
          <t xml:space="preserve">
</t>
        </r>
      </text>
    </comment>
    <comment ref="A7" authorId="0" shapeId="0" xr:uid="{4DB80021-6F17-4383-B9C9-F17B09B693E5}">
      <text>
        <r>
          <rPr>
            <b/>
            <sz val="9"/>
            <color indexed="81"/>
            <rFont val="Tahoma"/>
            <family val="2"/>
          </rPr>
          <t>NEEDS to be checked</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1" authorId="0" shapeId="0" xr:uid="{8C12D9C4-66DE-494D-AB00-15E6FFB00D63}">
      <text>
        <r>
          <rPr>
            <b/>
            <sz val="8"/>
            <color indexed="81"/>
            <rFont val="Tahoma"/>
            <family val="2"/>
          </rPr>
          <t xml:space="preserve">These are </t>
        </r>
        <r>
          <rPr>
            <b/>
            <i/>
            <sz val="8"/>
            <color indexed="81"/>
            <rFont val="Tahoma"/>
            <family val="2"/>
          </rPr>
          <t>operating</t>
        </r>
        <r>
          <rPr>
            <b/>
            <sz val="8"/>
            <color indexed="81"/>
            <rFont val="Tahoma"/>
            <family val="2"/>
          </rPr>
          <t xml:space="preserve"> current assets only.  They do not include surplus cash or other financial current assets.</t>
        </r>
      </text>
    </comment>
    <comment ref="A45" authorId="0" shapeId="0" xr:uid="{00E7FA1B-A057-4C71-A7FA-BA76C64638D1}">
      <text>
        <r>
          <rPr>
            <b/>
            <sz val="8"/>
            <color indexed="81"/>
            <rFont val="Tahoma"/>
            <family val="2"/>
          </rPr>
          <t xml:space="preserve">These are </t>
        </r>
        <r>
          <rPr>
            <b/>
            <i/>
            <sz val="8"/>
            <color indexed="81"/>
            <rFont val="Tahoma"/>
            <family val="2"/>
          </rPr>
          <t>operating</t>
        </r>
        <r>
          <rPr>
            <b/>
            <sz val="8"/>
            <color indexed="81"/>
            <rFont val="Tahoma"/>
            <family val="2"/>
          </rPr>
          <t xml:space="preserve"> current liabilities only (do not include financial CL, which are all in the "Debt" item)</t>
        </r>
      </text>
    </comment>
    <comment ref="A62" authorId="0" shapeId="0" xr:uid="{7C4C9817-7ABB-4423-8529-979A67ED76EA}">
      <text>
        <r>
          <rPr>
            <b/>
            <sz val="8"/>
            <color indexed="81"/>
            <rFont val="Tahoma"/>
            <family val="2"/>
          </rPr>
          <t>CAPEX is defined as the change in Fixed Assets at Cost</t>
        </r>
        <r>
          <rPr>
            <sz val="8"/>
            <color indexed="81"/>
            <rFont val="Tahoma"/>
            <family val="2"/>
          </rPr>
          <t xml:space="preserve">
</t>
        </r>
      </text>
    </comment>
  </commentList>
</comments>
</file>

<file path=xl/sharedStrings.xml><?xml version="1.0" encoding="utf-8"?>
<sst xmlns="http://schemas.openxmlformats.org/spreadsheetml/2006/main" count="1115" uniqueCount="623">
  <si>
    <t>Starbucks Corporation (NasdaqGS:SBUX) &gt; Financials &gt; Key Stats</t>
  </si>
  <si>
    <t>In Millions of the trading currency, except per share items.</t>
  </si>
  <si>
    <t>Currency:</t>
  </si>
  <si>
    <t>Trading Currency</t>
  </si>
  <si>
    <t> </t>
  </si>
  <si>
    <t>Conversion:</t>
  </si>
  <si>
    <t>Order:</t>
  </si>
  <si>
    <t>Latest on Right</t>
  </si>
  <si>
    <t>Units:</t>
  </si>
  <si>
    <t>S&amp;P Capital IQ (Default)</t>
  </si>
  <si>
    <t>Decimals:</t>
  </si>
  <si>
    <t>Capital IQ (Default)</t>
  </si>
  <si>
    <t>Dilution:</t>
  </si>
  <si>
    <t>Basic</t>
  </si>
  <si>
    <t>Key Financials¹</t>
  </si>
  <si>
    <t xml:space="preserve">For the Fiscal Period Ending
</t>
  </si>
  <si>
    <t>12 months
Sep-28-2014A</t>
  </si>
  <si>
    <t>12 months
Sep-27-2015A</t>
  </si>
  <si>
    <t>12 months
Oct-02-2016A</t>
  </si>
  <si>
    <t>12 months
Oct-01-2017A</t>
  </si>
  <si>
    <t>12 months
Sep-30-2018A</t>
  </si>
  <si>
    <t>LTM²
12 months
Dec-30-2018A</t>
  </si>
  <si>
    <t>Currency</t>
  </si>
  <si>
    <t>USD</t>
  </si>
  <si>
    <t>Total Revenue</t>
  </si>
  <si>
    <t xml:space="preserve">  Growth Over Prior Year</t>
  </si>
  <si>
    <t>Gross Profit</t>
  </si>
  <si>
    <t xml:space="preserve">  Margin %</t>
  </si>
  <si>
    <t>EBITDA</t>
  </si>
  <si>
    <t>EBIT</t>
  </si>
  <si>
    <t>Earnings from Cont. Ops.</t>
  </si>
  <si>
    <t>Net Income</t>
  </si>
  <si>
    <t>Diluted EPS Excl. Extra Items³</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</si>
  <si>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</si>
  <si>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</si>
  <si>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Latest Capitalization (Millions of USD)</t>
  </si>
  <si>
    <t>Share Price</t>
  </si>
  <si>
    <t>Shares Out.</t>
  </si>
  <si>
    <t>Market Capitalization</t>
  </si>
  <si>
    <t>- Cash &amp; Short Term Investments</t>
  </si>
  <si>
    <t>+ Total Debt</t>
  </si>
  <si>
    <t>+ Pref. Equity</t>
  </si>
  <si>
    <t>-</t>
  </si>
  <si>
    <t>+ Total Minority Interest</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</si>
  <si>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</si>
  <si>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</si>
  <si>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</si>
  <si>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</si>
  <si>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Common Equity on Total Liability.</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</si>
  <si>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</si>
  <si>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</si>
  <si>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</si>
  <si>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</si>
  <si>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</si>
  <si>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TEV/Total Revenue</t>
  </si>
  <si>
    <t>TEV/EBITDA</t>
  </si>
  <si>
    <t>TEV/EBIT</t>
  </si>
  <si>
    <t>P/Diluted EPS Before Extra</t>
  </si>
  <si>
    <t>P/BV</t>
  </si>
  <si>
    <t>NM</t>
  </si>
  <si>
    <t>Price/Tang BV</t>
  </si>
  <si>
    <t xml:space="preserve">
               </t>
  </si>
  <si>
    <t>Starbucks Corporation (NasdaqGS:SBUX)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</si>
  <si>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</si>
  <si>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</si>
  <si>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</si>
  <si>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</si>
  <si>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</si>
  <si>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</si>
  <si>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</si>
  <si>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</si>
  <si>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</si>
  <si>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</si>
  <si>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</si>
  <si>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</si>
  <si>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</si>
  <si>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Income Statement</t>
  </si>
  <si>
    <t>12 months
Sep-28-2014</t>
  </si>
  <si>
    <t>Reclassified
12 months
Sep-27-2015</t>
  </si>
  <si>
    <t>Reclassified
12 months
Oct-02-2016</t>
  </si>
  <si>
    <t>Reclassified
12 months
Oct-01-2017</t>
  </si>
  <si>
    <t>LTM
12 months
Dec-30-2018</t>
  </si>
  <si>
    <t xml:space="preserve"> </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</si>
  <si>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</si>
  <si>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</si>
  <si>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</si>
  <si>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</si>
  <si>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</si>
  <si>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</si>
  <si>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</si>
  <si>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</si>
  <si>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</si>
  <si>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</si>
  <si>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</si>
  <si>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</si>
  <si>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</si>
  <si>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</si>
  <si>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</si>
  <si>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Currency Exchange Gains (Loss)</t>
  </si>
  <si>
    <t>Other Non-Operating Inc. (Exp.)</t>
  </si>
  <si>
    <t xml:space="preserve">  EBT Excl. Unusual Items</t>
  </si>
  <si>
    <t>Restructuring Charges</t>
  </si>
  <si>
    <t>Merger &amp; Related Restruct. Charges</t>
  </si>
  <si>
    <t>Impairment of Goodwill</t>
  </si>
  <si>
    <t>Gain (Loss) On Sale Of Invest.</t>
  </si>
  <si>
    <t>Gain (Loss) On Sale Of Assets</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</si>
  <si>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</si>
  <si>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</si>
  <si>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</si>
  <si>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</si>
  <si>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</si>
  <si>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</si>
  <si>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</si>
  <si>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</si>
  <si>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</si>
  <si>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</si>
  <si>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</si>
  <si>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</si>
  <si>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</si>
  <si>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</si>
  <si>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</si>
  <si>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</si>
  <si>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</si>
  <si>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</si>
  <si>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</si>
  <si>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</si>
  <si>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</si>
  <si>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</si>
  <si>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</si>
  <si>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</si>
  <si>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Supplemental Items</t>
  </si>
  <si>
    <t>EBITA</t>
  </si>
  <si>
    <t>EBITDAR</t>
  </si>
  <si>
    <t>NA</t>
  </si>
  <si>
    <t>As Reported Total Revenue*</t>
  </si>
  <si>
    <t>Effective Tax Rate %</t>
  </si>
  <si>
    <t>Current Domestic Taxes</t>
  </si>
  <si>
    <t>Current Foreign Taxes</t>
  </si>
  <si>
    <t>Total Current Taxes</t>
  </si>
  <si>
    <t>Deferred Domestic Taxes</t>
  </si>
  <si>
    <t>Deferred Foreign Taxes</t>
  </si>
  <si>
    <t>Total Deferred Taxes</t>
  </si>
  <si>
    <t>Normalized Net Income</t>
  </si>
  <si>
    <t>Interest Capitalized</t>
  </si>
  <si>
    <t>Interest on Long Term Debt</t>
  </si>
  <si>
    <t>Filing Date</t>
  </si>
  <si>
    <t>Restatement Type</t>
  </si>
  <si>
    <t>NC</t>
  </si>
  <si>
    <t>RC</t>
  </si>
  <si>
    <t>O</t>
  </si>
  <si>
    <t>Calculation Type</t>
  </si>
  <si>
    <t>REP</t>
  </si>
  <si>
    <t>LTM</t>
  </si>
  <si>
    <t>Supplemental Operating Expense Items</t>
  </si>
  <si>
    <t>Advertising Exp.</t>
  </si>
  <si>
    <t>Marketing Exp.</t>
  </si>
  <si>
    <t>Selling and Marketing Exp.</t>
  </si>
  <si>
    <t>General and Administrative Exp.</t>
  </si>
  <si>
    <t>Net Rental Exp.</t>
  </si>
  <si>
    <t>Imputed Oper. Lease Interest Exp.</t>
  </si>
  <si>
    <t>Imputed Oper. Lease Depreciation</t>
  </si>
  <si>
    <t>Stock-Based Comp., G&amp;A Exp.</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</si>
  <si>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</si>
  <si>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</si>
  <si>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</si>
  <si>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</si>
  <si>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Starbucks Corporation (NasdaqGS:SBUX) &gt; Financials &gt; Balance Sheet</t>
  </si>
  <si>
    <t>In Millions of the reported currency, except per share items.</t>
  </si>
  <si>
    <t>Template:</t>
  </si>
  <si>
    <t>Period Type:</t>
  </si>
  <si>
    <t>Currency:</t>
  </si>
  <si>
    <t>Units:</t>
  </si>
  <si>
    <t>Balance Sheet</t>
  </si>
  <si>
    <t xml:space="preserve">Balance Sheet as of:
</t>
  </si>
  <si>
    <t>Restated
Sep-27-2015</t>
  </si>
  <si>
    <t>Restated
Oct-02-2016</t>
  </si>
  <si>
    <t>ASSETS</t>
  </si>
  <si>
    <t>Cash And Equivalents</t>
  </si>
  <si>
    <t>Short Term Investments</t>
  </si>
  <si>
    <t xml:space="preserve">  Total Cash &amp; ST Investments</t>
  </si>
  <si>
    <t>Accounts Receivable</t>
  </si>
  <si>
    <t>Other Receivables</t>
  </si>
  <si>
    <t xml:space="preserve">  Total Receivables</t>
  </si>
  <si>
    <t>Inventory</t>
  </si>
  <si>
    <t>Prepaid Exp.</t>
  </si>
  <si>
    <t>Deferred Tax Assets, Curr.</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</si>
  <si>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</si>
  <si>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</si>
  <si>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</si>
  <si>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</si>
  <si>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</si>
  <si>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</si>
  <si>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</si>
  <si>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</si>
  <si>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</si>
  <si>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</si>
  <si>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</si>
  <si>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</si>
  <si>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</si>
  <si>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</si>
  <si>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</si>
  <si>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Income Taxes Payable</t>
  </si>
  <si>
    <t>Unearned Revenue, Current</t>
  </si>
  <si>
    <t>Other Current Liabilities</t>
  </si>
  <si>
    <t xml:space="preserve">  Total Current Liabilities</t>
  </si>
  <si>
    <t>Long-Term Debt</t>
  </si>
  <si>
    <t>Capital Leases</t>
  </si>
  <si>
    <t>Unearned Revenue, Non-Current</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</si>
  <si>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</si>
  <si>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</si>
  <si>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</si>
  <si>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</si>
  <si>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</si>
  <si>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</si>
  <si>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</si>
  <si>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</si>
  <si>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</si>
  <si>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</si>
  <si>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</si>
  <si>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</si>
  <si>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</si>
  <si>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</si>
  <si>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</si>
  <si>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</si>
  <si>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</si>
  <si>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</si>
  <si>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</si>
  <si>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</si>
  <si>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Total Minority Interest</t>
  </si>
  <si>
    <t>Equity Method Investments</t>
  </si>
  <si>
    <t>Inventory Method</t>
  </si>
  <si>
    <t>Avg Cost</t>
  </si>
  <si>
    <t>Raw Materials Inventory</t>
  </si>
  <si>
    <t>Finished Goods Inventory</t>
  </si>
  <si>
    <t>Land</t>
  </si>
  <si>
    <t>Buildings</t>
  </si>
  <si>
    <t>Machinery</t>
  </si>
  <si>
    <t>Construction in Progress</t>
  </si>
  <si>
    <t>Leasehold Improvements</t>
  </si>
  <si>
    <t>Full Time Employees</t>
  </si>
  <si>
    <t>Accum. Allowance for Doubtful Accts</t>
  </si>
  <si>
    <t>RS</t>
  </si>
  <si>
    <t>RUP</t>
  </si>
  <si>
    <t>Note: For multiple class companies, total share counts are primary class equivalent, and for foreign companies listed as primary ADRs, total share counts are ADR-equivalent.</t>
  </si>
  <si>
    <t>Starbucks Corporation (NasdaqGS:SBUX) &gt; Financials &gt; Cash Flow</t>
  </si>
  <si>
    <t>In Millions of the reported currency, except per share items.</t>
  </si>
  <si>
    <t>Template:</t>
  </si>
  <si>
    <t>Restatement:</t>
  </si>
  <si>
    <t>Period Type:</t>
  </si>
  <si>
    <t>Order:</t>
  </si>
  <si>
    <t>Currency:</t>
  </si>
  <si>
    <t>Conversion:</t>
  </si>
  <si>
    <t>Units:</t>
  </si>
  <si>
    <t>Decimals:</t>
  </si>
  <si>
    <t>Cash Flow</t>
  </si>
  <si>
    <t>12 months
Sep-27-2015</t>
  </si>
  <si>
    <t>Restated
12 months
Oct-02-2016</t>
  </si>
  <si>
    <t>Restated
12 months
Oct-01-2017</t>
  </si>
  <si>
    <t>Amort. of Goodwill and Intangibles</t>
  </si>
  <si>
    <t>Depreciation &amp; Amort., Total</t>
  </si>
  <si>
    <t>(Gain) Loss From Sale Of Assets</t>
  </si>
  <si>
    <t>(Gain) Loss On Sale Of Invest.</t>
  </si>
  <si>
    <t>Asset Writedown &amp; Restructuring Costs</t>
  </si>
  <si>
    <t>(Income) Loss on Equity Invest.</t>
  </si>
  <si>
    <t>Stock-Based Compensation</t>
  </si>
  <si>
    <t>Tax Benefit from Stock Options</t>
  </si>
  <si>
    <t>Other Operating Activities</t>
  </si>
  <si>
    <t>Change in Acc. Receivable</t>
  </si>
  <si>
    <t>Change In Inventories</t>
  </si>
  <si>
    <t>Change in Acc. Payable</t>
  </si>
  <si>
    <t>Change in Unearned Rev.</t>
  </si>
  <si>
    <t>Change in Other Net Operating Assets</t>
  </si>
  <si>
    <t xml:space="preserve">  Cash from Ops.</t>
  </si>
  <si>
    <t>Capital Expenditure</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</si>
  <si>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</si>
  <si>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</si>
  <si>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</si>
  <si>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</si>
  <si>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</si>
  <si>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</si>
  <si>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</si>
  <si>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</si>
  <si>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</si>
  <si>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</si>
  <si>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</si>
  <si>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</si>
  <si>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</si>
  <si>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</si>
  <si>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</si>
  <si>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</si>
  <si>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</si>
  <si>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</si>
  <si>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</si>
  <si>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</si>
  <si>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</si>
  <si>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</si>
  <si>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</si>
  <si>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</si>
  <si>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</si>
  <si>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</si>
  <si>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</si>
  <si>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Starbucks Corporation (NasdaqGS:SBUX) &gt; Financials &gt; Ratios</t>
  </si>
  <si>
    <t>Restatement:</t>
  </si>
  <si>
    <t>Period Type:</t>
  </si>
  <si>
    <t>Order:</t>
  </si>
  <si>
    <t>Decimals:</t>
  </si>
  <si>
    <t>Ratios</t>
  </si>
  <si>
    <t>12 months
Oct-02-2016</t>
  </si>
  <si>
    <t>12 months
Oct-01-2017</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</si>
  <si>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</si>
  <si>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</si>
  <si>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</si>
  <si>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</si>
  <si>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</si>
  <si>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</si>
  <si>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</si>
  <si>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</si>
  <si>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</si>
  <si>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</si>
  <si>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</si>
  <si>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</si>
  <si>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</si>
  <si>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</si>
  <si>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</si>
  <si>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</si>
  <si>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</si>
  <si>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</si>
  <si>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</si>
  <si>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</si>
  <si>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</si>
  <si>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</si>
  <si>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</si>
  <si>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</si>
  <si>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</si>
  <si>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</si>
  <si>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</si>
  <si>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</si>
  <si>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</si>
  <si>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</si>
  <si>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</si>
  <si>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</si>
  <si>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</si>
  <si>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</si>
  <si>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</si>
  <si>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</si>
  <si>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</si>
  <si>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</si>
  <si>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</si>
  <si>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</si>
  <si>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</si>
  <si>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</si>
  <si>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</si>
  <si>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</si>
  <si>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</si>
  <si>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</si>
  <si>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</si>
  <si>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</si>
  <si>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</si>
  <si>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</si>
  <si>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</si>
  <si>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</si>
  <si>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</si>
  <si>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</si>
  <si>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</si>
  <si>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</si>
  <si>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</si>
  <si>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</si>
  <si>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</si>
  <si>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</si>
  <si>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</si>
  <si>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</si>
  <si>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</si>
  <si>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Current liabilities/Sales</t>
  </si>
  <si>
    <t>Net fixed assets/Sales</t>
  </si>
  <si>
    <t>Costs of goods sold/Sales</t>
  </si>
  <si>
    <t>Depreciation rate</t>
  </si>
  <si>
    <t>Interest rate on debt</t>
  </si>
  <si>
    <t>Interest paid on cash and marketable securities</t>
  </si>
  <si>
    <t>Tax rate</t>
  </si>
  <si>
    <t>Dividend payout ratio</t>
  </si>
  <si>
    <t>Year</t>
  </si>
  <si>
    <t>Income statement</t>
  </si>
  <si>
    <t>Sales</t>
  </si>
  <si>
    <t>Costs of goods sold</t>
  </si>
  <si>
    <t>Interest payments on debt</t>
  </si>
  <si>
    <t>Interest earned on cash and marketable securities</t>
  </si>
  <si>
    <t>Depreciation</t>
  </si>
  <si>
    <t>Profit before tax</t>
  </si>
  <si>
    <t>Taxes</t>
  </si>
  <si>
    <t>Profit after tax</t>
  </si>
  <si>
    <t>Dividends</t>
  </si>
  <si>
    <t>Retained earnings</t>
  </si>
  <si>
    <t>Balance sheet</t>
  </si>
  <si>
    <t>Cash and marketable securities</t>
  </si>
  <si>
    <t>Current assets</t>
  </si>
  <si>
    <t>Fixed assets</t>
  </si>
  <si>
    <t xml:space="preserve">     At cost</t>
  </si>
  <si>
    <t xml:space="preserve">     Depreciation</t>
  </si>
  <si>
    <t xml:space="preserve">     Net fixed assets</t>
  </si>
  <si>
    <t>Total assets</t>
  </si>
  <si>
    <t>Current liabilities</t>
  </si>
  <si>
    <t>Debt</t>
  </si>
  <si>
    <t>Stock</t>
  </si>
  <si>
    <t>Accumulated retained earnings</t>
  </si>
  <si>
    <t>Total liabilities and equity</t>
  </si>
  <si>
    <t>FIRST FINANCIAL MODEL</t>
  </si>
  <si>
    <t>Sales growth</t>
  </si>
  <si>
    <t>Current assets/Sales</t>
  </si>
  <si>
    <t>Free cash flow calculation</t>
  </si>
  <si>
    <t>Add back depreciation</t>
  </si>
  <si>
    <t>Subtract increase in current assets</t>
  </si>
  <si>
    <t>Add back increase in current liabilities</t>
  </si>
  <si>
    <t>Subtract increase in fixed assets at cost</t>
  </si>
  <si>
    <t>Add back after-tax interest on debt</t>
  </si>
  <si>
    <t>Subtract after-tax interest on cash and+A14 mkt. securities</t>
  </si>
  <si>
    <t>Free cash flow</t>
  </si>
  <si>
    <t>Sales and revenues</t>
  </si>
  <si>
    <t>Revenues of Financial Products</t>
  </si>
  <si>
    <t>Total sales and revenues</t>
  </si>
  <si>
    <t>Operating costs:</t>
  </si>
  <si>
    <t>Cost of goods sold</t>
  </si>
  <si>
    <t>Selling, general and administrative expenses</t>
  </si>
  <si>
    <t>Research and development expenses</t>
  </si>
  <si>
    <t>Deferred income taxes</t>
  </si>
  <si>
    <t>Total operating costs</t>
  </si>
  <si>
    <t>Operating profit</t>
  </si>
  <si>
    <t>Interest expense excluding financial products</t>
  </si>
  <si>
    <t>Other income (expense)</t>
  </si>
  <si>
    <t>Consolidated profit before taxes</t>
  </si>
  <si>
    <t>Provision (benefit) for income taxes</t>
  </si>
  <si>
    <t>Profit of consolidated companies</t>
  </si>
  <si>
    <t>Equity in profit (loss) of unconsolidated affiliated companies</t>
  </si>
  <si>
    <t>Profit of consolidated and affiliated companies</t>
  </si>
  <si>
    <t>Less: Profit (loss) attributable to noncontrolling interests</t>
  </si>
  <si>
    <t>Profit</t>
  </si>
  <si>
    <t>Profit per common share</t>
  </si>
  <si>
    <t>Profit per common share — diluted 2 </t>
  </si>
  <si>
    <t>Weighted-average common shares outstanding (millions)</t>
  </si>
  <si>
    <t>Diluted 2 </t>
  </si>
  <si>
    <t>Cash dividends declared per common share</t>
  </si>
  <si>
    <t>CATERPILLAR, CONSOLIDATED STATEMENT OF CASH FLOWS, 2007-2011</t>
  </si>
  <si>
    <t>Cash flow from operating activities</t>
  </si>
  <si>
    <t>Adjustments for non-cash items:</t>
  </si>
  <si>
    <t>Depreciation and amortization</t>
  </si>
  <si>
    <t>&lt;-- Add back depreciation</t>
  </si>
  <si>
    <t>Other</t>
  </si>
  <si>
    <t>Changes in assets and liabilities, net of acquisitions and divestitures:</t>
  </si>
  <si>
    <t>Receivables—trade and other</t>
  </si>
  <si>
    <t>Changes in operating current assets and operating current liabilities:  All part of Caterpillar's net working capital (NWC)</t>
  </si>
  <si>
    <t>Inventories</t>
  </si>
  <si>
    <t>Accounts payable</t>
  </si>
  <si>
    <t>Accrued expenses</t>
  </si>
  <si>
    <t>Accrued wages, salaries and employee benefits</t>
  </si>
  <si>
    <t>Other assets, net</t>
  </si>
  <si>
    <t>Other liabilities, net</t>
  </si>
  <si>
    <t>Net cash provided by (used for) operating activities</t>
  </si>
  <si>
    <t>Cash flow from investing activities</t>
  </si>
  <si>
    <t>Capital expenditures—excluding equipment leased to others</t>
  </si>
  <si>
    <t>Expenditures for equipment leased to others</t>
  </si>
  <si>
    <t>&lt;-- Is this part of operations?</t>
  </si>
  <si>
    <t>Proceeds from disposals of leased assets and property, plant and equipment</t>
  </si>
  <si>
    <t>Additions to finance receivables</t>
  </si>
  <si>
    <t>Collections of finance receivables</t>
  </si>
  <si>
    <t>Proceeds from sale of finance receivables</t>
  </si>
  <si>
    <t>Investments and acquisitions (net of cash acquired)</t>
  </si>
  <si>
    <t>Proceeds from sale of businesses and investments (net of cash sold)</t>
  </si>
  <si>
    <t>&lt;-- Is this recurring or one-time?</t>
  </si>
  <si>
    <t>Proceeds from sale of available-for-sale securities</t>
  </si>
  <si>
    <t>&lt;-- Clearly financing</t>
  </si>
  <si>
    <t>Investments in available-for-sale securities</t>
  </si>
  <si>
    <t>Other, net</t>
  </si>
  <si>
    <t>&lt;-- Is this worth investigating?</t>
  </si>
  <si>
    <t>Net cash provided by (used for) investing activities</t>
  </si>
  <si>
    <t>Cash flow from financing activities</t>
  </si>
  <si>
    <t>Dividends paid</t>
  </si>
  <si>
    <t>All items in this section are clearly financing, and not part of the firm's free cash flows.</t>
  </si>
  <si>
    <t>Distribution to noncontrolling interests</t>
  </si>
  <si>
    <t>Common stock issued, including treasury shares reissued</t>
  </si>
  <si>
    <t>Payment for stock repurchase derivative contracts</t>
  </si>
  <si>
    <t>Treasury shares purchased</t>
  </si>
  <si>
    <t>Excess tax benefit from stock-based compensation</t>
  </si>
  <si>
    <t>Acquisitions of noncontrolling interests</t>
  </si>
  <si>
    <t>Proceeds from debt issued (original maturities greater than three months):</t>
  </si>
  <si>
    <t>- Machinery and Power Systems</t>
  </si>
  <si>
    <t>- Financial Products</t>
  </si>
  <si>
    <t>Payments on debt (original maturities greater than three months):</t>
  </si>
  <si>
    <t>Short-term borrowings, net (original maturities three months or less)</t>
  </si>
  <si>
    <t>Net cash provided by (used for) financing activities</t>
  </si>
  <si>
    <t>Long-term receivables</t>
  </si>
  <si>
    <t>Investments in unconsolidated affiliated companies</t>
  </si>
  <si>
    <t>Noncurrent deferred and refundable income taxes</t>
  </si>
  <si>
    <t>Other liabilities</t>
  </si>
  <si>
    <t>Year-on-year growth</t>
  </si>
  <si>
    <t>Growth measures</t>
  </si>
  <si>
    <t>CAGR</t>
  </si>
  <si>
    <t>Slope</t>
  </si>
  <si>
    <t>Intercept</t>
  </si>
  <si>
    <t>R-squared</t>
  </si>
  <si>
    <t>CA/Sales</t>
  </si>
  <si>
    <t>CL/Sales</t>
  </si>
  <si>
    <t>Model values</t>
  </si>
  <si>
    <t>Operating costs from P&amp;L</t>
  </si>
  <si>
    <t>Operating costs net of depreciation</t>
  </si>
  <si>
    <t>Net operating costs/Sales</t>
  </si>
  <si>
    <t>Regressing net operating costs on sales</t>
  </si>
  <si>
    <t>Total property, plant and equipment, at cost</t>
  </si>
  <si>
    <t>Less: Accumulated depreciation</t>
  </si>
  <si>
    <t>Property, plant and equipment—net</t>
  </si>
  <si>
    <t>Net PPE/Sales</t>
  </si>
  <si>
    <t>Gross PPE/Sales</t>
  </si>
  <si>
    <t>Model value:  Net PPE/Sales</t>
  </si>
  <si>
    <t>Total dividend CAGR</t>
  </si>
  <si>
    <t>Dividends per share</t>
  </si>
  <si>
    <t>Dividend per share CAGR</t>
  </si>
  <si>
    <t>Model value</t>
  </si>
  <si>
    <t>Profits before taxes</t>
  </si>
  <si>
    <t>CATERPILLAR:  VARIOUS PLUGS vs SALES AND OTHER</t>
  </si>
  <si>
    <t>Cash</t>
  </si>
  <si>
    <t>Cash/Sales</t>
  </si>
  <si>
    <t>Debt/Sales</t>
  </si>
  <si>
    <t>Debt/Total assets</t>
  </si>
  <si>
    <t>Debt/Assets</t>
  </si>
  <si>
    <t>CATERPILLAR PRO FORMA MODEL</t>
  </si>
  <si>
    <t>Cost of goods sold/Sales</t>
  </si>
  <si>
    <t>Long-term receivables, growth</t>
  </si>
  <si>
    <t>&lt;-- Assume this grows at the same rate as sales</t>
  </si>
  <si>
    <t>Other liabilities, growth</t>
  </si>
  <si>
    <t>Interest paid on cash &amp; mkt. sec.</t>
  </si>
  <si>
    <t>&lt;-- Author guesstimate</t>
  </si>
  <si>
    <t>Dividend growth</t>
  </si>
  <si>
    <t>Construction in progress</t>
  </si>
  <si>
    <t>Depreciable assets at cost</t>
  </si>
  <si>
    <t>Accumulated depreciation</t>
  </si>
  <si>
    <t>Net PPE</t>
  </si>
  <si>
    <t>Intangibles and other</t>
  </si>
  <si>
    <t>Free Cash Flow</t>
  </si>
  <si>
    <t>PAT</t>
  </si>
  <si>
    <t>Minus NWC</t>
  </si>
  <si>
    <t xml:space="preserve">    Minus increase in CA</t>
  </si>
  <si>
    <t xml:space="preserve">    Add back increase in CL</t>
  </si>
  <si>
    <t>Subtract CAPEX</t>
  </si>
  <si>
    <t>Add back net interest after taxes</t>
  </si>
  <si>
    <t>WACC</t>
  </si>
  <si>
    <t>Long-term FCF growth</t>
  </si>
  <si>
    <t>FCF</t>
  </si>
  <si>
    <t>Terminal value</t>
  </si>
  <si>
    <t>Total</t>
  </si>
  <si>
    <t>Enterprise value:  
PV of FCFs and terminal value</t>
  </si>
  <si>
    <t>Add back initial cash</t>
  </si>
  <si>
    <t>Asset value</t>
  </si>
  <si>
    <t>Subtract year 0 debt</t>
  </si>
  <si>
    <t>Imputed equity value</t>
  </si>
  <si>
    <t>Divide by # shares outstanding</t>
  </si>
  <si>
    <t>Share value</t>
  </si>
  <si>
    <t>Current market value per share</t>
  </si>
  <si>
    <t>LT growth rate ↓</t>
  </si>
  <si>
    <t>WACC--&gt;</t>
  </si>
  <si>
    <t>Depreciation and Amortization</t>
  </si>
  <si>
    <t>Copyright © 2019 Stock Analysis on Net</t>
  </si>
  <si>
    <t>Source: https://www.stock-analysis-on.net</t>
  </si>
  <si>
    <t>Source: Starbucks Corp., Annual Reports</t>
  </si>
  <si>
    <t>Cash and cash equivalents, end of period</t>
  </si>
  <si>
    <t>Cash and cash equivalents, beginning of period</t>
  </si>
  <si>
    <t>Net increase (decrease) in cash and cash equivalents</t>
  </si>
  <si>
    <t>Effect of exchange rate changes on cash and cash equivalents</t>
  </si>
  <si>
    <t>Net cash used by financing activities</t>
  </si>
  <si>
    <t>Minimum tax withholdings on share-based awards</t>
  </si>
  <si>
    <t>Repurchase of common stock</t>
  </si>
  <si>
    <t>Cash dividends paid</t>
  </si>
  <si>
    <t>–</t>
  </si>
  <si>
    <t>Excess tax benefit on share-based awards</t>
  </si>
  <si>
    <t>Proceeds from issuance of common stock</t>
  </si>
  <si>
    <t>Cash used for purchase of non-controlling interest</t>
  </si>
  <si>
    <t>Repayments of long-term debt</t>
  </si>
  <si>
    <t>Proceeds from issuance of long-term debt</t>
  </si>
  <si>
    <t>Net cash used by investing activities</t>
  </si>
  <si>
    <t>Net proceeds from the divestiture of certain operations</t>
  </si>
  <si>
    <t>Additions to property, plant and equipment</t>
  </si>
  <si>
    <t>Acquisitions, net of cash acquired</t>
  </si>
  <si>
    <t>Maturities and calls of investments</t>
  </si>
  <si>
    <t>Sales of investments</t>
  </si>
  <si>
    <t>Purchase of investments</t>
  </si>
  <si>
    <t>Net cash provided by operating activities</t>
  </si>
  <si>
    <t>Adjustments to reconcile net earnings to net cash provided by operating activities</t>
  </si>
  <si>
    <t>Cash provided (used) by changes in operating assets and liabilities</t>
  </si>
  <si>
    <t>Other operating assets and liabilities</t>
  </si>
  <si>
    <t>Deferred revenue</t>
  </si>
  <si>
    <t>Accrued litigation charge</t>
  </si>
  <si>
    <t>Accounts receivable</t>
  </si>
  <si>
    <t>Goodwill impairments</t>
  </si>
  <si>
    <t>Stock-based compensation</t>
  </si>
  <si>
    <t>Loss on extinguishment of debt</t>
  </si>
  <si>
    <t>Net gain resulting from divestiture of certain retail operations</t>
  </si>
  <si>
    <t>Gain resulting from acquisition of joint venture</t>
  </si>
  <si>
    <t>Distributions received from equity method investees</t>
  </si>
  <si>
    <t>Income earned from equity method investees</t>
  </si>
  <si>
    <t>Deferred income taxes, net</t>
  </si>
  <si>
    <t>Litigation charge</t>
  </si>
  <si>
    <t>Net earnings including noncontrolling interests</t>
  </si>
  <si>
    <t>12 months ended</t>
  </si>
  <si>
    <t>USD $ in thousands</t>
  </si>
  <si>
    <t>Starbucks Corp., Consolidated Statement of Cash Flows</t>
  </si>
  <si>
    <t>Slope/2018 sales</t>
  </si>
  <si>
    <t>2014-2018</t>
  </si>
  <si>
    <t>Year Dividend Growth</t>
  </si>
  <si>
    <t>Net Operating Assets</t>
  </si>
  <si>
    <t>Net Working Capital</t>
  </si>
  <si>
    <t>Rewriten Balance Sheet</t>
  </si>
  <si>
    <t>This is part one of the project</t>
  </si>
  <si>
    <t>STARBUCKS PROFIT AND LOSS, 2014-2019</t>
  </si>
  <si>
    <t>ANALYSIS OF STARBUCKS SALES</t>
  </si>
  <si>
    <t>STARBUCKS ANALYSIS OF RATIOS</t>
  </si>
  <si>
    <t>STARBUCKS OPERATING COSTS</t>
  </si>
  <si>
    <t>STARBUCKS—ANALYSIS OF FIXED ASSETS</t>
  </si>
  <si>
    <t>STARBUCKS DIVIDENDS</t>
  </si>
  <si>
    <t>STARBUCKS ANALYSIS OF TAX RATE</t>
  </si>
  <si>
    <t xml:space="preserve">OTHER LIABILITIES </t>
  </si>
  <si>
    <t>Additional Paid in Capital</t>
  </si>
  <si>
    <t>Comprehensive and Other</t>
  </si>
  <si>
    <t>x</t>
  </si>
  <si>
    <t>&lt;-from homework that required wacc</t>
  </si>
  <si>
    <t>&lt;-assumed as fairly conservative growth rate for industry</t>
  </si>
  <si>
    <t>&lt;-as of 4/13/2019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</si>
</sst>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8" formatCode="&quot;$&quot;#,##0.00_);[Red]\(&quot;$&quot;#,##0.00\)"/>
    <numFmt numFmtId="43" formatCode="_(* #,##0.00_);_(* \(#,##0.00\);_(* &quot;-&quot;??_);_(@_)"/>
    <numFmt numFmtId="164" formatCode="_(* #,##0.0_);_(* \(#,##0.0\)_)\ ;_(* 0_)"/>
    <numFmt numFmtId="165" formatCode="_(#,##0.0%_);_(\(#,##0.0%\)_);_(#,##0.0%_)"/>
    <numFmt numFmtId="166" formatCode="_(* #,##0.0#_);_(* \(#,##0.0#\)_)\ ;_(* 0_)"/>
    <numFmt numFmtId="167" formatCode="_(&quot;$&quot;#,##0.0#_);_(\(&quot;$&quot;#,##0.0#\)_);_(&quot;$&quot;&quot; - &quot;_)"/>
    <numFmt numFmtId="168" formatCode="#,##0.0\x"/>
    <numFmt numFmtId="169" formatCode="mmm\-dd\-yyyy"/>
    <numFmt numFmtId="170" formatCode="_(* #,##0_);_(* \(#,##0\)_)\ ;_(* 0_)"/>
    <numFmt numFmtId="171" formatCode="_(* #,##0_);_(* \(#,##0\);_(* &quot;-&quot;??_);_(@_)"/>
    <numFmt numFmtId="172" formatCode="0_);\(0\)"/>
    <numFmt numFmtId="173" formatCode="#,##0.0"/>
    <numFmt numFmtId="174" formatCode="0.0000"/>
    <numFmt numFmtId="175" formatCode="0.0%"/>
    <numFmt numFmtId="176" formatCode="_(* #,##0.0_);_(* \(#,##0.0\);_(* &quot;-&quot;?_);_(@_)"/>
    <numFmt numFmtId="177" formatCode="[$-409]mmm\ d\,\ yyyy"/>
  </numFmts>
  <fonts count="44" x14ac:knownFonts="1">
    <font>
      <sz val="10"/>
      <name val="Arial"/>
    </font>
    <font>
      <sz val="10"/>
      <name val="Arial"/>
      <family val="2"/>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sz val="10"/>
      <name val="Arial"/>
      <family val="2"/>
    </font>
    <font>
      <b/>
      <sz val="10"/>
      <name val="Arial"/>
      <family val="2"/>
    </font>
    <font>
      <b/>
      <sz val="14"/>
      <name val="Arial"/>
      <family val="2"/>
    </font>
    <font>
      <sz val="10"/>
      <color theme="5" tint="-0.249977111117893"/>
      <name val="Arial"/>
      <family val="2"/>
    </font>
    <font>
      <sz val="11"/>
      <color theme="1"/>
      <name val="Arial"/>
      <family val="2"/>
    </font>
    <font>
      <b/>
      <sz val="14"/>
      <color theme="1"/>
      <name val="Arial"/>
      <family val="2"/>
    </font>
    <font>
      <sz val="11"/>
      <color rgb="FF000000"/>
      <name val="Arial"/>
      <family val="2"/>
    </font>
    <font>
      <b/>
      <sz val="11"/>
      <color rgb="FF000000"/>
      <name val="Arial"/>
      <family val="2"/>
    </font>
    <font>
      <b/>
      <sz val="11"/>
      <color theme="1"/>
      <name val="Arial"/>
      <family val="2"/>
    </font>
    <font>
      <b/>
      <sz val="9"/>
      <color indexed="81"/>
      <name val="Tahoma"/>
      <family val="2"/>
    </font>
    <font>
      <sz val="9"/>
      <color indexed="81"/>
      <name val="Tahoma"/>
      <family val="2"/>
    </font>
    <font>
      <b/>
      <sz val="8"/>
      <color indexed="81"/>
      <name val="Tahoma"/>
      <family val="2"/>
    </font>
    <font>
      <b/>
      <i/>
      <sz val="8"/>
      <color indexed="81"/>
      <name val="Tahoma"/>
      <family val="2"/>
    </font>
    <font>
      <sz val="8"/>
      <color indexed="81"/>
      <name val="Tahoma"/>
      <family val="2"/>
    </font>
    <font>
      <sz val="11"/>
      <color rgb="FF000000"/>
      <name val="Calibri"/>
      <family val="2"/>
    </font>
    <font>
      <sz val="10"/>
      <color rgb="FF316066"/>
      <name val="Tahoma"/>
      <family val="2"/>
    </font>
    <font>
      <sz val="10"/>
      <color rgb="FF333333"/>
      <name val="Tahoma"/>
      <family val="2"/>
    </font>
    <font>
      <b/>
      <sz val="12"/>
      <color rgb="FF606631"/>
      <name val="Tahoma"/>
      <family val="2"/>
    </font>
    <font>
      <sz val="10"/>
      <name val="Arial"/>
      <family val="2"/>
    </font>
    <font>
      <b/>
      <sz val="10"/>
      <name val="Calibri"/>
      <family val="2"/>
      <scheme val="minor"/>
    </font>
    <font>
      <sz val="10"/>
      <color rgb="FFFF0000"/>
      <name val="Arial"/>
      <family val="2"/>
    </font>
    <font>
      <u/>
      <sz val="10"/>
      <name val="Arial"/>
      <family val="2"/>
    </font>
  </fonts>
  <fills count="11">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0"/>
        <bgColor indexed="64"/>
      </patternFill>
    </fill>
  </fills>
  <borders count="20">
    <border>
      <left/>
      <right/>
      <top/>
      <bottom/>
      <diagonal/>
    </border>
    <border>
      <left/>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DDDDDD"/>
      </top>
      <bottom/>
      <diagonal/>
    </border>
    <border>
      <left/>
      <right/>
      <top style="medium">
        <color rgb="FFDDDDDD"/>
      </top>
      <bottom style="medium">
        <color rgb="FFDDDDDD"/>
      </bottom>
      <diagonal/>
    </border>
  </borders>
  <cellStyleXfs count="23">
    <xf numFmtId="0" fontId="0" fillId="0" borderId="0"/>
    <xf numFmtId="43" fontId="1" fillId="0" borderId="0" applyFont="0" applyFill="0" applyBorder="0" applyAlignment="0" applyProtection="0"/>
    <xf numFmtId="0" fontId="3" fillId="0" borderId="0" applyAlignment="0"/>
    <xf numFmtId="0" fontId="4" fillId="0" borderId="0" applyAlignment="0"/>
    <xf numFmtId="0" fontId="5" fillId="2" borderId="0" applyAlignment="0"/>
    <xf numFmtId="0" fontId="6" fillId="3" borderId="0" applyAlignment="0"/>
    <xf numFmtId="0" fontId="7" fillId="4" borderId="0" applyAlignment="0"/>
    <xf numFmtId="0" fontId="8" fillId="5" borderId="0" applyAlignment="0"/>
    <xf numFmtId="0" fontId="9" fillId="0" borderId="0" applyAlignment="0"/>
    <xf numFmtId="0" fontId="10" fillId="0" borderId="0" applyAlignment="0"/>
    <xf numFmtId="0" fontId="11" fillId="0" borderId="0" applyAlignment="0"/>
    <xf numFmtId="0" fontId="12" fillId="0" borderId="0" applyAlignment="0"/>
    <xf numFmtId="0" fontId="13" fillId="0" borderId="0" applyAlignment="0"/>
    <xf numFmtId="0" fontId="12" fillId="0" borderId="0" applyAlignment="0">
      <alignment wrapText="1"/>
    </xf>
    <xf numFmtId="0" fontId="14" fillId="0" borderId="0" applyAlignment="0"/>
    <xf numFmtId="0" fontId="15" fillId="0" borderId="0" applyAlignment="0"/>
    <xf numFmtId="0" fontId="16" fillId="0" borderId="0" applyAlignment="0"/>
    <xf numFmtId="0" fontId="26" fillId="0" borderId="0"/>
    <xf numFmtId="9" fontId="26" fillId="0" borderId="0" applyFont="0" applyFill="0" applyBorder="0" applyAlignment="0" applyProtection="0"/>
    <xf numFmtId="0" fontId="1" fillId="0" borderId="0"/>
    <xf numFmtId="43" fontId="1" fillId="0" borderId="0" applyFont="0" applyFill="0" applyBorder="0" applyAlignment="0" applyProtection="0"/>
    <xf numFmtId="0" fontId="36" fillId="0" borderId="0"/>
    <xf numFmtId="9" fontId="40" fillId="0" borderId="0" applyFont="0" applyFill="0" applyBorder="0" applyAlignment="0" applyProtection="0"/>
  </cellStyleXfs>
  <cellXfs count="210">
    <xf numFmtId="0" fontId="2" fillId="0" borderId="0" xfId="0" applyFont="1"/>
    <xf numFmtId="0" fontId="3" fillId="0" borderId="0" xfId="0" applyNumberFormat="1" applyFont="1" applyAlignment="1"/>
    <xf numFmtId="0" fontId="17" fillId="0" borderId="0" xfId="0" applyFont="1" applyAlignment="1">
      <alignment wrapText="1"/>
    </xf>
    <xf numFmtId="0" fontId="18" fillId="0" borderId="0" xfId="0" applyFont="1"/>
    <xf numFmtId="0" fontId="9" fillId="0" borderId="0" xfId="0" applyNumberFormat="1" applyFont="1" applyAlignment="1">
      <alignment horizontal="left" vertical="top"/>
    </xf>
    <xf numFmtId="49" fontId="2" fillId="0" borderId="0" xfId="0" applyNumberFormat="1" applyFont="1"/>
    <xf numFmtId="0" fontId="7" fillId="4" borderId="0" xfId="0" applyFont="1" applyFill="1" applyAlignment="1"/>
    <xf numFmtId="0" fontId="12" fillId="5" borderId="0" xfId="0" applyFont="1" applyFill="1" applyAlignment="1">
      <alignment wrapText="1"/>
    </xf>
    <xf numFmtId="0" fontId="19" fillId="5" borderId="0" xfId="0" applyFont="1" applyFill="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vertical="top" wrapText="1"/>
    </xf>
    <xf numFmtId="0" fontId="12" fillId="5" borderId="0" xfId="0" applyFont="1" applyFill="1" applyAlignment="1">
      <alignment horizontal="right" wrapText="1"/>
    </xf>
    <xf numFmtId="0" fontId="19" fillId="5" borderId="0" xfId="0" applyFont="1" applyFill="1" applyAlignment="1">
      <alignment horizontal="right" wrapText="1"/>
    </xf>
    <xf numFmtId="164" fontId="12" fillId="0" borderId="0" xfId="0" applyNumberFormat="1" applyFont="1" applyAlignment="1">
      <alignment horizontal="right" vertical="top" wrapText="1"/>
    </xf>
    <xf numFmtId="165" fontId="13" fillId="0" borderId="0" xfId="0" applyNumberFormat="1" applyFont="1" applyAlignment="1">
      <alignment horizontal="right" vertical="top" wrapText="1"/>
    </xf>
    <xf numFmtId="166" fontId="12" fillId="0" borderId="0" xfId="0" applyNumberFormat="1" applyFont="1" applyAlignment="1">
      <alignment horizontal="right" vertical="top" wrapText="1"/>
    </xf>
    <xf numFmtId="167" fontId="9" fillId="0" borderId="0" xfId="0" applyNumberFormat="1" applyFont="1" applyAlignment="1">
      <alignment horizontal="right" vertical="top" wrapText="1"/>
    </xf>
    <xf numFmtId="164" fontId="9" fillId="0" borderId="0" xfId="0" applyNumberFormat="1" applyFont="1" applyAlignment="1">
      <alignment horizontal="right" vertical="top" wrapText="1"/>
    </xf>
    <xf numFmtId="0" fontId="2" fillId="0" borderId="0" xfId="0" applyFont="1" applyAlignment="1">
      <alignment horizontal="center" vertical="top" wrapText="1"/>
    </xf>
    <xf numFmtId="168" fontId="9" fillId="0" borderId="0" xfId="0" applyNumberFormat="1" applyFont="1" applyAlignment="1">
      <alignment horizontal="right" vertical="top" wrapText="1"/>
    </xf>
    <xf numFmtId="49" fontId="9" fillId="0" borderId="0" xfId="0" applyNumberFormat="1" applyFont="1" applyAlignment="1">
      <alignment horizontal="right" vertical="top" wrapText="1"/>
    </xf>
    <xf numFmtId="0" fontId="9" fillId="0" borderId="0" xfId="0" applyNumberFormat="1" applyFont="1" applyAlignment="1">
      <alignment horizontal="center" vertical="center"/>
    </xf>
    <xf numFmtId="0" fontId="2" fillId="0" borderId="0" xfId="0" applyFont="1" applyAlignment="1">
      <alignment vertical="top"/>
    </xf>
    <xf numFmtId="164" fontId="12" fillId="0" borderId="1" xfId="0" applyNumberFormat="1" applyFont="1" applyBorder="1" applyAlignment="1">
      <alignment horizontal="right" vertical="top" wrapText="1"/>
    </xf>
    <xf numFmtId="164" fontId="20" fillId="0" borderId="1" xfId="0" applyNumberFormat="1" applyFont="1" applyBorder="1" applyAlignment="1">
      <alignment horizontal="right" vertical="top" wrapText="1"/>
    </xf>
    <xf numFmtId="166" fontId="9" fillId="0" borderId="0" xfId="0" applyNumberFormat="1" applyFont="1" applyAlignment="1">
      <alignment horizontal="right" vertical="top" wrapText="1"/>
    </xf>
    <xf numFmtId="165" fontId="9" fillId="0" borderId="0" xfId="0" applyNumberFormat="1" applyFont="1" applyAlignment="1">
      <alignment horizontal="right" vertical="top" wrapText="1"/>
    </xf>
    <xf numFmtId="169" fontId="9" fillId="0" borderId="0" xfId="0" applyNumberFormat="1" applyFont="1" applyAlignment="1">
      <alignment horizontal="right" vertical="top" wrapText="1"/>
    </xf>
    <xf numFmtId="0" fontId="2" fillId="0" borderId="0" xfId="0" applyFont="1" applyAlignment="1"/>
    <xf numFmtId="169" fontId="12" fillId="5" borderId="0" xfId="0" applyNumberFormat="1" applyFont="1" applyFill="1" applyAlignment="1">
      <alignment horizontal="right" wrapText="1"/>
    </xf>
    <xf numFmtId="164" fontId="21" fillId="0" borderId="0" xfId="0" applyNumberFormat="1" applyFont="1" applyAlignment="1">
      <alignment horizontal="right" vertical="top" wrapText="1"/>
    </xf>
    <xf numFmtId="164" fontId="20" fillId="0" borderId="0" xfId="0" applyNumberFormat="1" applyFont="1" applyAlignment="1">
      <alignment horizontal="right" vertical="top" wrapText="1"/>
    </xf>
    <xf numFmtId="170" fontId="9" fillId="0" borderId="0" xfId="0" applyNumberFormat="1" applyFont="1" applyAlignment="1">
      <alignment horizontal="right" vertical="top" wrapText="1"/>
    </xf>
    <xf numFmtId="0" fontId="9" fillId="0" borderId="0" xfId="0" applyNumberFormat="1" applyFont="1" applyAlignment="1">
      <alignment horizontal="center" vertical="center" wrapText="1"/>
    </xf>
    <xf numFmtId="0" fontId="14" fillId="0" borderId="0" xfId="14" applyFont="1" applyAlignment="1"/>
    <xf numFmtId="0" fontId="0" fillId="0" borderId="0" xfId="0"/>
    <xf numFmtId="9" fontId="0" fillId="0" borderId="0" xfId="0" applyNumberFormat="1"/>
    <xf numFmtId="0" fontId="23" fillId="0" borderId="0" xfId="0" applyFont="1"/>
    <xf numFmtId="0" fontId="23" fillId="0" borderId="0" xfId="0" applyFont="1" applyAlignment="1">
      <alignment horizontal="center"/>
    </xf>
    <xf numFmtId="171" fontId="0" fillId="0" borderId="0" xfId="1" applyNumberFormat="1" applyFont="1"/>
    <xf numFmtId="0" fontId="22" fillId="0" borderId="0" xfId="0" applyFont="1"/>
    <xf numFmtId="172" fontId="23" fillId="0" borderId="0" xfId="0" applyNumberFormat="1" applyFont="1"/>
    <xf numFmtId="172" fontId="23" fillId="0" borderId="0" xfId="0" applyNumberFormat="1" applyFont="1" applyAlignment="1">
      <alignment horizontal="center"/>
    </xf>
    <xf numFmtId="172" fontId="0" fillId="0" borderId="0" xfId="0" applyNumberFormat="1"/>
    <xf numFmtId="9" fontId="25" fillId="0" borderId="0" xfId="0" applyNumberFormat="1" applyFont="1"/>
    <xf numFmtId="10" fontId="25" fillId="0" borderId="0" xfId="0" applyNumberFormat="1" applyFont="1"/>
    <xf numFmtId="171" fontId="22" fillId="0" borderId="0" xfId="1" applyNumberFormat="1" applyFont="1"/>
    <xf numFmtId="0" fontId="26" fillId="0" borderId="0" xfId="17"/>
    <xf numFmtId="0" fontId="28" fillId="0" borderId="0" xfId="17" applyFont="1" applyAlignment="1">
      <alignment horizontal="left" vertical="center" wrapText="1"/>
    </xf>
    <xf numFmtId="0" fontId="29" fillId="0" borderId="0" xfId="17" applyFont="1" applyAlignment="1">
      <alignment horizontal="center" vertical="center" wrapText="1"/>
    </xf>
    <xf numFmtId="3" fontId="28" fillId="0" borderId="0" xfId="17" applyNumberFormat="1" applyFont="1" applyAlignment="1">
      <alignment vertical="center" wrapText="1"/>
    </xf>
    <xf numFmtId="0" fontId="29" fillId="0" borderId="0" xfId="17" applyFont="1" applyAlignment="1">
      <alignment horizontal="left" vertical="center" wrapText="1"/>
    </xf>
    <xf numFmtId="3" fontId="29" fillId="0" borderId="0" xfId="17" applyNumberFormat="1" applyFont="1" applyAlignment="1">
      <alignment vertical="center" wrapText="1"/>
    </xf>
    <xf numFmtId="0" fontId="28" fillId="0" borderId="0" xfId="17" applyFont="1" applyAlignment="1">
      <alignment vertical="center" wrapText="1"/>
    </xf>
    <xf numFmtId="4" fontId="28" fillId="0" borderId="0" xfId="17" applyNumberFormat="1" applyFont="1" applyAlignment="1">
      <alignment vertical="center" wrapText="1"/>
    </xf>
    <xf numFmtId="0" fontId="28" fillId="0" borderId="0" xfId="17" applyFont="1" applyAlignment="1">
      <alignment horizontal="right" vertical="center" wrapText="1"/>
    </xf>
    <xf numFmtId="0" fontId="28" fillId="0" borderId="0" xfId="17" applyFont="1" applyAlignment="1">
      <alignment horizontal="left" vertical="center" wrapText="1" indent="1"/>
    </xf>
    <xf numFmtId="173" fontId="28" fillId="0" borderId="0" xfId="17" applyNumberFormat="1" applyFont="1" applyAlignment="1">
      <alignment vertical="center" wrapText="1"/>
    </xf>
    <xf numFmtId="173" fontId="28" fillId="0" borderId="0" xfId="17" applyNumberFormat="1" applyFont="1" applyAlignment="1">
      <alignment horizontal="right" vertical="center" wrapText="1"/>
    </xf>
    <xf numFmtId="0" fontId="26" fillId="0" borderId="0" xfId="17" applyAlignment="1">
      <alignment wrapText="1"/>
    </xf>
    <xf numFmtId="3" fontId="26" fillId="0" borderId="0" xfId="17" applyNumberFormat="1" applyAlignment="1">
      <alignment wrapText="1"/>
    </xf>
    <xf numFmtId="0" fontId="27" fillId="0" borderId="0" xfId="17" applyFont="1" applyAlignment="1">
      <alignment vertical="center" wrapText="1"/>
    </xf>
    <xf numFmtId="0" fontId="29" fillId="0" borderId="5" xfId="17" applyFont="1" applyBorder="1" applyAlignment="1">
      <alignment horizontal="left" vertical="center" wrapText="1"/>
    </xf>
    <xf numFmtId="0" fontId="29" fillId="0" borderId="6" xfId="17" applyFont="1" applyBorder="1" applyAlignment="1">
      <alignment horizontal="center" vertical="center" wrapText="1"/>
    </xf>
    <xf numFmtId="0" fontId="28" fillId="0" borderId="0" xfId="17" applyFont="1" applyAlignment="1">
      <alignment vertical="center"/>
    </xf>
    <xf numFmtId="0" fontId="28" fillId="0" borderId="5" xfId="17" applyFont="1" applyBorder="1" applyAlignment="1">
      <alignment horizontal="left" vertical="center" wrapText="1" indent="2"/>
    </xf>
    <xf numFmtId="3" fontId="28" fillId="0" borderId="6" xfId="17" applyNumberFormat="1" applyFont="1" applyBorder="1" applyAlignment="1">
      <alignment vertical="center" wrapText="1"/>
    </xf>
    <xf numFmtId="0" fontId="28" fillId="0" borderId="0" xfId="17" applyFont="1" applyAlignment="1">
      <alignment horizontal="right" vertical="center"/>
    </xf>
    <xf numFmtId="0" fontId="28" fillId="0" borderId="5" xfId="17" applyFont="1" applyBorder="1" applyAlignment="1">
      <alignment horizontal="left" vertical="center" wrapText="1" indent="4"/>
    </xf>
    <xf numFmtId="3" fontId="28" fillId="0" borderId="0" xfId="17" applyNumberFormat="1" applyFont="1" applyAlignment="1">
      <alignment vertical="center"/>
    </xf>
    <xf numFmtId="3" fontId="30" fillId="0" borderId="0" xfId="17" applyNumberFormat="1" applyFont="1"/>
    <xf numFmtId="3" fontId="30" fillId="0" borderId="6" xfId="17" applyNumberFormat="1" applyFont="1" applyBorder="1"/>
    <xf numFmtId="0" fontId="28" fillId="0" borderId="5" xfId="17" applyFont="1" applyBorder="1" applyAlignment="1">
      <alignment horizontal="left" vertical="center" wrapText="1" indent="1"/>
    </xf>
    <xf numFmtId="3" fontId="26" fillId="0" borderId="0" xfId="17" applyNumberFormat="1"/>
    <xf numFmtId="3" fontId="26" fillId="0" borderId="6" xfId="17" applyNumberFormat="1" applyBorder="1"/>
    <xf numFmtId="0" fontId="28" fillId="0" borderId="5" xfId="17" applyFont="1" applyBorder="1" applyAlignment="1">
      <alignment horizontal="left" vertical="center"/>
    </xf>
    <xf numFmtId="3" fontId="28" fillId="0" borderId="6" xfId="17" applyNumberFormat="1" applyFont="1" applyBorder="1" applyAlignment="1">
      <alignment vertical="center"/>
    </xf>
    <xf numFmtId="0" fontId="28" fillId="0" borderId="5" xfId="17" applyFont="1" applyBorder="1" applyAlignment="1">
      <alignment horizontal="left" vertical="center" wrapText="1"/>
    </xf>
    <xf numFmtId="0" fontId="29" fillId="0" borderId="5" xfId="17" applyFont="1" applyBorder="1" applyAlignment="1">
      <alignment horizontal="left" vertical="center"/>
    </xf>
    <xf numFmtId="3" fontId="29" fillId="0" borderId="0" xfId="17" applyNumberFormat="1" applyFont="1" applyAlignment="1">
      <alignment vertical="center"/>
    </xf>
    <xf numFmtId="3" fontId="29" fillId="0" borderId="6" xfId="17" applyNumberFormat="1" applyFont="1" applyBorder="1" applyAlignment="1">
      <alignment vertical="center"/>
    </xf>
    <xf numFmtId="0" fontId="28" fillId="0" borderId="5" xfId="17" applyFont="1" applyBorder="1" applyAlignment="1">
      <alignment horizontal="left" vertical="center" wrapText="1" indent="3"/>
    </xf>
    <xf numFmtId="0" fontId="29" fillId="0" borderId="7" xfId="17" applyFont="1" applyBorder="1" applyAlignment="1">
      <alignment horizontal="left" vertical="center" wrapText="1"/>
    </xf>
    <xf numFmtId="3" fontId="29" fillId="0" borderId="8" xfId="17" applyNumberFormat="1" applyFont="1" applyBorder="1" applyAlignment="1">
      <alignment vertical="center" wrapText="1"/>
    </xf>
    <xf numFmtId="3" fontId="29" fillId="0" borderId="9" xfId="17" applyNumberFormat="1" applyFont="1" applyBorder="1" applyAlignment="1">
      <alignment vertical="center" wrapText="1"/>
    </xf>
    <xf numFmtId="0" fontId="28" fillId="0" borderId="2" xfId="17" applyFont="1" applyBorder="1" applyAlignment="1">
      <alignment horizontal="left" vertical="center" wrapText="1"/>
    </xf>
    <xf numFmtId="3" fontId="28" fillId="0" borderId="3" xfId="17" applyNumberFormat="1" applyFont="1" applyBorder="1" applyAlignment="1">
      <alignment vertical="center" wrapText="1"/>
    </xf>
    <xf numFmtId="3" fontId="28" fillId="0" borderId="4" xfId="17" applyNumberFormat="1" applyFont="1" applyBorder="1" applyAlignment="1">
      <alignment vertical="center" wrapText="1"/>
    </xf>
    <xf numFmtId="0" fontId="26" fillId="0" borderId="7" xfId="17" applyBorder="1"/>
    <xf numFmtId="10" fontId="0" fillId="0" borderId="8" xfId="18" applyNumberFormat="1" applyFont="1" applyBorder="1"/>
    <xf numFmtId="10" fontId="0" fillId="0" borderId="9" xfId="18" applyNumberFormat="1" applyFont="1" applyBorder="1"/>
    <xf numFmtId="0" fontId="30" fillId="0" borderId="0" xfId="17" applyFont="1"/>
    <xf numFmtId="0" fontId="26" fillId="0" borderId="0" xfId="17" applyAlignment="1">
      <alignment horizontal="left" wrapText="1"/>
    </xf>
    <xf numFmtId="0" fontId="26" fillId="6" borderId="0" xfId="17" applyFill="1"/>
    <xf numFmtId="0" fontId="26" fillId="0" borderId="0" xfId="17" applyAlignment="1">
      <alignment vertical="top"/>
    </xf>
    <xf numFmtId="0" fontId="30" fillId="0" borderId="0" xfId="17" applyFont="1" applyAlignment="1">
      <alignment horizontal="center" vertical="top" wrapText="1"/>
    </xf>
    <xf numFmtId="0" fontId="26" fillId="0" borderId="0" xfId="17" applyAlignment="1">
      <alignment horizontal="center" vertical="top"/>
    </xf>
    <xf numFmtId="3" fontId="26" fillId="0" borderId="0" xfId="17" applyNumberFormat="1" applyAlignment="1">
      <alignment vertical="top"/>
    </xf>
    <xf numFmtId="3" fontId="28" fillId="0" borderId="0" xfId="17" applyNumberFormat="1" applyFont="1" applyAlignment="1">
      <alignment vertical="top" wrapText="1"/>
    </xf>
    <xf numFmtId="10" fontId="0" fillId="0" borderId="0" xfId="18" applyNumberFormat="1" applyFont="1" applyAlignment="1">
      <alignment vertical="top"/>
    </xf>
    <xf numFmtId="0" fontId="28" fillId="0" borderId="0" xfId="17" applyFont="1" applyAlignment="1">
      <alignment horizontal="center" vertical="top" wrapText="1"/>
    </xf>
    <xf numFmtId="0" fontId="26" fillId="6" borderId="0" xfId="17" applyFill="1" applyAlignment="1">
      <alignment vertical="top"/>
    </xf>
    <xf numFmtId="10" fontId="0" fillId="6" borderId="0" xfId="18" applyNumberFormat="1" applyFont="1" applyFill="1" applyAlignment="1">
      <alignment vertical="top"/>
    </xf>
    <xf numFmtId="0" fontId="26" fillId="6" borderId="0" xfId="17" applyFill="1" applyAlignment="1">
      <alignment vertical="top" wrapText="1"/>
    </xf>
    <xf numFmtId="10" fontId="0" fillId="6" borderId="0" xfId="18" applyNumberFormat="1" applyFont="1" applyFill="1" applyAlignment="1">
      <alignment vertical="center"/>
    </xf>
    <xf numFmtId="0" fontId="26" fillId="0" borderId="0" xfId="17" applyAlignment="1">
      <alignment vertical="center"/>
    </xf>
    <xf numFmtId="174" fontId="26" fillId="0" borderId="0" xfId="17" applyNumberFormat="1" applyAlignment="1">
      <alignment vertical="top"/>
    </xf>
    <xf numFmtId="0" fontId="27" fillId="0" borderId="0" xfId="17" applyFont="1"/>
    <xf numFmtId="10" fontId="0" fillId="0" borderId="0" xfId="18" applyNumberFormat="1" applyFont="1"/>
    <xf numFmtId="0" fontId="26" fillId="6" borderId="0" xfId="17" applyFill="1" applyAlignment="1">
      <alignment horizontal="left" indent="1"/>
    </xf>
    <xf numFmtId="10" fontId="0" fillId="6" borderId="0" xfId="18" applyNumberFormat="1" applyFont="1" applyFill="1"/>
    <xf numFmtId="0" fontId="26" fillId="0" borderId="0" xfId="17" applyAlignment="1">
      <alignment horizontal="center" vertical="center" wrapText="1"/>
    </xf>
    <xf numFmtId="3" fontId="0" fillId="0" borderId="0" xfId="18" applyNumberFormat="1" applyFont="1"/>
    <xf numFmtId="175" fontId="0" fillId="0" borderId="0" xfId="18" applyNumberFormat="1" applyFont="1"/>
    <xf numFmtId="3" fontId="26" fillId="6" borderId="0" xfId="17" applyNumberFormat="1" applyFill="1"/>
    <xf numFmtId="10" fontId="26" fillId="0" borderId="0" xfId="17" applyNumberFormat="1"/>
    <xf numFmtId="0" fontId="26" fillId="0" borderId="0" xfId="17" applyAlignment="1">
      <alignment horizontal="center"/>
    </xf>
    <xf numFmtId="0" fontId="28" fillId="0" borderId="0" xfId="17" applyFont="1" applyAlignment="1">
      <alignment horizontal="left" vertical="center"/>
    </xf>
    <xf numFmtId="3" fontId="28" fillId="0" borderId="0" xfId="17" applyNumberFormat="1" applyFont="1" applyAlignment="1">
      <alignment horizontal="right" vertical="center"/>
    </xf>
    <xf numFmtId="0" fontId="28" fillId="0" borderId="0" xfId="17" applyFont="1" applyAlignment="1">
      <alignment horizontal="center" vertical="center"/>
    </xf>
    <xf numFmtId="16" fontId="28" fillId="0" borderId="0" xfId="17" quotePrefix="1" applyNumberFormat="1" applyFont="1" applyAlignment="1">
      <alignment horizontal="center" vertical="center"/>
    </xf>
    <xf numFmtId="0" fontId="28" fillId="0" borderId="0" xfId="17" quotePrefix="1" applyFont="1" applyAlignment="1">
      <alignment horizontal="center" vertical="center"/>
    </xf>
    <xf numFmtId="0" fontId="28" fillId="6" borderId="0" xfId="17" applyFont="1" applyFill="1" applyAlignment="1">
      <alignment horizontal="left" vertical="center"/>
    </xf>
    <xf numFmtId="10" fontId="26" fillId="6" borderId="0" xfId="17" applyNumberFormat="1" applyFill="1"/>
    <xf numFmtId="9" fontId="0" fillId="0" borderId="0" xfId="18" applyFont="1"/>
    <xf numFmtId="0" fontId="26" fillId="0" borderId="0" xfId="17" applyAlignment="1">
      <alignment horizontal="left" indent="1"/>
    </xf>
    <xf numFmtId="4" fontId="26" fillId="0" borderId="0" xfId="17" applyNumberFormat="1"/>
    <xf numFmtId="0" fontId="1" fillId="0" borderId="0" xfId="19"/>
    <xf numFmtId="10" fontId="1" fillId="0" borderId="0" xfId="19" applyNumberFormat="1"/>
    <xf numFmtId="0" fontId="23" fillId="0" borderId="0" xfId="19" applyFont="1"/>
    <xf numFmtId="0" fontId="23" fillId="0" borderId="0" xfId="19" applyFont="1" applyAlignment="1">
      <alignment horizontal="center"/>
    </xf>
    <xf numFmtId="3" fontId="0" fillId="0" borderId="0" xfId="20" applyNumberFormat="1" applyFont="1"/>
    <xf numFmtId="3" fontId="1" fillId="0" borderId="0" xfId="19" applyNumberFormat="1"/>
    <xf numFmtId="9" fontId="1" fillId="0" borderId="0" xfId="18" applyFont="1"/>
    <xf numFmtId="10" fontId="1" fillId="0" borderId="0" xfId="18" applyNumberFormat="1" applyFont="1"/>
    <xf numFmtId="0" fontId="0" fillId="0" borderId="0" xfId="20" applyNumberFormat="1" applyFont="1"/>
    <xf numFmtId="0" fontId="1" fillId="0" borderId="0" xfId="19" applyAlignment="1">
      <alignment horizontal="left" indent="2"/>
    </xf>
    <xf numFmtId="0" fontId="23" fillId="0" borderId="10" xfId="19" applyFont="1" applyBorder="1"/>
    <xf numFmtId="0" fontId="23" fillId="0" borderId="11" xfId="19" applyFont="1" applyBorder="1" applyAlignment="1">
      <alignment horizontal="center"/>
    </xf>
    <xf numFmtId="3" fontId="1" fillId="0" borderId="12" xfId="19" applyNumberFormat="1" applyBorder="1"/>
    <xf numFmtId="0" fontId="23" fillId="0" borderId="13" xfId="19" applyFont="1" applyBorder="1"/>
    <xf numFmtId="3" fontId="1" fillId="0" borderId="0" xfId="19" applyNumberFormat="1" applyBorder="1"/>
    <xf numFmtId="3" fontId="1" fillId="0" borderId="14" xfId="19" applyNumberFormat="1" applyBorder="1"/>
    <xf numFmtId="0" fontId="1" fillId="0" borderId="13" xfId="19" applyBorder="1"/>
    <xf numFmtId="0" fontId="1" fillId="0" borderId="15" xfId="19" applyBorder="1"/>
    <xf numFmtId="0" fontId="1" fillId="0" borderId="16" xfId="19" applyBorder="1"/>
    <xf numFmtId="3" fontId="1" fillId="0" borderId="16" xfId="19" applyNumberFormat="1" applyBorder="1"/>
    <xf numFmtId="3" fontId="1" fillId="0" borderId="17" xfId="19" applyNumberFormat="1" applyBorder="1"/>
    <xf numFmtId="0" fontId="1" fillId="0" borderId="10" xfId="19" applyBorder="1"/>
    <xf numFmtId="10" fontId="1" fillId="0" borderId="11" xfId="19" applyNumberFormat="1" applyBorder="1"/>
    <xf numFmtId="0" fontId="1" fillId="0" borderId="11" xfId="19" applyBorder="1"/>
    <xf numFmtId="10" fontId="1" fillId="0" borderId="0" xfId="19" applyNumberFormat="1" applyBorder="1"/>
    <xf numFmtId="0" fontId="1" fillId="0" borderId="0" xfId="19" applyBorder="1"/>
    <xf numFmtId="0" fontId="23" fillId="0" borderId="0" xfId="19" applyFont="1" applyBorder="1" applyAlignment="1">
      <alignment horizontal="center"/>
    </xf>
    <xf numFmtId="0" fontId="1" fillId="0" borderId="14" xfId="19" applyBorder="1"/>
    <xf numFmtId="0" fontId="1" fillId="0" borderId="13" xfId="19" applyBorder="1" applyAlignment="1">
      <alignment wrapText="1"/>
    </xf>
    <xf numFmtId="8" fontId="1" fillId="0" borderId="0" xfId="19" applyNumberFormat="1" applyBorder="1"/>
    <xf numFmtId="9" fontId="1" fillId="0" borderId="0" xfId="19" applyNumberFormat="1" applyBorder="1"/>
    <xf numFmtId="0" fontId="1" fillId="6" borderId="13" xfId="19" applyFill="1" applyBorder="1"/>
    <xf numFmtId="4" fontId="1" fillId="6" borderId="0" xfId="19" applyNumberFormat="1" applyFill="1" applyBorder="1"/>
    <xf numFmtId="2" fontId="1" fillId="0" borderId="16" xfId="19" applyNumberFormat="1" applyBorder="1"/>
    <xf numFmtId="8" fontId="1" fillId="0" borderId="16" xfId="19" applyNumberFormat="1" applyBorder="1"/>
    <xf numFmtId="0" fontId="1" fillId="0" borderId="17" xfId="19" applyBorder="1"/>
    <xf numFmtId="9" fontId="1" fillId="0" borderId="0" xfId="19" applyNumberFormat="1"/>
    <xf numFmtId="4" fontId="1" fillId="0" borderId="0" xfId="19" applyNumberFormat="1"/>
    <xf numFmtId="175" fontId="23" fillId="0" borderId="0" xfId="19" applyNumberFormat="1" applyFont="1" applyAlignment="1">
      <alignment horizontal="center"/>
    </xf>
    <xf numFmtId="9" fontId="23" fillId="0" borderId="0" xfId="19" applyNumberFormat="1" applyFont="1" applyAlignment="1">
      <alignment horizontal="center"/>
    </xf>
    <xf numFmtId="0" fontId="1" fillId="0" borderId="0" xfId="19" applyAlignment="1">
      <alignment horizontal="right"/>
    </xf>
    <xf numFmtId="4" fontId="1" fillId="0" borderId="0" xfId="19" applyNumberFormat="1" applyAlignment="1">
      <alignment horizontal="center"/>
    </xf>
    <xf numFmtId="0" fontId="1" fillId="0" borderId="0" xfId="19" applyAlignment="1">
      <alignment horizontal="center"/>
    </xf>
    <xf numFmtId="176" fontId="9" fillId="0" borderId="0" xfId="0" applyNumberFormat="1" applyFont="1" applyAlignment="1">
      <alignment horizontal="left" vertical="top"/>
    </xf>
    <xf numFmtId="0" fontId="36" fillId="0" borderId="0" xfId="21"/>
    <xf numFmtId="0" fontId="37" fillId="0" borderId="0" xfId="21" applyFont="1"/>
    <xf numFmtId="0" fontId="38" fillId="0" borderId="18" xfId="21" applyFont="1" applyBorder="1"/>
    <xf numFmtId="3" fontId="29" fillId="0" borderId="18" xfId="21" applyNumberFormat="1" applyFont="1" applyBorder="1" applyAlignment="1">
      <alignment horizontal="right"/>
    </xf>
    <xf numFmtId="0" fontId="29" fillId="0" borderId="0" xfId="21" applyFont="1" applyAlignment="1">
      <alignment horizontal="left" wrapText="1"/>
    </xf>
    <xf numFmtId="3" fontId="28" fillId="0" borderId="0" xfId="21" applyNumberFormat="1" applyFont="1" applyAlignment="1">
      <alignment horizontal="right"/>
    </xf>
    <xf numFmtId="0" fontId="28" fillId="0" borderId="0" xfId="21" applyFont="1" applyAlignment="1">
      <alignment horizontal="left" wrapText="1"/>
    </xf>
    <xf numFmtId="177" fontId="29" fillId="0" borderId="19" xfId="21" applyNumberFormat="1" applyFont="1" applyBorder="1" applyAlignment="1">
      <alignment horizontal="center" vertical="center"/>
    </xf>
    <xf numFmtId="0" fontId="29" fillId="0" borderId="19" xfId="21" applyFont="1" applyBorder="1" applyAlignment="1">
      <alignment horizontal="right" vertical="center" wrapText="1"/>
    </xf>
    <xf numFmtId="0" fontId="39" fillId="0" borderId="0" xfId="21" applyFont="1"/>
    <xf numFmtId="10" fontId="26" fillId="0" borderId="0" xfId="22" applyNumberFormat="1" applyFont="1"/>
    <xf numFmtId="43" fontId="2" fillId="0" borderId="8" xfId="0" applyNumberFormat="1" applyFont="1" applyBorder="1"/>
    <xf numFmtId="0" fontId="41" fillId="9" borderId="0" xfId="14" applyFont="1" applyFill="1" applyAlignment="1"/>
    <xf numFmtId="0" fontId="14" fillId="9" borderId="0" xfId="14" applyFont="1" applyFill="1" applyAlignment="1"/>
    <xf numFmtId="0" fontId="12" fillId="5" borderId="0" xfId="0" applyFont="1" applyFill="1" applyAlignment="1">
      <alignment vertical="top" wrapText="1"/>
    </xf>
    <xf numFmtId="2" fontId="0" fillId="0" borderId="0" xfId="18" applyNumberFormat="1" applyFont="1"/>
    <xf numFmtId="0" fontId="42" fillId="0" borderId="0" xfId="0" applyFont="1"/>
    <xf numFmtId="0" fontId="26" fillId="10" borderId="0" xfId="17" applyFill="1"/>
    <xf numFmtId="10" fontId="26" fillId="10" borderId="0" xfId="17" applyNumberFormat="1" applyFill="1"/>
    <xf numFmtId="0" fontId="43" fillId="0" borderId="0" xfId="19" applyFont="1"/>
    <xf numFmtId="0" fontId="30" fillId="10" borderId="0" xfId="17" applyFont="1" applyFill="1"/>
    <xf numFmtId="0" fontId="29" fillId="10" borderId="0" xfId="17" applyFont="1" applyFill="1" applyAlignment="1">
      <alignment horizontal="left" vertical="center"/>
    </xf>
    <xf numFmtId="0" fontId="28" fillId="10" borderId="0" xfId="17" applyFont="1" applyFill="1" applyAlignment="1">
      <alignment horizontal="left" vertical="center"/>
    </xf>
    <xf numFmtId="0" fontId="24" fillId="0" borderId="0" xfId="0" applyFont="1" applyAlignment="1">
      <alignment horizontal="center"/>
    </xf>
    <xf numFmtId="0" fontId="27" fillId="0" borderId="0" xfId="17" applyFont="1" applyAlignment="1">
      <alignment horizontal="center" wrapText="1"/>
    </xf>
    <xf numFmtId="0" fontId="27" fillId="0" borderId="2" xfId="17" applyFont="1" applyBorder="1" applyAlignment="1">
      <alignment horizontal="center" vertical="center" wrapText="1"/>
    </xf>
    <xf numFmtId="0" fontId="27" fillId="0" borderId="3" xfId="17" applyFont="1" applyBorder="1" applyAlignment="1">
      <alignment horizontal="center" vertical="center" wrapText="1"/>
    </xf>
    <xf numFmtId="0" fontId="27" fillId="0" borderId="4" xfId="17" applyFont="1" applyBorder="1" applyAlignment="1">
      <alignment horizontal="center" vertical="center" wrapText="1"/>
    </xf>
    <xf numFmtId="3" fontId="28" fillId="0" borderId="0" xfId="17" applyNumberFormat="1" applyFont="1" applyAlignment="1">
      <alignment horizontal="center" vertical="center" wrapText="1"/>
    </xf>
    <xf numFmtId="0" fontId="28" fillId="0" borderId="0" xfId="17" applyFont="1" applyAlignment="1">
      <alignment horizontal="center" vertical="center" wrapText="1"/>
    </xf>
    <xf numFmtId="0" fontId="27" fillId="0" borderId="0" xfId="17" applyFont="1" applyAlignment="1">
      <alignment horizontal="center" vertical="top"/>
    </xf>
    <xf numFmtId="0" fontId="26" fillId="7" borderId="0" xfId="17" applyFill="1" applyAlignment="1">
      <alignment horizontal="center" vertical="top"/>
    </xf>
    <xf numFmtId="0" fontId="27" fillId="0" borderId="0" xfId="17" applyFont="1" applyAlignment="1">
      <alignment horizontal="center"/>
    </xf>
    <xf numFmtId="0" fontId="26" fillId="8" borderId="0" xfId="17" applyFill="1" applyAlignment="1">
      <alignment horizontal="center"/>
    </xf>
    <xf numFmtId="10" fontId="0" fillId="0" borderId="0" xfId="18" applyNumberFormat="1" applyFont="1" applyAlignment="1">
      <alignment horizontal="left" wrapText="1"/>
    </xf>
    <xf numFmtId="0" fontId="27" fillId="0" borderId="0" xfId="17" applyFont="1" applyAlignment="1">
      <alignment horizontal="center" vertical="center" wrapText="1"/>
    </xf>
    <xf numFmtId="0" fontId="24" fillId="0" borderId="0" xfId="19" applyFont="1" applyAlignment="1">
      <alignment horizontal="center"/>
    </xf>
  </cellXfs>
  <cellStyles count="26">
    <cellStyle name="ChartingText" xfId="15" xr:uid="{00000000-0005-0000-0000-000000000000}"/>
    <cellStyle name="CHPAboveAverage" xfId="16" xr:uid="{00000000-0005-0000-0000-000001000000}"/>
    <cellStyle name="CHPBelowAverage" xfId="16" xr:uid="{00000000-0005-0000-0000-000002000000}"/>
    <cellStyle name="CHPBottom" xfId="16" xr:uid="{00000000-0005-0000-0000-000003000000}"/>
    <cellStyle name="CHPTop" xfId="16" xr:uid="{00000000-0005-0000-0000-000004000000}"/>
    <cellStyle name="ColumnHeaderNormal" xfId="7" xr:uid="{00000000-0005-0000-0000-000005000000}"/>
    <cellStyle name="Comma" xfId="1" builtinId="3"/>
    <cellStyle name="Comma 2" xfId="20" xr:uid="{27A55DB0-027C-474A-AEDC-901622D7CF9C}"/>
    <cellStyle name="Invisible" xfId="14" xr:uid="{00000000-0005-0000-0000-000007000000}"/>
    <cellStyle name="NewColumnHeaderNormal" xfId="5" xr:uid="{00000000-0005-0000-0000-000008000000}"/>
    <cellStyle name="NewSectionHeaderNormal" xfId="4" xr:uid="{00000000-0005-0000-0000-000009000000}"/>
    <cellStyle name="NewTitleNormal" xfId="3" xr:uid="{00000000-0005-0000-0000-00000A000000}"/>
    <cellStyle name="Normal" xfId="0" builtinId="0"/>
    <cellStyle name="Normal 2" xfId="17" xr:uid="{276727DF-8486-43BF-A28A-8535CFAEF771}"/>
    <cellStyle name="Normal 2 2" xfId="19" xr:uid="{CE48F83E-8EC7-40AE-95DE-CA7430FE9AC1}"/>
    <cellStyle name="Normal 3" xfId="21" xr:uid="{977A6A3C-298E-4C4A-8F57-94840F92CF7C}"/>
    <cellStyle name="Percent" xfId="22" builtinId="5"/>
    <cellStyle name="Percent 2" xfId="18" xr:uid="{07B9C25A-C4B5-47D8-8A41-4B2951836FBE}"/>
    <cellStyle name="SectionHeaderNormal" xfId="6" xr:uid="{00000000-0005-0000-0000-00000C000000}"/>
    <cellStyle name="SubScript" xfId="10" xr:uid="{00000000-0005-0000-0000-00000D000000}"/>
    <cellStyle name="SuperScript" xfId="9" xr:uid="{00000000-0005-0000-0000-00000E000000}"/>
    <cellStyle name="TextBold" xfId="11" xr:uid="{00000000-0005-0000-0000-00000F000000}"/>
    <cellStyle name="TextItalic" xfId="12" xr:uid="{00000000-0005-0000-0000-000010000000}"/>
    <cellStyle name="TextNormal" xfId="8" xr:uid="{00000000-0005-0000-0000-000011000000}"/>
    <cellStyle name="TitleNormal" xfId="2" xr:uid="{00000000-0005-0000-0000-000012000000}"/>
    <cellStyle name="Total" xfId="13" builtinId="25" customBuiltin="1"/>
  </cellStyles>
  <dxfs count="1">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Total Revenue</c:v>
          </c:tx>
          <c:spPr>
            <a:ln w="28575" cap="rnd">
              <a:solidFill>
                <a:schemeClr val="accent1"/>
              </a:solidFill>
              <a:round/>
            </a:ln>
            <a:effectLst/>
          </c:spPr>
          <c:marker>
            <c:symbol val="none"/>
          </c:marker>
          <c:cat>
            <c:numRef>
              <c:f>'^Analysis of Sales^'!$A$3:$A$7</c:f>
              <c:numCache>
                <c:formatCode>General</c:formatCode>
                <c:ptCount val="5"/>
                <c:pt idx="0">
                  <c:v>2014</c:v>
                </c:pt>
                <c:pt idx="1">
                  <c:v>2015</c:v>
                </c:pt>
                <c:pt idx="2">
                  <c:v>2016</c:v>
                </c:pt>
                <c:pt idx="3">
                  <c:v>2017</c:v>
                </c:pt>
                <c:pt idx="4">
                  <c:v>2018</c:v>
                </c:pt>
              </c:numCache>
            </c:numRef>
          </c:cat>
          <c:val>
            <c:numRef>
              <c:f>'^Analysis of Sales^'!$D$3:$D$7</c:f>
              <c:numCache>
                <c:formatCode>#,##0</c:formatCode>
                <c:ptCount val="5"/>
                <c:pt idx="0">
                  <c:v>16447.8</c:v>
                </c:pt>
                <c:pt idx="1">
                  <c:v>19162.7</c:v>
                </c:pt>
                <c:pt idx="2">
                  <c:v>21315.899999999998</c:v>
                </c:pt>
                <c:pt idx="3">
                  <c:v>22386.799999999999</c:v>
                </c:pt>
                <c:pt idx="4">
                  <c:v>25278.5</c:v>
                </c:pt>
              </c:numCache>
            </c:numRef>
          </c:val>
          <c:smooth val="0"/>
          <c:extLst>
            <c:ext xmlns:c16="http://schemas.microsoft.com/office/drawing/2014/chart" uri="{C3380CC4-5D6E-409C-BE32-E72D297353CC}">
              <c16:uniqueId val="{00000001-61E3-4423-8738-736716027C27}"/>
            </c:ext>
          </c:extLst>
        </c:ser>
        <c:dLbls>
          <c:showLegendKey val="0"/>
          <c:showVal val="0"/>
          <c:showCatName val="0"/>
          <c:showSerName val="0"/>
          <c:showPercent val="0"/>
          <c:showBubbleSize val="0"/>
        </c:dLbls>
        <c:smooth val="0"/>
        <c:axId val="488754464"/>
        <c:axId val="593223664"/>
      </c:lineChart>
      <c:catAx>
        <c:axId val="48875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23664"/>
        <c:crosses val="autoZero"/>
        <c:auto val="1"/>
        <c:lblAlgn val="ctr"/>
        <c:lblOffset val="100"/>
        <c:noMultiLvlLbl val="0"/>
      </c:catAx>
      <c:valAx>
        <c:axId val="593223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75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Sales Growth</c:v>
          </c:tx>
          <c:spPr>
            <a:ln w="28575" cap="rnd">
              <a:solidFill>
                <a:schemeClr val="accent1"/>
              </a:solidFill>
              <a:round/>
            </a:ln>
            <a:effectLst/>
          </c:spPr>
          <c:marker>
            <c:symbol val="none"/>
          </c:marker>
          <c:cat>
            <c:numRef>
              <c:f>'^Analysis of Sales^'!$A$4:$A$7</c:f>
              <c:numCache>
                <c:formatCode>General</c:formatCode>
                <c:ptCount val="4"/>
                <c:pt idx="0">
                  <c:v>2015</c:v>
                </c:pt>
                <c:pt idx="1">
                  <c:v>2016</c:v>
                </c:pt>
                <c:pt idx="2">
                  <c:v>2017</c:v>
                </c:pt>
                <c:pt idx="3">
                  <c:v>2018</c:v>
                </c:pt>
              </c:numCache>
            </c:numRef>
          </c:cat>
          <c:val>
            <c:numRef>
              <c:f>'^Analysis of Sales^'!$E$4:$E$7</c:f>
              <c:numCache>
                <c:formatCode>0.00%</c:formatCode>
                <c:ptCount val="4"/>
                <c:pt idx="0">
                  <c:v>0.16506158878391042</c:v>
                </c:pt>
                <c:pt idx="1">
                  <c:v>0.1123641240534996</c:v>
                </c:pt>
                <c:pt idx="2">
                  <c:v>5.0239492585347101E-2</c:v>
                </c:pt>
                <c:pt idx="3">
                  <c:v>0.12916986795790386</c:v>
                </c:pt>
              </c:numCache>
            </c:numRef>
          </c:val>
          <c:smooth val="0"/>
          <c:extLst>
            <c:ext xmlns:c16="http://schemas.microsoft.com/office/drawing/2014/chart" uri="{C3380CC4-5D6E-409C-BE32-E72D297353CC}">
              <c16:uniqueId val="{00000000-2739-4B65-8309-09F2095796E6}"/>
            </c:ext>
          </c:extLst>
        </c:ser>
        <c:dLbls>
          <c:showLegendKey val="0"/>
          <c:showVal val="0"/>
          <c:showCatName val="0"/>
          <c:showSerName val="0"/>
          <c:showPercent val="0"/>
          <c:showBubbleSize val="0"/>
        </c:dLbls>
        <c:smooth val="0"/>
        <c:axId val="493261520"/>
        <c:axId val="493258896"/>
      </c:lineChart>
      <c:catAx>
        <c:axId val="49326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8896"/>
        <c:crosses val="autoZero"/>
        <c:auto val="1"/>
        <c:lblAlgn val="ctr"/>
        <c:lblOffset val="100"/>
        <c:noMultiLvlLbl val="0"/>
      </c:catAx>
      <c:valAx>
        <c:axId val="4932588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6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NWC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tx>
            <c:strRef>
              <c:f>'^NWC Analysis^'!$A$3</c:f>
              <c:strCache>
                <c:ptCount val="1"/>
                <c:pt idx="0">
                  <c:v>CA/Sales</c:v>
                </c:pt>
              </c:strCache>
            </c:strRef>
          </c:tx>
          <c:spPr>
            <a:ln w="19050" cap="rnd">
              <a:solidFill>
                <a:schemeClr val="tx1"/>
              </a:solidFill>
              <a:round/>
            </a:ln>
            <a:effectLst/>
          </c:spPr>
          <c:marker>
            <c:symbol val="x"/>
            <c:size val="8"/>
            <c:spPr>
              <a:solidFill>
                <a:schemeClr val="accent1"/>
              </a:solidFill>
              <a:ln w="9525">
                <a:solidFill>
                  <a:schemeClr val="accent1"/>
                </a:solidFill>
              </a:ln>
              <a:effectLst/>
            </c:spPr>
          </c:marker>
          <c:xVal>
            <c:numRef>
              <c:f>'^NWC Analysis^'!$B$2:$F$2</c:f>
              <c:numCache>
                <c:formatCode>General</c:formatCode>
                <c:ptCount val="5"/>
                <c:pt idx="0">
                  <c:v>2007</c:v>
                </c:pt>
                <c:pt idx="1">
                  <c:v>2008</c:v>
                </c:pt>
                <c:pt idx="2">
                  <c:v>2009</c:v>
                </c:pt>
                <c:pt idx="3">
                  <c:v>2010</c:v>
                </c:pt>
                <c:pt idx="4">
                  <c:v>2011</c:v>
                </c:pt>
              </c:numCache>
            </c:numRef>
          </c:xVal>
          <c:yVal>
            <c:numRef>
              <c:f>'^NWC Analysis^'!$B$3:$F$3</c:f>
              <c:numCache>
                <c:formatCode>0.00</c:formatCode>
                <c:ptCount val="5"/>
                <c:pt idx="0">
                  <c:v>0.29181410279794257</c:v>
                </c:pt>
                <c:pt idx="1">
                  <c:v>0.24474630401770103</c:v>
                </c:pt>
                <c:pt idx="2">
                  <c:v>0.25927593955685663</c:v>
                </c:pt>
                <c:pt idx="3">
                  <c:v>0.27792270445083705</c:v>
                </c:pt>
                <c:pt idx="4">
                  <c:v>0.3370255355341496</c:v>
                </c:pt>
              </c:numCache>
            </c:numRef>
          </c:yVal>
          <c:smooth val="0"/>
          <c:extLst>
            <c:ext xmlns:c16="http://schemas.microsoft.com/office/drawing/2014/chart" uri="{C3380CC4-5D6E-409C-BE32-E72D297353CC}">
              <c16:uniqueId val="{00000000-AFDE-42B0-9365-5D5E850A134D}"/>
            </c:ext>
          </c:extLst>
        </c:ser>
        <c:ser>
          <c:idx val="1"/>
          <c:order val="1"/>
          <c:tx>
            <c:strRef>
              <c:f>'^NWC Analysis^'!$A$4</c:f>
              <c:strCache>
                <c:ptCount val="1"/>
                <c:pt idx="0">
                  <c:v>CL/Sales</c:v>
                </c:pt>
              </c:strCache>
            </c:strRef>
          </c:tx>
          <c:spPr>
            <a:ln w="19050" cap="rnd">
              <a:solidFill>
                <a:schemeClr val="accent1"/>
              </a:solidFill>
              <a:prstDash val="sysDash"/>
              <a:round/>
            </a:ln>
            <a:effectLst/>
          </c:spPr>
          <c:marker>
            <c:symbol val="none"/>
          </c:marker>
          <c:xVal>
            <c:numRef>
              <c:f>'^NWC Analysis^'!$B$2:$F$2</c:f>
              <c:numCache>
                <c:formatCode>General</c:formatCode>
                <c:ptCount val="5"/>
                <c:pt idx="0">
                  <c:v>2007</c:v>
                </c:pt>
                <c:pt idx="1">
                  <c:v>2008</c:v>
                </c:pt>
                <c:pt idx="2">
                  <c:v>2009</c:v>
                </c:pt>
                <c:pt idx="3">
                  <c:v>2010</c:v>
                </c:pt>
                <c:pt idx="4">
                  <c:v>2011</c:v>
                </c:pt>
              </c:numCache>
            </c:numRef>
          </c:xVal>
          <c:yVal>
            <c:numRef>
              <c:f>'^NWC Analysis^'!$B$4:$F$4</c:f>
              <c:numCache>
                <c:formatCode>0.00</c:formatCode>
                <c:ptCount val="5"/>
                <c:pt idx="0">
                  <c:v>0.15230000364790428</c:v>
                </c:pt>
                <c:pt idx="1">
                  <c:v>0.1546702708908452</c:v>
                </c:pt>
                <c:pt idx="2">
                  <c:v>0.17903067663105948</c:v>
                </c:pt>
                <c:pt idx="3">
                  <c:v>0.15358157485661192</c:v>
                </c:pt>
                <c:pt idx="4">
                  <c:v>0.17117313131712719</c:v>
                </c:pt>
              </c:numCache>
            </c:numRef>
          </c:yVal>
          <c:smooth val="0"/>
          <c:extLst>
            <c:ext xmlns:c16="http://schemas.microsoft.com/office/drawing/2014/chart" uri="{C3380CC4-5D6E-409C-BE32-E72D297353CC}">
              <c16:uniqueId val="{00000001-AFDE-42B0-9365-5D5E850A134D}"/>
            </c:ext>
          </c:extLst>
        </c:ser>
        <c:dLbls>
          <c:showLegendKey val="0"/>
          <c:showVal val="0"/>
          <c:showCatName val="0"/>
          <c:showSerName val="0"/>
          <c:showPercent val="0"/>
          <c:showBubbleSize val="0"/>
        </c:dLbls>
        <c:axId val="483782784"/>
        <c:axId val="483783176"/>
      </c:scatterChart>
      <c:valAx>
        <c:axId val="483782784"/>
        <c:scaling>
          <c:orientation val="minMax"/>
          <c:max val="2011"/>
          <c:min val="200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3783176"/>
        <c:crosses val="autoZero"/>
        <c:crossBetween val="midCat"/>
        <c:majorUnit val="1"/>
      </c:valAx>
      <c:valAx>
        <c:axId val="483783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3782784"/>
        <c:crossesAt val="2006.5"/>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'^Operating Costs^'!$A$7</c:f>
              <c:strCache>
                <c:ptCount val="1"/>
                <c:pt idx="0">
                  <c:v>Net operating costs/Sales</c:v>
                </c:pt>
              </c:strCache>
            </c:strRef>
          </c:tx>
          <c:spPr>
            <a:solidFill>
              <a:schemeClr val="accent1"/>
            </a:solidFill>
            <a:ln>
              <a:noFill/>
            </a:ln>
            <a:effectLst/>
          </c:spPr>
          <c:invertIfNegative val="0"/>
          <c:cat>
            <c:numRef>
              <c:f>'^Operating Costs^'!$B$2:$F$2</c:f>
              <c:numCache>
                <c:formatCode>General</c:formatCode>
                <c:ptCount val="5"/>
                <c:pt idx="0">
                  <c:v>2014</c:v>
                </c:pt>
                <c:pt idx="1">
                  <c:v>2015</c:v>
                </c:pt>
                <c:pt idx="2">
                  <c:v>2016</c:v>
                </c:pt>
                <c:pt idx="3">
                  <c:v>2017</c:v>
                </c:pt>
                <c:pt idx="4">
                  <c:v>2018</c:v>
                </c:pt>
              </c:numCache>
            </c:numRef>
          </c:cat>
          <c:val>
            <c:numRef>
              <c:f>'^Operating Costs^'!$B$7:$F$7</c:f>
              <c:numCache>
                <c:formatCode>0.0%</c:formatCode>
                <c:ptCount val="5"/>
                <c:pt idx="0">
                  <c:v>0.78471284913483885</c:v>
                </c:pt>
                <c:pt idx="1">
                  <c:v>0.77639372322271916</c:v>
                </c:pt>
                <c:pt idx="2">
                  <c:v>0.77088464479566909</c:v>
                </c:pt>
                <c:pt idx="3">
                  <c:v>0.77826665713724164</c:v>
                </c:pt>
                <c:pt idx="4">
                  <c:v>0.80011472199695377</c:v>
                </c:pt>
              </c:numCache>
            </c:numRef>
          </c:val>
          <c:extLst>
            <c:ext xmlns:c16="http://schemas.microsoft.com/office/drawing/2014/chart" uri="{C3380CC4-5D6E-409C-BE32-E72D297353CC}">
              <c16:uniqueId val="{00000000-E429-46B0-9629-40F3411B0652}"/>
            </c:ext>
          </c:extLst>
        </c:ser>
        <c:dLbls>
          <c:showLegendKey val="0"/>
          <c:showVal val="0"/>
          <c:showCatName val="0"/>
          <c:showSerName val="0"/>
          <c:showPercent val="0"/>
          <c:showBubbleSize val="0"/>
        </c:dLbls>
        <c:gapWidth val="219"/>
        <c:overlap val="-27"/>
        <c:axId val="483783960"/>
        <c:axId val="530488080"/>
      </c:barChart>
      <c:catAx>
        <c:axId val="483783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0488080"/>
        <c:crosses val="autoZero"/>
        <c:auto val="1"/>
        <c:lblAlgn val="ctr"/>
        <c:lblOffset val="100"/>
        <c:noMultiLvlLbl val="0"/>
      </c:catAx>
      <c:valAx>
        <c:axId val="530488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3783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1381125</xdr:colOff>
      <xdr:row>1</xdr:row>
      <xdr:rowOff>104775</xdr:rowOff>
    </xdr:to>
    <xdr:pic>
      <xdr:nvPicPr>
        <xdr:cNvPr id="1026" name="Picture 2">
          <a:extLst>
            <a:ext uri="{FF2B5EF4-FFF2-40B4-BE49-F238E27FC236}">
              <a16:creationId xmlns:a16="http://schemas.microsoft.com/office/drawing/2014/main" id="{086FCBAE-ECE5-495E-BDA7-745A84CD7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81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61</xdr:row>
      <xdr:rowOff>0</xdr:rowOff>
    </xdr:from>
    <xdr:to>
      <xdr:col>3</xdr:col>
      <xdr:colOff>581025</xdr:colOff>
      <xdr:row>61</xdr:row>
      <xdr:rowOff>1905000</xdr:rowOff>
    </xdr:to>
    <xdr:pic>
      <xdr:nvPicPr>
        <xdr:cNvPr id="1027" name="Picture 3">
          <a:extLst>
            <a:ext uri="{FF2B5EF4-FFF2-40B4-BE49-F238E27FC236}">
              <a16:creationId xmlns:a16="http://schemas.microsoft.com/office/drawing/2014/main" id="{05D6AB02-5FD2-458B-B438-091E0A766B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9915525"/>
          <a:ext cx="56007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1381125</xdr:colOff>
      <xdr:row>1</xdr:row>
      <xdr:rowOff>104775</xdr:rowOff>
    </xdr:to>
    <xdr:pic>
      <xdr:nvPicPr>
        <xdr:cNvPr id="3074" name="Picture 2">
          <a:extLst>
            <a:ext uri="{FF2B5EF4-FFF2-40B4-BE49-F238E27FC236}">
              <a16:creationId xmlns:a16="http://schemas.microsoft.com/office/drawing/2014/main" id="{A973707B-A4D4-4C23-88A0-34B09AA3F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81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1381125</xdr:colOff>
      <xdr:row>1</xdr:row>
      <xdr:rowOff>104775</xdr:rowOff>
    </xdr:to>
    <xdr:pic>
      <xdr:nvPicPr>
        <xdr:cNvPr id="5122" name="Picture 2">
          <a:extLst>
            <a:ext uri="{FF2B5EF4-FFF2-40B4-BE49-F238E27FC236}">
              <a16:creationId xmlns:a16="http://schemas.microsoft.com/office/drawing/2014/main" id="{AFDC7AB7-DEC0-443C-958C-B89E370BC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81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1381125</xdr:colOff>
      <xdr:row>1</xdr:row>
      <xdr:rowOff>104775</xdr:rowOff>
    </xdr:to>
    <xdr:pic>
      <xdr:nvPicPr>
        <xdr:cNvPr id="7170" name="Picture 2">
          <a:extLst>
            <a:ext uri="{FF2B5EF4-FFF2-40B4-BE49-F238E27FC236}">
              <a16:creationId xmlns:a16="http://schemas.microsoft.com/office/drawing/2014/main" id="{FAC21A93-8206-47D4-BE1C-DDE5233AA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81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1381125</xdr:colOff>
      <xdr:row>1</xdr:row>
      <xdr:rowOff>104775</xdr:rowOff>
    </xdr:to>
    <xdr:pic>
      <xdr:nvPicPr>
        <xdr:cNvPr id="9218" name="Picture 2">
          <a:extLst>
            <a:ext uri="{FF2B5EF4-FFF2-40B4-BE49-F238E27FC236}">
              <a16:creationId xmlns:a16="http://schemas.microsoft.com/office/drawing/2014/main" id="{83B7DD34-2F9B-4EC8-BE00-CFFE65655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811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200025</xdr:colOff>
      <xdr:row>0</xdr:row>
      <xdr:rowOff>76200</xdr:rowOff>
    </xdr:from>
    <xdr:to>
      <xdr:col>11</xdr:col>
      <xdr:colOff>466725</xdr:colOff>
      <xdr:row>11</xdr:row>
      <xdr:rowOff>114300</xdr:rowOff>
    </xdr:to>
    <xdr:graphicFrame macro="">
      <xdr:nvGraphicFramePr>
        <xdr:cNvPr id="4" name="Chart 3">
          <a:extLst>
            <a:ext uri="{FF2B5EF4-FFF2-40B4-BE49-F238E27FC236}">
              <a16:creationId xmlns:a16="http://schemas.microsoft.com/office/drawing/2014/main" id="{FCBA8A8B-272C-4BAD-97D5-6D8A6614D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228600</xdr:colOff>
      <xdr:row>12</xdr:row>
      <xdr:rowOff>133350</xdr:rowOff>
    </xdr:from>
    <xdr:to>
      <xdr:col>11</xdr:col>
      <xdr:colOff>514350</xdr:colOff>
      <xdr:row>25</xdr:row>
      <xdr:rowOff>28575</xdr:rowOff>
    </xdr:to>
    <xdr:graphicFrame macro="">
      <xdr:nvGraphicFramePr>
        <xdr:cNvPr id="5" name="Chart 4">
          <a:extLst>
            <a:ext uri="{FF2B5EF4-FFF2-40B4-BE49-F238E27FC236}">
              <a16:creationId xmlns:a16="http://schemas.microsoft.com/office/drawing/2014/main" id="{5422D3E4-2D4A-4567-BB43-BD6715136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228600</xdr:colOff>
      <xdr:row>7</xdr:row>
      <xdr:rowOff>30480</xdr:rowOff>
    </xdr:from>
    <xdr:to>
      <xdr:col>5</xdr:col>
      <xdr:colOff>274320</xdr:colOff>
      <xdr:row>21</xdr:row>
      <xdr:rowOff>129540</xdr:rowOff>
    </xdr:to>
    <xdr:graphicFrame macro="">
      <xdr:nvGraphicFramePr>
        <xdr:cNvPr id="2" name="Chart 1">
          <a:extLst>
            <a:ext uri="{FF2B5EF4-FFF2-40B4-BE49-F238E27FC236}">
              <a16:creationId xmlns:a16="http://schemas.microsoft.com/office/drawing/2014/main" id="{8D802324-FA7D-4F32-999A-96C03F020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1234440</xdr:colOff>
      <xdr:row>7</xdr:row>
      <xdr:rowOff>49530</xdr:rowOff>
    </xdr:from>
    <xdr:to>
      <xdr:col>6</xdr:col>
      <xdr:colOff>106680</xdr:colOff>
      <xdr:row>22</xdr:row>
      <xdr:rowOff>163830</xdr:rowOff>
    </xdr:to>
    <xdr:graphicFrame macro="">
      <xdr:nvGraphicFramePr>
        <xdr:cNvPr id="2" name="Chart 1">
          <a:extLst>
            <a:ext uri="{FF2B5EF4-FFF2-40B4-BE49-F238E27FC236}">
              <a16:creationId xmlns:a16="http://schemas.microsoft.com/office/drawing/2014/main" id="{C28E6801-BD61-473E-BC7E-9C76DFC6D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1711377</xdr:colOff>
      <xdr:row>84</xdr:row>
      <xdr:rowOff>143655</xdr:rowOff>
    </xdr:from>
    <xdr:to>
      <xdr:col>1</xdr:col>
      <xdr:colOff>387246</xdr:colOff>
      <xdr:row>89</xdr:row>
      <xdr:rowOff>31230</xdr:rowOff>
    </xdr:to>
    <xdr:cxnSp macro="">
      <xdr:nvCxnSpPr>
        <xdr:cNvPr id="2" name="Straight Arrow Connector 1">
          <a:extLst>
            <a:ext uri="{FF2B5EF4-FFF2-40B4-BE49-F238E27FC236}">
              <a16:creationId xmlns:a16="http://schemas.microsoft.com/office/drawing/2014/main" id="{574B5F19-5BB5-446F-BD5C-1800F08E3C6C}"/>
            </a:ext>
          </a:extLst>
        </xdr:cNvPr>
        <xdr:cNvCxnSpPr/>
      </xdr:nvCxnSpPr>
      <xdr:spPr>
        <a:xfrm flipV="1">
          <a:off x="1711377" y="15650355"/>
          <a:ext cx="742794" cy="69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9.xml"/><Relationship Id="rId1" Type="http://schemas.openxmlformats.org/officeDocument/2006/relationships/printerSettings" Target="../printerSettings/printerSettings1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pageSetUpPr autoPageBreaks="0"/>
  </sheetPr>
  <dimension ref="A5:IT84"/>
  <sheetViews>
    <sheetView workbookViewId="0"/>
  </sheetViews>
  <sheetFormatPr defaultRowHeight="11.25" x14ac:dyDescent="0.2"/>
  <cols>
    <col min="1" max="1" width="45.85546875" customWidth="1"/>
    <col min="2" max="6" width="14.85546875" customWidth="1"/>
  </cols>
  <sheetData>
    <row r="5" spans="1:254" ht="15.75" x14ac:dyDescent="0.2">
      <c r="A5" s="1" t="s">
        <v>0</v>
      </c>
    </row>
    <row r="7" spans="1:254" x14ac:dyDescent="0.2">
      <c r="A7" s="2" t="s">
        <v>1</v>
      </c>
      <c r="B7" s="3" t="s">
        <v>2</v>
      </c>
      <c r="C7" t="s">
        <v>3</v>
      </c>
      <c r="D7" s="4" t="s">
        <v>4</v>
      </c>
      <c r="E7" s="3" t="s">
        <v>5</v>
      </c>
    </row>
    <row r="8" spans="1:254" x14ac:dyDescent="0.2">
      <c r="A8" s="4"/>
      <c r="B8" s="3" t="s">
        <v>6</v>
      </c>
      <c r="C8" t="s">
        <v>7</v>
      </c>
      <c r="D8" s="4" t="s">
        <v>4</v>
      </c>
      <c r="E8" s="3" t="s">
        <v>8</v>
      </c>
    </row>
    <row r="9" spans="1:254" x14ac:dyDescent="0.2">
      <c r="A9" s="4"/>
      <c r="B9" s="3" t="s">
        <v>10</v>
      </c>
      <c r="C9" s="5" t="s">
        <v>11</v>
      </c>
      <c r="D9" s="4" t="s">
        <v>4</v>
      </c>
      <c r="E9" s="3" t="s">
        <v>12</v>
      </c>
    </row>
    <row r="12" spans="1:254" x14ac:dyDescent="0.2">
      <c r="A12" s="6" t="s">
        <v>14</v>
      </c>
      <c r="B12" s="6"/>
      <c r="C12" s="6"/>
      <c r="D12" s="6"/>
      <c r="E12" s="6"/>
      <c r="F12" s="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c r="IP12" s="36"/>
      <c r="IQ12" s="36"/>
      <c r="IR12" s="36"/>
      <c r="IS12" s="36"/>
      <c r="IT12" s="36"/>
    </row>
    <row r="13" spans="1:254" ht="33.75" x14ac:dyDescent="0.2">
      <c r="A13" s="7" t="s">
        <v>15</v>
      </c>
      <c r="B13" s="13" t="s">
        <v>16</v>
      </c>
      <c r="C13" s="13" t="s">
        <v>17</v>
      </c>
      <c r="D13" s="13" t="s">
        <v>18</v>
      </c>
      <c r="E13" s="13" t="s">
        <v>19</v>
      </c>
      <c r="F13" s="13" t="s">
        <v>21</v>
      </c>
    </row>
    <row r="14" spans="1:254" x14ac:dyDescent="0.2">
      <c r="A14" s="8" t="s">
        <v>22</v>
      </c>
      <c r="B14" s="14" t="s">
        <v>23</v>
      </c>
      <c r="C14" s="14" t="s">
        <v>23</v>
      </c>
      <c r="D14" s="14" t="s">
        <v>23</v>
      </c>
      <c r="E14" s="14" t="s">
        <v>23</v>
      </c>
      <c r="F14" s="14" t="s">
        <v>23</v>
      </c>
    </row>
    <row r="15" spans="1:254" x14ac:dyDescent="0.2">
      <c r="A15" s="9"/>
      <c r="B15" s="11"/>
      <c r="C15" s="11"/>
      <c r="D15" s="11"/>
      <c r="E15" s="11"/>
      <c r="F15" s="11"/>
    </row>
    <row r="16" spans="1:254" x14ac:dyDescent="0.2">
      <c r="A16" s="9" t="s">
        <v>24</v>
      </c>
      <c r="B16" s="15">
        <v>16447.8</v>
      </c>
      <c r="C16" s="15">
        <v>19162.7</v>
      </c>
      <c r="D16" s="15">
        <v>21315.9</v>
      </c>
      <c r="E16" s="15">
        <v>22386.799999999999</v>
      </c>
      <c r="F16" s="15">
        <v>25278.5</v>
      </c>
    </row>
    <row r="17" spans="1:6" x14ac:dyDescent="0.2">
      <c r="A17" s="10" t="s">
        <v>25</v>
      </c>
      <c r="B17" s="16">
        <v>0.10634399999999999</v>
      </c>
      <c r="C17" s="16">
        <v>0.16506100000000001</v>
      </c>
      <c r="D17" s="16">
        <v>0.11236400000000001</v>
      </c>
      <c r="E17" s="16">
        <v>5.0238999999999999E-2</v>
      </c>
      <c r="F17" s="16">
        <v>0.112237</v>
      </c>
    </row>
    <row r="18" spans="1:6" x14ac:dyDescent="0.2">
      <c r="A18" s="11"/>
      <c r="B18" s="11"/>
      <c r="C18" s="11"/>
      <c r="D18" s="11"/>
      <c r="E18" s="11"/>
      <c r="F18" s="11"/>
    </row>
    <row r="19" spans="1:6" x14ac:dyDescent="0.2">
      <c r="A19" s="9" t="s">
        <v>26</v>
      </c>
      <c r="B19" s="15">
        <v>4950.8</v>
      </c>
      <c r="C19" s="15">
        <v>5964.1</v>
      </c>
      <c r="D19" s="15">
        <v>6742.6</v>
      </c>
      <c r="E19" s="15">
        <v>6859.2</v>
      </c>
      <c r="F19" s="15">
        <v>7397.8</v>
      </c>
    </row>
    <row r="20" spans="1:6" x14ac:dyDescent="0.2">
      <c r="A20" s="10" t="s">
        <v>27</v>
      </c>
      <c r="B20" s="16">
        <v>0.30099999999999999</v>
      </c>
      <c r="C20" s="16">
        <v>0.31123400000000001</v>
      </c>
      <c r="D20" s="16">
        <v>0.31631700000000001</v>
      </c>
      <c r="E20" s="16">
        <v>0.306394</v>
      </c>
      <c r="F20" s="16">
        <v>0.29265099999999999</v>
      </c>
    </row>
    <row r="21" spans="1:6" x14ac:dyDescent="0.2">
      <c r="A21" s="11"/>
      <c r="B21" s="11"/>
      <c r="C21" s="11"/>
      <c r="D21" s="11"/>
      <c r="E21" s="11"/>
      <c r="F21" s="11"/>
    </row>
    <row r="22" spans="1:6" x14ac:dyDescent="0.2">
      <c r="A22" s="9" t="s">
        <v>28</v>
      </c>
      <c r="B22" s="15">
        <v>3541</v>
      </c>
      <c r="C22" s="15">
        <v>4284.8999999999996</v>
      </c>
      <c r="D22" s="15">
        <v>4883.8</v>
      </c>
      <c r="E22" s="15">
        <v>4963.8999999999996</v>
      </c>
      <c r="F22" s="15">
        <v>5131.2</v>
      </c>
    </row>
    <row r="23" spans="1:6" x14ac:dyDescent="0.2">
      <c r="A23" s="10" t="s">
        <v>27</v>
      </c>
      <c r="B23" s="16">
        <v>0.21528700000000001</v>
      </c>
      <c r="C23" s="16">
        <v>0.223606</v>
      </c>
      <c r="D23" s="16">
        <v>0.22911500000000001</v>
      </c>
      <c r="E23" s="16">
        <v>0.22173300000000001</v>
      </c>
      <c r="F23" s="16">
        <v>0.202986</v>
      </c>
    </row>
    <row r="24" spans="1:6" x14ac:dyDescent="0.2">
      <c r="A24" s="11"/>
      <c r="B24" s="11"/>
      <c r="C24" s="11"/>
      <c r="D24" s="11"/>
      <c r="E24" s="11"/>
      <c r="F24" s="11"/>
    </row>
    <row r="25" spans="1:6" x14ac:dyDescent="0.2">
      <c r="A25" s="9" t="s">
        <v>29</v>
      </c>
      <c r="B25" s="15">
        <v>2792.6</v>
      </c>
      <c r="C25" s="15">
        <v>3351.1</v>
      </c>
      <c r="D25" s="15">
        <v>3853.7</v>
      </c>
      <c r="E25" s="15">
        <v>3896.8</v>
      </c>
      <c r="F25" s="15">
        <v>3746.9</v>
      </c>
    </row>
    <row r="26" spans="1:6" x14ac:dyDescent="0.2">
      <c r="A26" s="10" t="s">
        <v>27</v>
      </c>
      <c r="B26" s="16">
        <v>0.16978499999999999</v>
      </c>
      <c r="C26" s="16">
        <v>0.174876</v>
      </c>
      <c r="D26" s="16">
        <v>0.18078900000000001</v>
      </c>
      <c r="E26" s="16">
        <v>0.174066</v>
      </c>
      <c r="F26" s="16">
        <v>0.14822399999999999</v>
      </c>
    </row>
    <row r="27" spans="1:6" x14ac:dyDescent="0.2">
      <c r="A27" s="11"/>
      <c r="B27" s="11"/>
      <c r="C27" s="11"/>
      <c r="D27" s="11"/>
      <c r="E27" s="11"/>
      <c r="F27" s="11"/>
    </row>
    <row r="28" spans="1:6" x14ac:dyDescent="0.2">
      <c r="A28" s="9" t="s">
        <v>30</v>
      </c>
      <c r="B28" s="15">
        <v>2067.6999999999998</v>
      </c>
      <c r="C28" s="15">
        <v>2759.3</v>
      </c>
      <c r="D28" s="15">
        <v>2818.9</v>
      </c>
      <c r="E28" s="15">
        <v>2884.9</v>
      </c>
      <c r="F28" s="15">
        <v>3028.3</v>
      </c>
    </row>
    <row r="29" spans="1:6" x14ac:dyDescent="0.2">
      <c r="A29" s="10" t="s">
        <v>27</v>
      </c>
      <c r="B29" s="16">
        <v>0.12571199999999999</v>
      </c>
      <c r="C29" s="16">
        <v>0.14399300000000001</v>
      </c>
      <c r="D29" s="16">
        <v>0.132244</v>
      </c>
      <c r="E29" s="16">
        <v>0.12886600000000001</v>
      </c>
      <c r="F29" s="16">
        <v>0.119797</v>
      </c>
    </row>
    <row r="30" spans="1:6" x14ac:dyDescent="0.2">
      <c r="A30" s="11"/>
      <c r="B30" s="11"/>
      <c r="C30" s="11"/>
      <c r="D30" s="11"/>
      <c r="E30" s="11"/>
      <c r="F30" s="11"/>
    </row>
    <row r="31" spans="1:6" x14ac:dyDescent="0.2">
      <c r="A31" s="9" t="s">
        <v>31</v>
      </c>
      <c r="B31" s="15">
        <v>2068.1</v>
      </c>
      <c r="C31" s="15">
        <v>2757.4</v>
      </c>
      <c r="D31" s="15">
        <v>2817.7</v>
      </c>
      <c r="E31" s="15">
        <v>2884.7</v>
      </c>
      <c r="F31" s="15">
        <v>3028.7</v>
      </c>
    </row>
    <row r="32" spans="1:6" x14ac:dyDescent="0.2">
      <c r="A32" s="10" t="s">
        <v>27</v>
      </c>
      <c r="B32" s="16">
        <v>0.12573699999999999</v>
      </c>
      <c r="C32" s="16">
        <v>0.14389399999999999</v>
      </c>
      <c r="D32" s="16">
        <v>0.132187</v>
      </c>
      <c r="E32" s="16">
        <v>0.128857</v>
      </c>
      <c r="F32" s="16">
        <v>0.119813</v>
      </c>
    </row>
    <row r="33" spans="1:254" x14ac:dyDescent="0.2">
      <c r="A33" s="11"/>
      <c r="B33" s="11"/>
      <c r="C33" s="11"/>
      <c r="D33" s="11"/>
      <c r="E33" s="11"/>
      <c r="F33" s="11"/>
    </row>
    <row r="34" spans="1:254" x14ac:dyDescent="0.2">
      <c r="A34" s="9" t="s">
        <v>32</v>
      </c>
      <c r="B34" s="17">
        <v>1.35</v>
      </c>
      <c r="C34" s="17">
        <v>1.82</v>
      </c>
      <c r="D34" s="17">
        <v>1.9</v>
      </c>
      <c r="E34" s="17">
        <v>1.97</v>
      </c>
      <c r="F34" s="17">
        <v>2.2461690000000001</v>
      </c>
    </row>
    <row r="35" spans="1:254" x14ac:dyDescent="0.2">
      <c r="A35" s="10" t="s">
        <v>25</v>
      </c>
      <c r="B35" s="16">
        <v>242.77031400000001</v>
      </c>
      <c r="C35" s="16">
        <v>0.34814800000000001</v>
      </c>
      <c r="D35" s="16">
        <v>4.3956000000000002E-2</v>
      </c>
      <c r="E35" s="16">
        <v>3.6842E-2</v>
      </c>
      <c r="F35" s="16">
        <v>-0.25536900000000001</v>
      </c>
    </row>
    <row r="36" spans="1:254" x14ac:dyDescent="0.2">
      <c r="A36" s="11"/>
      <c r="B36" s="11"/>
      <c r="C36" s="11"/>
      <c r="D36" s="11"/>
      <c r="E36" s="11"/>
      <c r="F36" s="11"/>
    </row>
    <row r="37" spans="1:254" x14ac:dyDescent="0.2">
      <c r="A37" s="12"/>
      <c r="B37" s="12"/>
      <c r="C37" s="12"/>
      <c r="D37" s="12"/>
      <c r="E37" s="12"/>
      <c r="F37" s="12"/>
    </row>
    <row r="38" spans="1:254" x14ac:dyDescent="0.2">
      <c r="A38" t="s">
        <v>33</v>
      </c>
    </row>
    <row r="39" spans="1:254" x14ac:dyDescent="0.2">
      <c r="A39" t="s">
        <v>34</v>
      </c>
    </row>
    <row r="42" spans="1:254" x14ac:dyDescent="0.2">
      <c r="A42" s="6" t="s">
        <v>35</v>
      </c>
      <c r="B42" s="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6"/>
      <c r="CT42" s="36"/>
      <c r="CU42" s="36"/>
      <c r="CV42" s="36"/>
      <c r="CW42" s="36"/>
      <c r="CX42" s="36"/>
      <c r="CY42" s="36"/>
      <c r="CZ42" s="36"/>
      <c r="DA42" s="36"/>
      <c r="DB42" s="36"/>
      <c r="DC42" s="36"/>
      <c r="DD42" s="36"/>
      <c r="DE42" s="36"/>
      <c r="DF42" s="36"/>
      <c r="DG42" s="36"/>
      <c r="DH42" s="36"/>
      <c r="DI42" s="36"/>
      <c r="DJ42" s="36"/>
      <c r="DK42" s="36"/>
      <c r="DL42" s="36"/>
      <c r="DM42" s="36"/>
      <c r="DN42" s="36"/>
      <c r="DO42" s="36"/>
      <c r="DP42" s="36"/>
      <c r="DQ42" s="36"/>
      <c r="DR42" s="36"/>
      <c r="DS42" s="36"/>
      <c r="DT42" s="36"/>
      <c r="DU42" s="36"/>
      <c r="DV42" s="36"/>
      <c r="DW42" s="36"/>
      <c r="DX42" s="36"/>
      <c r="DY42" s="36"/>
      <c r="DZ42" s="36"/>
      <c r="EA42" s="36"/>
      <c r="EB42" s="36"/>
      <c r="EC42" s="36"/>
      <c r="ED42" s="36"/>
      <c r="EE42" s="36"/>
      <c r="EF42" s="36"/>
      <c r="EG42" s="36"/>
      <c r="EH42" s="36"/>
      <c r="EI42" s="36"/>
      <c r="EJ42" s="36"/>
      <c r="EK42" s="36"/>
      <c r="EL42" s="36"/>
      <c r="EM42" s="36"/>
      <c r="EN42" s="36"/>
      <c r="EO42" s="36"/>
      <c r="EP42" s="36"/>
      <c r="EQ42" s="36"/>
      <c r="ER42" s="36"/>
      <c r="ES42" s="36"/>
      <c r="ET42" s="36"/>
      <c r="EU42" s="36"/>
      <c r="EV42" s="36"/>
      <c r="EW42" s="36"/>
      <c r="EX42" s="36"/>
      <c r="EY42" s="36"/>
      <c r="EZ42" s="36"/>
      <c r="FA42" s="36"/>
      <c r="FB42" s="36"/>
      <c r="FC42" s="36"/>
      <c r="FD42" s="36"/>
      <c r="FE42" s="36"/>
      <c r="FF42" s="36"/>
      <c r="FG42" s="36"/>
      <c r="FH42" s="36"/>
      <c r="FI42" s="36"/>
      <c r="FJ42" s="36"/>
      <c r="FK42" s="36"/>
      <c r="FL42" s="36"/>
      <c r="FM42" s="36"/>
      <c r="FN42" s="36"/>
      <c r="FO42" s="36"/>
      <c r="FP42" s="36"/>
      <c r="FQ42" s="36"/>
      <c r="FR42" s="36"/>
      <c r="FS42" s="36"/>
      <c r="FT42" s="36"/>
      <c r="FU42" s="36"/>
      <c r="FV42" s="36"/>
      <c r="FW42" s="36"/>
      <c r="FX42" s="36"/>
      <c r="FY42" s="36"/>
      <c r="FZ42" s="36"/>
      <c r="GA42" s="36"/>
      <c r="GB42" s="36"/>
      <c r="GC42" s="36"/>
      <c r="GD42" s="36"/>
      <c r="GE42" s="36"/>
      <c r="GF42" s="36"/>
      <c r="GG42" s="36"/>
      <c r="GH42" s="36"/>
      <c r="GI42" s="36"/>
      <c r="GJ42" s="36"/>
      <c r="GK42" s="36"/>
      <c r="GL42" s="36"/>
      <c r="GM42" s="36"/>
      <c r="GN42" s="36"/>
      <c r="GO42" s="36"/>
      <c r="GP42" s="36"/>
      <c r="GQ42" s="36"/>
      <c r="GR42" s="36"/>
      <c r="GS42" s="36"/>
      <c r="GT42" s="36"/>
      <c r="GU42" s="36"/>
      <c r="GV42" s="36"/>
      <c r="GW42" s="36"/>
      <c r="GX42" s="36"/>
      <c r="GY42" s="36"/>
      <c r="GZ42" s="36"/>
      <c r="HA42" s="36"/>
      <c r="HB42" s="36"/>
      <c r="HC42" s="36"/>
      <c r="HD42" s="36"/>
      <c r="HE42" s="36"/>
      <c r="HF42" s="36"/>
      <c r="HG42" s="36"/>
      <c r="HH42" s="36"/>
      <c r="HI42" s="36"/>
      <c r="HJ42" s="36"/>
      <c r="HK42" s="36"/>
      <c r="HL42" s="36"/>
      <c r="HM42" s="36"/>
      <c r="HN42" s="36"/>
      <c r="HO42" s="36"/>
      <c r="HP42" s="36"/>
      <c r="HQ42" s="36"/>
      <c r="HR42" s="36"/>
      <c r="HS42" s="36"/>
      <c r="HT42" s="36"/>
      <c r="HU42" s="36"/>
      <c r="HV42" s="36"/>
      <c r="HW42" s="36"/>
      <c r="HX42" s="36"/>
      <c r="HY42" s="36"/>
      <c r="HZ42" s="36"/>
      <c r="IA42" s="36"/>
      <c r="IB42" s="36"/>
      <c r="IC42" s="36"/>
      <c r="ID42" s="36"/>
      <c r="IE42" s="36"/>
      <c r="IF42" s="36"/>
      <c r="IG42" s="36"/>
      <c r="IH42" s="36"/>
      <c r="II42" s="36"/>
      <c r="IJ42" s="36"/>
      <c r="IK42" s="36"/>
      <c r="IL42" s="36"/>
      <c r="IM42" s="36"/>
      <c r="IN42" s="36"/>
      <c r="IO42" s="36"/>
      <c r="IP42" s="36"/>
      <c r="IQ42" s="36"/>
      <c r="IR42" s="36"/>
      <c r="IS42" s="36"/>
      <c r="IT42" s="36"/>
    </row>
    <row r="43" spans="1:254" x14ac:dyDescent="0.2">
      <c r="A43" s="8" t="s">
        <v>22</v>
      </c>
      <c r="B43" s="14" t="s">
        <v>23</v>
      </c>
    </row>
    <row r="44" spans="1:254" x14ac:dyDescent="0.2">
      <c r="A44" s="11" t="s">
        <v>36</v>
      </c>
      <c r="B44" s="18">
        <v>75.03</v>
      </c>
    </row>
    <row r="45" spans="1:254" x14ac:dyDescent="0.2">
      <c r="A45" s="11" t="s">
        <v>37</v>
      </c>
      <c r="B45" s="19">
        <v>1243.5999999999999</v>
      </c>
    </row>
    <row r="46" spans="1:254" x14ac:dyDescent="0.2">
      <c r="A46" s="11"/>
      <c r="B46" s="11"/>
    </row>
    <row r="47" spans="1:254" x14ac:dyDescent="0.2">
      <c r="A47" s="9" t="s">
        <v>38</v>
      </c>
      <c r="B47" s="15">
        <v>93307.308000000005</v>
      </c>
    </row>
    <row r="48" spans="1:254" x14ac:dyDescent="0.2">
      <c r="A48" s="11" t="s">
        <v>39</v>
      </c>
      <c r="B48" s="19">
        <v>4991.8</v>
      </c>
    </row>
    <row r="49" spans="1:2" x14ac:dyDescent="0.2">
      <c r="A49" s="11" t="s">
        <v>40</v>
      </c>
      <c r="B49" s="19">
        <v>9130.7000000000007</v>
      </c>
    </row>
    <row r="50" spans="1:2" x14ac:dyDescent="0.2">
      <c r="A50" s="11" t="s">
        <v>41</v>
      </c>
      <c r="B50" s="19" t="s">
        <v>42</v>
      </c>
    </row>
    <row r="51" spans="1:2" x14ac:dyDescent="0.2">
      <c r="A51" s="11" t="s">
        <v>43</v>
      </c>
      <c r="B51" s="19">
        <v>6.1</v>
      </c>
    </row>
    <row r="52" spans="1:2" x14ac:dyDescent="0.2">
      <c r="A52" s="9" t="s">
        <v>44</v>
      </c>
      <c r="B52" s="15">
        <v>97452.308000000005</v>
      </c>
    </row>
    <row r="53" spans="1:2" x14ac:dyDescent="0.2">
      <c r="A53" s="11"/>
      <c r="B53" s="11"/>
    </row>
    <row r="54" spans="1:2" x14ac:dyDescent="0.2">
      <c r="A54" s="11" t="s">
        <v>45</v>
      </c>
      <c r="B54" s="19">
        <v>-2884.9</v>
      </c>
    </row>
    <row r="55" spans="1:2" x14ac:dyDescent="0.2">
      <c r="A55" s="11" t="s">
        <v>41</v>
      </c>
      <c r="B55" s="19" t="s">
        <v>42</v>
      </c>
    </row>
    <row r="56" spans="1:2" x14ac:dyDescent="0.2">
      <c r="A56" s="11" t="s">
        <v>43</v>
      </c>
      <c r="B56" s="19">
        <v>6.1</v>
      </c>
    </row>
    <row r="57" spans="1:2" x14ac:dyDescent="0.2">
      <c r="A57" s="11" t="s">
        <v>40</v>
      </c>
      <c r="B57" s="19">
        <v>9130.7000000000007</v>
      </c>
    </row>
    <row r="58" spans="1:2" x14ac:dyDescent="0.2">
      <c r="A58" s="9" t="s">
        <v>46</v>
      </c>
      <c r="B58" s="15">
        <v>6251.9</v>
      </c>
    </row>
    <row r="59" spans="1:2" x14ac:dyDescent="0.2">
      <c r="A59" s="11"/>
      <c r="B59" s="11"/>
    </row>
    <row r="60" spans="1:2" ht="78.75" x14ac:dyDescent="0.2">
      <c r="A60" s="12" t="s">
        <v>47</v>
      </c>
      <c r="B60" s="12"/>
    </row>
    <row r="62" spans="1:2" ht="200.1" customHeight="1" x14ac:dyDescent="0.2">
      <c r="A62" s="20"/>
    </row>
    <row r="63" spans="1:2" x14ac:dyDescent="0.2">
      <c r="A63" t="s">
        <v>48</v>
      </c>
    </row>
    <row r="64" spans="1:2" x14ac:dyDescent="0.2">
      <c r="A64" t="s">
        <v>49</v>
      </c>
    </row>
    <row r="65" spans="1:254" x14ac:dyDescent="0.2">
      <c r="A65" t="s">
        <v>50</v>
      </c>
    </row>
    <row r="66" spans="1:254" x14ac:dyDescent="0.2">
      <c r="A66" t="s">
        <v>51</v>
      </c>
    </row>
    <row r="67" spans="1:254" x14ac:dyDescent="0.2">
      <c r="A67" t="s">
        <v>52</v>
      </c>
    </row>
    <row r="69" spans="1:254" x14ac:dyDescent="0.2">
      <c r="A69" s="6" t="s">
        <v>53</v>
      </c>
      <c r="B69" s="6"/>
      <c r="C69" s="6"/>
      <c r="D69" s="6"/>
      <c r="E69" s="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36"/>
      <c r="EI69" s="36"/>
      <c r="EJ69" s="36"/>
      <c r="EK69" s="36"/>
      <c r="EL69" s="36"/>
      <c r="EM69" s="36"/>
      <c r="EN69" s="36"/>
      <c r="EO69" s="36"/>
      <c r="EP69" s="36"/>
      <c r="EQ69" s="36"/>
      <c r="ER69" s="36"/>
      <c r="ES69" s="36"/>
      <c r="ET69" s="36"/>
      <c r="EU69" s="36"/>
      <c r="EV69" s="36"/>
      <c r="EW69" s="36"/>
      <c r="EX69" s="36"/>
      <c r="EY69" s="36"/>
      <c r="EZ69" s="36"/>
      <c r="FA69" s="36"/>
      <c r="FB69" s="36"/>
      <c r="FC69" s="36"/>
      <c r="FD69" s="36"/>
      <c r="FE69" s="36"/>
      <c r="FF69" s="36"/>
      <c r="FG69" s="36"/>
      <c r="FH69" s="36"/>
      <c r="FI69" s="36"/>
      <c r="FJ69" s="36"/>
      <c r="FK69" s="36"/>
      <c r="FL69" s="36"/>
      <c r="FM69" s="36"/>
      <c r="FN69" s="36"/>
      <c r="FO69" s="36"/>
      <c r="FP69" s="36"/>
      <c r="FQ69" s="36"/>
      <c r="FR69" s="36"/>
      <c r="FS69" s="36"/>
      <c r="FT69" s="36"/>
      <c r="FU69" s="36"/>
      <c r="FV69" s="36"/>
      <c r="FW69" s="36"/>
      <c r="FX69" s="36"/>
      <c r="FY69" s="36"/>
      <c r="FZ69" s="36"/>
      <c r="GA69" s="36"/>
      <c r="GB69" s="36"/>
      <c r="GC69" s="36"/>
      <c r="GD69" s="36"/>
      <c r="GE69" s="36"/>
      <c r="GF69" s="36"/>
      <c r="GG69" s="36"/>
      <c r="GH69" s="36"/>
      <c r="GI69" s="36"/>
      <c r="GJ69" s="36"/>
      <c r="GK69" s="36"/>
      <c r="GL69" s="36"/>
      <c r="GM69" s="36"/>
      <c r="GN69" s="36"/>
      <c r="GO69" s="36"/>
      <c r="GP69" s="36"/>
      <c r="GQ69" s="36"/>
      <c r="GR69" s="36"/>
      <c r="GS69" s="36"/>
      <c r="GT69" s="36"/>
      <c r="GU69" s="36"/>
      <c r="GV69" s="36"/>
      <c r="GW69" s="36"/>
      <c r="GX69" s="36"/>
      <c r="GY69" s="36"/>
      <c r="GZ69" s="36"/>
      <c r="HA69" s="36"/>
      <c r="HB69" s="36"/>
      <c r="HC69" s="36"/>
      <c r="HD69" s="36"/>
      <c r="HE69" s="36"/>
      <c r="HF69" s="36"/>
      <c r="HG69" s="36"/>
      <c r="HH69" s="36"/>
      <c r="HI69" s="36"/>
      <c r="HJ69" s="36"/>
      <c r="HK69" s="36"/>
      <c r="HL69" s="36"/>
      <c r="HM69" s="36"/>
      <c r="HN69" s="36"/>
      <c r="HO69" s="36"/>
      <c r="HP69" s="36"/>
      <c r="HQ69" s="36"/>
      <c r="HR69" s="36"/>
      <c r="HS69" s="36"/>
      <c r="HT69" s="36"/>
      <c r="HU69" s="36"/>
      <c r="HV69" s="36"/>
      <c r="HW69" s="36"/>
      <c r="HX69" s="36"/>
      <c r="HY69" s="36"/>
      <c r="HZ69" s="36"/>
      <c r="IA69" s="36"/>
      <c r="IB69" s="36"/>
      <c r="IC69" s="36"/>
      <c r="ID69" s="36"/>
      <c r="IE69" s="36"/>
      <c r="IF69" s="36"/>
      <c r="IG69" s="36"/>
      <c r="IH69" s="36"/>
      <c r="II69" s="36"/>
      <c r="IJ69" s="36"/>
      <c r="IK69" s="36"/>
      <c r="IL69" s="36"/>
      <c r="IM69" s="36"/>
      <c r="IN69" s="36"/>
      <c r="IO69" s="36"/>
      <c r="IP69" s="36"/>
      <c r="IQ69" s="36"/>
      <c r="IR69" s="36"/>
      <c r="IS69" s="36"/>
      <c r="IT69" s="36"/>
    </row>
    <row r="70" spans="1:254" ht="22.5" x14ac:dyDescent="0.2">
      <c r="A70" s="7" t="s">
        <v>15</v>
      </c>
      <c r="B70" s="13" t="s">
        <v>17</v>
      </c>
      <c r="C70" s="13" t="s">
        <v>18</v>
      </c>
      <c r="D70" s="13" t="s">
        <v>19</v>
      </c>
      <c r="E70" s="13" t="s">
        <v>20</v>
      </c>
    </row>
    <row r="71" spans="1:254" x14ac:dyDescent="0.2">
      <c r="A71" s="9" t="s">
        <v>54</v>
      </c>
      <c r="B71" s="21">
        <v>5.0855199999999998</v>
      </c>
      <c r="C71" s="21">
        <v>4.5718120000000004</v>
      </c>
      <c r="D71" s="21">
        <v>4.3531139999999997</v>
      </c>
      <c r="E71" s="21">
        <v>3.7973870000000001</v>
      </c>
    </row>
    <row r="72" spans="1:254" x14ac:dyDescent="0.2">
      <c r="A72" s="11"/>
      <c r="B72" s="11"/>
      <c r="C72" s="11"/>
      <c r="D72" s="11"/>
      <c r="E72" s="11"/>
    </row>
    <row r="73" spans="1:254" x14ac:dyDescent="0.2">
      <c r="A73" s="9" t="s">
        <v>55</v>
      </c>
      <c r="B73" s="21">
        <v>21.489879999999999</v>
      </c>
      <c r="C73" s="21">
        <v>18.733623000000001</v>
      </c>
      <c r="D73" s="21">
        <v>18.197357</v>
      </c>
      <c r="E73" s="21">
        <v>17.328049</v>
      </c>
    </row>
    <row r="74" spans="1:254" x14ac:dyDescent="0.2">
      <c r="A74" s="11"/>
      <c r="B74" s="11"/>
      <c r="C74" s="11"/>
      <c r="D74" s="11"/>
      <c r="E74" s="11"/>
    </row>
    <row r="75" spans="1:254" x14ac:dyDescent="0.2">
      <c r="A75" s="9" t="s">
        <v>56</v>
      </c>
      <c r="B75" s="21">
        <v>27.062567999999999</v>
      </c>
      <c r="C75" s="21">
        <v>23.359214000000001</v>
      </c>
      <c r="D75" s="21">
        <v>22.72569</v>
      </c>
      <c r="E75" s="21">
        <v>22.832073999999999</v>
      </c>
    </row>
    <row r="76" spans="1:254" x14ac:dyDescent="0.2">
      <c r="A76" s="11"/>
      <c r="B76" s="11"/>
      <c r="C76" s="11"/>
      <c r="D76" s="11"/>
      <c r="E76" s="11"/>
    </row>
    <row r="77" spans="1:254" x14ac:dyDescent="0.2">
      <c r="A77" s="9" t="s">
        <v>57</v>
      </c>
      <c r="B77" s="21">
        <v>41.225273999999999</v>
      </c>
      <c r="C77" s="21">
        <v>39.489472999999997</v>
      </c>
      <c r="D77" s="21">
        <v>38.086294000000002</v>
      </c>
      <c r="E77" s="21">
        <v>23.157406999999999</v>
      </c>
    </row>
    <row r="78" spans="1:254" x14ac:dyDescent="0.2">
      <c r="A78" s="11"/>
      <c r="B78" s="11"/>
      <c r="C78" s="11"/>
      <c r="D78" s="11"/>
      <c r="E78" s="11"/>
    </row>
    <row r="79" spans="1:254" x14ac:dyDescent="0.2">
      <c r="A79" s="9" t="s">
        <v>58</v>
      </c>
      <c r="B79" s="21">
        <v>19.152124000000001</v>
      </c>
      <c r="C79" s="21">
        <v>18.623609999999999</v>
      </c>
      <c r="D79" s="21">
        <v>19.708437</v>
      </c>
      <c r="E79" s="21">
        <v>83.986204000000001</v>
      </c>
    </row>
    <row r="80" spans="1:254" x14ac:dyDescent="0.2">
      <c r="A80" s="11"/>
      <c r="B80" s="11"/>
      <c r="C80" s="11"/>
      <c r="D80" s="11"/>
      <c r="E80" s="11"/>
    </row>
    <row r="81" spans="1:5" x14ac:dyDescent="0.2">
      <c r="A81" s="9" t="s">
        <v>60</v>
      </c>
      <c r="B81" s="21">
        <v>29.935807</v>
      </c>
      <c r="C81" s="21">
        <v>30.037915999999999</v>
      </c>
      <c r="D81" s="21">
        <v>30.959202999999999</v>
      </c>
      <c r="E81" s="22" t="s">
        <v>59</v>
      </c>
    </row>
    <row r="82" spans="1:5" x14ac:dyDescent="0.2">
      <c r="A82" s="11"/>
      <c r="B82" s="11"/>
      <c r="C82" s="11"/>
      <c r="D82" s="11"/>
      <c r="E82" s="11"/>
    </row>
    <row r="83" spans="1:5" x14ac:dyDescent="0.2">
      <c r="A83" s="12"/>
      <c r="B83" s="12"/>
      <c r="C83" s="12"/>
      <c r="D83" s="12"/>
      <c r="E83" s="12"/>
    </row>
    <row r="84" spans="1:5" x14ac:dyDescent="0.2">
      <c r="A84" s="23" t="s">
        <v>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pageSetUpPr autoPageBreaks="0"/>
  </sheetPr>
  <dimension ref="A5:IT117"/>
  <sheetViews>
    <sheetView topLeftCell="A43" workbookViewId="0"/>
  </sheetViews>
  <sheetFormatPr defaultRowHeight="11.25" x14ac:dyDescent="0.2"/>
  <cols>
    <col min="1" max="1" width="45.85546875" customWidth="1"/>
    <col min="2" max="6" width="14.85546875" customWidth="1"/>
  </cols>
  <sheetData>
    <row r="5" spans="1:254" ht="15.75" x14ac:dyDescent="0.2">
      <c r="A5" s="1" t="s">
        <v>62</v>
      </c>
    </row>
    <row r="7" spans="1:254" x14ac:dyDescent="0.2">
      <c r="A7" s="2" t="s">
        <v>63</v>
      </c>
      <c r="B7" s="3" t="s">
        <v>64</v>
      </c>
      <c r="C7" t="s">
        <v>65</v>
      </c>
      <c r="D7" s="4" t="s">
        <v>4</v>
      </c>
      <c r="E7" s="3" t="s">
        <v>66</v>
      </c>
    </row>
    <row r="8" spans="1:254" x14ac:dyDescent="0.2">
      <c r="A8" s="4"/>
      <c r="B8" s="3" t="s">
        <v>68</v>
      </c>
      <c r="C8" t="s">
        <v>69</v>
      </c>
      <c r="D8" s="4" t="s">
        <v>4</v>
      </c>
      <c r="E8" s="3" t="s">
        <v>70</v>
      </c>
    </row>
    <row r="9" spans="1:254" x14ac:dyDescent="0.2">
      <c r="A9" s="4"/>
      <c r="B9" s="3" t="s">
        <v>71</v>
      </c>
      <c r="C9" t="s">
        <v>72</v>
      </c>
      <c r="D9" s="4" t="s">
        <v>4</v>
      </c>
      <c r="E9" s="3" t="s">
        <v>73</v>
      </c>
    </row>
    <row r="10" spans="1:254" x14ac:dyDescent="0.2">
      <c r="A10" s="4"/>
      <c r="B10" s="3" t="s">
        <v>74</v>
      </c>
      <c r="C10" t="s">
        <v>9</v>
      </c>
      <c r="D10" s="4" t="s">
        <v>4</v>
      </c>
      <c r="E10" s="3" t="s">
        <v>75</v>
      </c>
    </row>
    <row r="13" spans="1:254" x14ac:dyDescent="0.2">
      <c r="A13" s="6" t="s">
        <v>76</v>
      </c>
      <c r="B13" s="6"/>
      <c r="C13" s="6"/>
      <c r="D13" s="6"/>
      <c r="E13" s="6"/>
      <c r="F13" s="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row>
    <row r="14" spans="1:254" ht="33.75" x14ac:dyDescent="0.2">
      <c r="A14" s="7" t="s">
        <v>15</v>
      </c>
      <c r="B14" s="13" t="s">
        <v>77</v>
      </c>
      <c r="C14" s="13" t="s">
        <v>78</v>
      </c>
      <c r="D14" s="13" t="s">
        <v>79</v>
      </c>
      <c r="E14" s="13" t="s">
        <v>80</v>
      </c>
      <c r="F14" s="13" t="s">
        <v>81</v>
      </c>
    </row>
    <row r="15" spans="1:254" x14ac:dyDescent="0.2">
      <c r="A15" s="8" t="s">
        <v>22</v>
      </c>
      <c r="B15" s="14" t="s">
        <v>23</v>
      </c>
      <c r="C15" s="14" t="s">
        <v>23</v>
      </c>
      <c r="D15" s="14" t="s">
        <v>23</v>
      </c>
      <c r="E15" s="14" t="s">
        <v>23</v>
      </c>
      <c r="F15" s="14" t="s">
        <v>23</v>
      </c>
    </row>
    <row r="16" spans="1:254" x14ac:dyDescent="0.2">
      <c r="A16" s="9" t="s">
        <v>82</v>
      </c>
      <c r="B16" s="11"/>
      <c r="C16" s="11"/>
      <c r="D16" s="11"/>
      <c r="E16" s="11"/>
      <c r="F16" s="11"/>
    </row>
    <row r="17" spans="1:6" x14ac:dyDescent="0.2">
      <c r="A17" s="11" t="s">
        <v>83</v>
      </c>
      <c r="B17" s="19">
        <v>16447.8</v>
      </c>
      <c r="C17" s="19">
        <v>19162.7</v>
      </c>
      <c r="D17" s="19">
        <v>18998.3</v>
      </c>
      <c r="E17" s="19">
        <v>20005.7</v>
      </c>
      <c r="F17" s="19">
        <v>23025.7</v>
      </c>
    </row>
    <row r="18" spans="1:6" x14ac:dyDescent="0.2">
      <c r="A18" s="11" t="s">
        <v>84</v>
      </c>
      <c r="B18" s="19" t="s">
        <v>42</v>
      </c>
      <c r="C18" s="19" t="s">
        <v>42</v>
      </c>
      <c r="D18" s="19">
        <v>2317.6</v>
      </c>
      <c r="E18" s="19">
        <v>2381.1</v>
      </c>
      <c r="F18" s="19">
        <v>2252.8000000000002</v>
      </c>
    </row>
    <row r="19" spans="1:6" x14ac:dyDescent="0.2">
      <c r="A19" s="9" t="s">
        <v>85</v>
      </c>
      <c r="B19" s="25">
        <v>16447.8</v>
      </c>
      <c r="C19" s="25">
        <v>19162.7</v>
      </c>
      <c r="D19" s="25">
        <v>21315.9</v>
      </c>
      <c r="E19" s="25">
        <v>22386.799999999999</v>
      </c>
      <c r="F19" s="25">
        <v>25278.5</v>
      </c>
    </row>
    <row r="20" spans="1:6" x14ac:dyDescent="0.2">
      <c r="A20" s="11"/>
      <c r="B20" s="11"/>
      <c r="C20" s="11"/>
      <c r="D20" s="11"/>
      <c r="E20" s="11"/>
      <c r="F20" s="11"/>
    </row>
    <row r="21" spans="1:6" x14ac:dyDescent="0.2">
      <c r="A21" s="11" t="s">
        <v>86</v>
      </c>
      <c r="B21" s="19">
        <v>11497</v>
      </c>
      <c r="C21" s="19">
        <v>13198.6</v>
      </c>
      <c r="D21" s="19">
        <v>14573.3</v>
      </c>
      <c r="E21" s="19">
        <v>15527.6</v>
      </c>
      <c r="F21" s="19">
        <v>17880.7</v>
      </c>
    </row>
    <row r="22" spans="1:6" x14ac:dyDescent="0.2">
      <c r="A22" s="9" t="s">
        <v>87</v>
      </c>
      <c r="B22" s="25">
        <v>4950.8</v>
      </c>
      <c r="C22" s="25">
        <v>5964.1</v>
      </c>
      <c r="D22" s="25">
        <v>6742.6</v>
      </c>
      <c r="E22" s="25">
        <v>6859.2</v>
      </c>
      <c r="F22" s="25">
        <v>7397.8</v>
      </c>
    </row>
    <row r="23" spans="1:6" x14ac:dyDescent="0.2">
      <c r="A23" s="11"/>
      <c r="B23" s="11"/>
      <c r="C23" s="11"/>
      <c r="D23" s="11"/>
      <c r="E23" s="11"/>
      <c r="F23" s="11"/>
    </row>
    <row r="24" spans="1:6" x14ac:dyDescent="0.2">
      <c r="A24" s="11" t="s">
        <v>88</v>
      </c>
      <c r="B24" s="19">
        <v>1107.9000000000001</v>
      </c>
      <c r="C24" s="19">
        <v>1196.7</v>
      </c>
      <c r="D24" s="19">
        <v>1408.9</v>
      </c>
      <c r="E24" s="19">
        <v>1450.7</v>
      </c>
      <c r="F24" s="19">
        <v>1826.3</v>
      </c>
    </row>
    <row r="25" spans="1:6" x14ac:dyDescent="0.2">
      <c r="A25" s="11" t="s">
        <v>89</v>
      </c>
      <c r="B25" s="19" t="s">
        <v>42</v>
      </c>
      <c r="C25" s="19" t="s">
        <v>42</v>
      </c>
      <c r="D25" s="19" t="s">
        <v>42</v>
      </c>
      <c r="E25" s="19" t="s">
        <v>42</v>
      </c>
      <c r="F25" s="19" t="s">
        <v>42</v>
      </c>
    </row>
    <row r="26" spans="1:6" x14ac:dyDescent="0.2">
      <c r="A26" s="11" t="s">
        <v>90</v>
      </c>
      <c r="B26" s="19">
        <v>709.6</v>
      </c>
      <c r="C26" s="19">
        <v>893.9</v>
      </c>
      <c r="D26" s="19">
        <v>980.8</v>
      </c>
      <c r="E26" s="19">
        <v>1011.4</v>
      </c>
      <c r="F26" s="19">
        <v>1321.6</v>
      </c>
    </row>
    <row r="27" spans="1:6" x14ac:dyDescent="0.2">
      <c r="A27" s="11" t="s">
        <v>91</v>
      </c>
      <c r="B27" s="19">
        <v>340.7</v>
      </c>
      <c r="C27" s="19">
        <v>522.4</v>
      </c>
      <c r="D27" s="19">
        <v>499.2</v>
      </c>
      <c r="E27" s="19">
        <v>500.3</v>
      </c>
      <c r="F27" s="19">
        <v>503</v>
      </c>
    </row>
    <row r="28" spans="1:6" x14ac:dyDescent="0.2">
      <c r="A28" s="11"/>
      <c r="B28" s="11"/>
      <c r="C28" s="11"/>
      <c r="D28" s="11"/>
      <c r="E28" s="11"/>
      <c r="F28" s="11"/>
    </row>
    <row r="29" spans="1:6" x14ac:dyDescent="0.2">
      <c r="A29" s="9" t="s">
        <v>92</v>
      </c>
      <c r="B29" s="25">
        <v>2158.1999999999998</v>
      </c>
      <c r="C29" s="25">
        <v>2613</v>
      </c>
      <c r="D29" s="25">
        <v>2888.9</v>
      </c>
      <c r="E29" s="25">
        <v>2962.4</v>
      </c>
      <c r="F29" s="25">
        <v>3650.9</v>
      </c>
    </row>
    <row r="30" spans="1:6" x14ac:dyDescent="0.2">
      <c r="A30" s="11"/>
      <c r="B30" s="11"/>
      <c r="C30" s="11"/>
      <c r="D30" s="11"/>
      <c r="E30" s="11"/>
      <c r="F30" s="11"/>
    </row>
    <row r="31" spans="1:6" x14ac:dyDescent="0.2">
      <c r="A31" s="9" t="s">
        <v>93</v>
      </c>
      <c r="B31" s="15">
        <v>2792.6</v>
      </c>
      <c r="C31" s="15">
        <v>3351.1</v>
      </c>
      <c r="D31" s="15">
        <v>3853.7</v>
      </c>
      <c r="E31" s="15">
        <v>3896.8</v>
      </c>
      <c r="F31" s="15">
        <v>3746.9</v>
      </c>
    </row>
    <row r="32" spans="1:6" x14ac:dyDescent="0.2">
      <c r="A32" s="11"/>
      <c r="B32" s="11"/>
      <c r="C32" s="11"/>
      <c r="D32" s="11"/>
      <c r="E32" s="11"/>
      <c r="F32" s="11"/>
    </row>
    <row r="33" spans="1:6" x14ac:dyDescent="0.2">
      <c r="A33" s="11" t="s">
        <v>94</v>
      </c>
      <c r="B33" s="19">
        <v>-64.099999999999994</v>
      </c>
      <c r="C33" s="19">
        <v>-70.5</v>
      </c>
      <c r="D33" s="19">
        <v>-81.3</v>
      </c>
      <c r="E33" s="19">
        <v>-92.5</v>
      </c>
      <c r="F33" s="19">
        <v>-223.2</v>
      </c>
    </row>
    <row r="34" spans="1:6" x14ac:dyDescent="0.2">
      <c r="A34" s="11" t="s">
        <v>95</v>
      </c>
      <c r="B34" s="19">
        <v>35.4</v>
      </c>
      <c r="C34" s="19" t="s">
        <v>42</v>
      </c>
      <c r="D34" s="19">
        <v>153</v>
      </c>
      <c r="E34" s="19" t="s">
        <v>42</v>
      </c>
      <c r="F34" s="19" t="s">
        <v>42</v>
      </c>
    </row>
    <row r="35" spans="1:6" x14ac:dyDescent="0.2">
      <c r="A35" s="9" t="s">
        <v>96</v>
      </c>
      <c r="B35" s="25">
        <v>-28.7</v>
      </c>
      <c r="C35" s="25">
        <v>-70.5</v>
      </c>
      <c r="D35" s="25">
        <v>71.7</v>
      </c>
      <c r="E35" s="25">
        <v>-92.5</v>
      </c>
      <c r="F35" s="25">
        <v>-223.2</v>
      </c>
    </row>
    <row r="36" spans="1:6" x14ac:dyDescent="0.2">
      <c r="A36" s="11"/>
      <c r="B36" s="11"/>
      <c r="C36" s="11"/>
      <c r="D36" s="11"/>
      <c r="E36" s="11"/>
      <c r="F36" s="11"/>
    </row>
    <row r="37" spans="1:6" x14ac:dyDescent="0.2">
      <c r="A37" s="11" t="s">
        <v>97</v>
      </c>
      <c r="B37" s="19">
        <v>268.3</v>
      </c>
      <c r="C37" s="19">
        <v>249.9</v>
      </c>
      <c r="D37" s="19">
        <v>318.2</v>
      </c>
      <c r="E37" s="19">
        <v>391.4</v>
      </c>
      <c r="F37" s="19">
        <v>279.60000000000002</v>
      </c>
    </row>
    <row r="38" spans="1:6" x14ac:dyDescent="0.2">
      <c r="A38" s="11" t="s">
        <v>98</v>
      </c>
      <c r="B38" s="19" t="s">
        <v>42</v>
      </c>
      <c r="C38" s="19">
        <v>73.3</v>
      </c>
      <c r="D38" s="19">
        <v>-106.8</v>
      </c>
      <c r="E38" s="19">
        <v>61.8</v>
      </c>
      <c r="F38" s="19">
        <v>-14.2</v>
      </c>
    </row>
    <row r="39" spans="1:6" x14ac:dyDescent="0.2">
      <c r="A39" s="11" t="s">
        <v>99</v>
      </c>
      <c r="B39" s="19">
        <v>39.5</v>
      </c>
      <c r="C39" s="19">
        <v>-24.2</v>
      </c>
      <c r="D39" s="19">
        <v>54.8</v>
      </c>
      <c r="E39" s="19">
        <v>82.5</v>
      </c>
      <c r="F39" s="19">
        <v>149.19999999999999</v>
      </c>
    </row>
    <row r="40" spans="1:6" x14ac:dyDescent="0.2">
      <c r="A40" s="9" t="s">
        <v>100</v>
      </c>
      <c r="B40" s="25">
        <v>3071.7</v>
      </c>
      <c r="C40" s="25">
        <v>3579.6</v>
      </c>
      <c r="D40" s="25">
        <v>4191.6000000000004</v>
      </c>
      <c r="E40" s="25">
        <v>4340</v>
      </c>
      <c r="F40" s="25">
        <v>3938.3</v>
      </c>
    </row>
    <row r="41" spans="1:6" x14ac:dyDescent="0.2">
      <c r="A41" s="11"/>
      <c r="B41" s="11"/>
      <c r="C41" s="11"/>
      <c r="D41" s="11"/>
      <c r="E41" s="11"/>
      <c r="F41" s="11"/>
    </row>
    <row r="42" spans="1:6" x14ac:dyDescent="0.2">
      <c r="A42" s="11" t="s">
        <v>101</v>
      </c>
      <c r="B42" s="19" t="s">
        <v>42</v>
      </c>
      <c r="C42" s="19" t="s">
        <v>42</v>
      </c>
      <c r="D42" s="19" t="s">
        <v>42</v>
      </c>
      <c r="E42" s="19">
        <v>-153.5</v>
      </c>
      <c r="F42" s="19">
        <v>-240</v>
      </c>
    </row>
    <row r="43" spans="1:6" x14ac:dyDescent="0.2">
      <c r="A43" s="11" t="s">
        <v>102</v>
      </c>
      <c r="B43" s="19" t="s">
        <v>42</v>
      </c>
      <c r="C43" s="19" t="s">
        <v>42</v>
      </c>
      <c r="D43" s="19" t="s">
        <v>42</v>
      </c>
      <c r="E43" s="19" t="s">
        <v>42</v>
      </c>
      <c r="F43" s="19">
        <v>-3.6</v>
      </c>
    </row>
    <row r="44" spans="1:6" x14ac:dyDescent="0.2">
      <c r="A44" s="11" t="s">
        <v>103</v>
      </c>
      <c r="B44" s="19" t="s">
        <v>42</v>
      </c>
      <c r="C44" s="19" t="s">
        <v>42</v>
      </c>
      <c r="D44" s="19" t="s">
        <v>42</v>
      </c>
      <c r="E44" s="19" t="s">
        <v>42</v>
      </c>
      <c r="F44" s="19" t="s">
        <v>42</v>
      </c>
    </row>
    <row r="45" spans="1:6" x14ac:dyDescent="0.2">
      <c r="A45" s="11" t="s">
        <v>104</v>
      </c>
      <c r="B45" s="19">
        <v>67.8</v>
      </c>
      <c r="C45" s="19">
        <v>391.6</v>
      </c>
      <c r="D45" s="19">
        <v>1.6</v>
      </c>
      <c r="E45" s="19">
        <v>36.9</v>
      </c>
      <c r="F45" s="19">
        <v>48.6</v>
      </c>
    </row>
    <row r="46" spans="1:6" x14ac:dyDescent="0.2">
      <c r="A46" s="11" t="s">
        <v>105</v>
      </c>
      <c r="B46" s="19" t="s">
        <v>42</v>
      </c>
      <c r="C46" s="19">
        <v>-7.1</v>
      </c>
      <c r="D46" s="19">
        <v>5.4</v>
      </c>
      <c r="E46" s="19">
        <v>94.1</v>
      </c>
      <c r="F46" s="19">
        <v>-3.7</v>
      </c>
    </row>
    <row r="47" spans="1:6" x14ac:dyDescent="0.2">
      <c r="A47" s="11" t="s">
        <v>106</v>
      </c>
      <c r="B47" s="19">
        <v>20.2</v>
      </c>
      <c r="C47" s="19" t="s">
        <v>42</v>
      </c>
      <c r="D47" s="19" t="s">
        <v>42</v>
      </c>
      <c r="E47" s="19" t="s">
        <v>42</v>
      </c>
      <c r="F47" s="19" t="s">
        <v>42</v>
      </c>
    </row>
    <row r="48" spans="1:6" x14ac:dyDescent="0.2">
      <c r="A48" s="11" t="s">
        <v>107</v>
      </c>
      <c r="B48" s="19" t="s">
        <v>42</v>
      </c>
      <c r="C48" s="19">
        <v>-61.1</v>
      </c>
      <c r="D48" s="19" t="s">
        <v>42</v>
      </c>
      <c r="E48" s="19" t="s">
        <v>42</v>
      </c>
      <c r="F48" s="19" t="s">
        <v>42</v>
      </c>
    </row>
    <row r="49" spans="1:6" x14ac:dyDescent="0.2">
      <c r="A49" s="9" t="s">
        <v>108</v>
      </c>
      <c r="B49" s="25">
        <v>3159.7</v>
      </c>
      <c r="C49" s="25">
        <v>3903</v>
      </c>
      <c r="D49" s="25">
        <v>4198.6000000000004</v>
      </c>
      <c r="E49" s="25">
        <v>4317.5</v>
      </c>
      <c r="F49" s="25">
        <v>3739.6</v>
      </c>
    </row>
    <row r="50" spans="1:6" x14ac:dyDescent="0.2">
      <c r="A50" s="11"/>
      <c r="B50" s="11"/>
      <c r="C50" s="11"/>
      <c r="D50" s="11"/>
      <c r="E50" s="11"/>
      <c r="F50" s="11"/>
    </row>
    <row r="51" spans="1:6" x14ac:dyDescent="0.2">
      <c r="A51" s="11" t="s">
        <v>109</v>
      </c>
      <c r="B51" s="19">
        <v>1092</v>
      </c>
      <c r="C51" s="19">
        <v>1143.7</v>
      </c>
      <c r="D51" s="19">
        <v>1379.7</v>
      </c>
      <c r="E51" s="19">
        <v>1432.6</v>
      </c>
      <c r="F51" s="19">
        <v>711.3</v>
      </c>
    </row>
    <row r="52" spans="1:6" x14ac:dyDescent="0.2">
      <c r="A52" s="9" t="s">
        <v>110</v>
      </c>
      <c r="B52" s="25">
        <v>2067.6999999999998</v>
      </c>
      <c r="C52" s="25">
        <v>2759.3</v>
      </c>
      <c r="D52" s="25">
        <v>2818.9</v>
      </c>
      <c r="E52" s="25">
        <v>2884.9</v>
      </c>
      <c r="F52" s="25">
        <v>3028.3</v>
      </c>
    </row>
    <row r="53" spans="1:6" x14ac:dyDescent="0.2">
      <c r="A53" s="11"/>
      <c r="B53" s="11"/>
      <c r="C53" s="11"/>
      <c r="D53" s="11"/>
      <c r="E53" s="11"/>
      <c r="F53" s="11"/>
    </row>
    <row r="54" spans="1:6" x14ac:dyDescent="0.2">
      <c r="A54" s="11" t="s">
        <v>111</v>
      </c>
      <c r="B54" s="19" t="s">
        <v>42</v>
      </c>
      <c r="C54" s="19" t="s">
        <v>42</v>
      </c>
      <c r="D54" s="19" t="s">
        <v>42</v>
      </c>
      <c r="E54" s="19" t="s">
        <v>42</v>
      </c>
      <c r="F54" s="19" t="s">
        <v>42</v>
      </c>
    </row>
    <row r="55" spans="1:6" x14ac:dyDescent="0.2">
      <c r="A55" s="11" t="s">
        <v>112</v>
      </c>
      <c r="B55" s="19" t="s">
        <v>42</v>
      </c>
      <c r="C55" s="19" t="s">
        <v>42</v>
      </c>
      <c r="D55" s="19" t="s">
        <v>42</v>
      </c>
      <c r="E55" s="19" t="s">
        <v>42</v>
      </c>
      <c r="F55" s="19" t="s">
        <v>42</v>
      </c>
    </row>
    <row r="56" spans="1:6" x14ac:dyDescent="0.2">
      <c r="A56" s="9" t="s">
        <v>113</v>
      </c>
      <c r="B56" s="25">
        <v>2067.6999999999998</v>
      </c>
      <c r="C56" s="25">
        <v>2759.3</v>
      </c>
      <c r="D56" s="25">
        <v>2818.9</v>
      </c>
      <c r="E56" s="25">
        <v>2884.9</v>
      </c>
      <c r="F56" s="25">
        <v>3028.3</v>
      </c>
    </row>
    <row r="57" spans="1:6" x14ac:dyDescent="0.2">
      <c r="A57" s="11"/>
      <c r="B57" s="11"/>
      <c r="C57" s="11"/>
      <c r="D57" s="11"/>
      <c r="E57" s="11"/>
      <c r="F57" s="11"/>
    </row>
    <row r="58" spans="1:6" x14ac:dyDescent="0.2">
      <c r="A58" s="11" t="s">
        <v>114</v>
      </c>
      <c r="B58" s="19">
        <v>0.4</v>
      </c>
      <c r="C58" s="19">
        <v>-1.9</v>
      </c>
      <c r="D58" s="19">
        <v>-1.2</v>
      </c>
      <c r="E58" s="19">
        <v>-0.2</v>
      </c>
      <c r="F58" s="19">
        <v>0.4</v>
      </c>
    </row>
    <row r="59" spans="1:6" x14ac:dyDescent="0.2">
      <c r="A59" s="9" t="s">
        <v>115</v>
      </c>
      <c r="B59" s="26">
        <v>2068.1</v>
      </c>
      <c r="C59" s="26">
        <v>2757.4</v>
      </c>
      <c r="D59" s="26">
        <v>2817.7</v>
      </c>
      <c r="E59" s="26">
        <v>2884.7</v>
      </c>
      <c r="F59" s="26">
        <v>3028.7</v>
      </c>
    </row>
    <row r="60" spans="1:6" x14ac:dyDescent="0.2">
      <c r="A60" s="11"/>
      <c r="B60" s="11"/>
      <c r="C60" s="11"/>
      <c r="D60" s="11"/>
      <c r="E60" s="11"/>
      <c r="F60" s="11"/>
    </row>
    <row r="61" spans="1:6" x14ac:dyDescent="0.2">
      <c r="A61" s="11" t="s">
        <v>116</v>
      </c>
      <c r="B61" s="19" t="s">
        <v>42</v>
      </c>
      <c r="C61" s="19" t="s">
        <v>42</v>
      </c>
      <c r="D61" s="19" t="s">
        <v>42</v>
      </c>
      <c r="E61" s="19" t="s">
        <v>42</v>
      </c>
      <c r="F61" s="19" t="s">
        <v>42</v>
      </c>
    </row>
    <row r="62" spans="1:6" x14ac:dyDescent="0.2">
      <c r="A62" s="11"/>
      <c r="B62" s="11"/>
      <c r="C62" s="11"/>
      <c r="D62" s="11"/>
      <c r="E62" s="11"/>
      <c r="F62" s="11"/>
    </row>
    <row r="63" spans="1:6" x14ac:dyDescent="0.2">
      <c r="A63" s="9" t="s">
        <v>117</v>
      </c>
      <c r="B63" s="15">
        <v>2068.1</v>
      </c>
      <c r="C63" s="15">
        <v>2757.4</v>
      </c>
      <c r="D63" s="15">
        <v>2817.7</v>
      </c>
      <c r="E63" s="15">
        <v>2884.7</v>
      </c>
      <c r="F63" s="15">
        <v>3028.7</v>
      </c>
    </row>
    <row r="64" spans="1:6" x14ac:dyDescent="0.2">
      <c r="A64" s="9" t="s">
        <v>118</v>
      </c>
      <c r="B64" s="15">
        <v>2068.1</v>
      </c>
      <c r="C64" s="15">
        <v>2757.4</v>
      </c>
      <c r="D64" s="15">
        <v>2817.7</v>
      </c>
      <c r="E64" s="15">
        <v>2884.7</v>
      </c>
      <c r="F64" s="15">
        <v>3028.7</v>
      </c>
    </row>
    <row r="65" spans="1:6" x14ac:dyDescent="0.2">
      <c r="A65" s="11"/>
      <c r="B65" s="11"/>
      <c r="C65" s="11"/>
      <c r="D65" s="11"/>
      <c r="E65" s="11"/>
      <c r="F65" s="11"/>
    </row>
    <row r="66" spans="1:6" x14ac:dyDescent="0.2">
      <c r="A66" s="9" t="s">
        <v>119</v>
      </c>
      <c r="B66" s="172">
        <f t="shared" ref="B66:E66" si="0">B59*1000000/B67</f>
        <v>1509562043.7956202</v>
      </c>
      <c r="C66" s="172">
        <f t="shared" si="0"/>
        <v>1498586956.521739</v>
      </c>
      <c r="D66" s="172">
        <f t="shared" si="0"/>
        <v>1475235602.0942409</v>
      </c>
      <c r="E66" s="172">
        <f t="shared" si="0"/>
        <v>1449597989.9497488</v>
      </c>
      <c r="F66" s="172">
        <f>F59*1000000/F67</f>
        <v>1340132743.3628321</v>
      </c>
    </row>
    <row r="67" spans="1:6" x14ac:dyDescent="0.2">
      <c r="A67" s="11" t="s">
        <v>120</v>
      </c>
      <c r="B67" s="18">
        <v>1.37</v>
      </c>
      <c r="C67" s="18">
        <v>1.84</v>
      </c>
      <c r="D67" s="18">
        <v>1.91</v>
      </c>
      <c r="E67" s="18">
        <v>1.99</v>
      </c>
      <c r="F67" s="18">
        <v>2.2599999999999998</v>
      </c>
    </row>
    <row r="68" spans="1:6" x14ac:dyDescent="0.2">
      <c r="A68" s="11" t="s">
        <v>121</v>
      </c>
      <c r="B68" s="27">
        <v>1.3729659999999999</v>
      </c>
      <c r="C68" s="27">
        <v>1.843305</v>
      </c>
      <c r="D68" s="27">
        <v>1.9147179999999999</v>
      </c>
      <c r="E68" s="27">
        <v>1.9901340000000001</v>
      </c>
      <c r="F68" s="27">
        <v>2.2636859999999999</v>
      </c>
    </row>
    <row r="69" spans="1:6" x14ac:dyDescent="0.2">
      <c r="A69" s="11" t="s">
        <v>122</v>
      </c>
      <c r="B69" s="19">
        <v>1506.3</v>
      </c>
      <c r="C69" s="19">
        <v>1495.9</v>
      </c>
      <c r="D69" s="19">
        <v>1471.6</v>
      </c>
      <c r="E69" s="19">
        <v>1449.5</v>
      </c>
      <c r="F69" s="19">
        <v>1337.95</v>
      </c>
    </row>
    <row r="70" spans="1:6" x14ac:dyDescent="0.2">
      <c r="A70" s="11"/>
      <c r="B70" s="11"/>
      <c r="C70" s="11"/>
      <c r="D70" s="11"/>
      <c r="E70" s="11"/>
      <c r="F70" s="11"/>
    </row>
    <row r="71" spans="1:6" x14ac:dyDescent="0.2">
      <c r="A71" s="11" t="s">
        <v>123</v>
      </c>
      <c r="B71" s="18">
        <v>1.35</v>
      </c>
      <c r="C71" s="18">
        <v>1.82</v>
      </c>
      <c r="D71" s="18">
        <v>1.9</v>
      </c>
      <c r="E71" s="18">
        <v>1.97</v>
      </c>
      <c r="F71" s="18">
        <v>2.25</v>
      </c>
    </row>
    <row r="72" spans="1:6" x14ac:dyDescent="0.2">
      <c r="A72" s="11" t="s">
        <v>124</v>
      </c>
      <c r="B72" s="27">
        <v>1.35</v>
      </c>
      <c r="C72" s="27">
        <v>1.82</v>
      </c>
      <c r="D72" s="27">
        <v>1.9</v>
      </c>
      <c r="E72" s="27">
        <v>1.97</v>
      </c>
      <c r="F72" s="27">
        <v>2.2461690000000001</v>
      </c>
    </row>
    <row r="73" spans="1:6" x14ac:dyDescent="0.2">
      <c r="A73" s="11" t="s">
        <v>125</v>
      </c>
      <c r="B73" s="19">
        <v>1526.3</v>
      </c>
      <c r="C73" s="19">
        <v>1513.4</v>
      </c>
      <c r="D73" s="19">
        <v>1486.7</v>
      </c>
      <c r="E73" s="19">
        <v>1461.5</v>
      </c>
      <c r="F73" s="19">
        <v>1349.3</v>
      </c>
    </row>
    <row r="74" spans="1:6" x14ac:dyDescent="0.2">
      <c r="A74" s="11"/>
      <c r="B74" s="11"/>
      <c r="C74" s="11"/>
      <c r="D74" s="11"/>
      <c r="E74" s="11"/>
      <c r="F74" s="11"/>
    </row>
    <row r="75" spans="1:6" x14ac:dyDescent="0.2">
      <c r="A75" s="11" t="s">
        <v>126</v>
      </c>
      <c r="B75" s="18">
        <v>1.27</v>
      </c>
      <c r="C75" s="18">
        <v>1.49</v>
      </c>
      <c r="D75" s="18">
        <v>1.78</v>
      </c>
      <c r="E75" s="18">
        <v>1.87</v>
      </c>
      <c r="F75" s="18">
        <v>1.84</v>
      </c>
    </row>
    <row r="76" spans="1:6" x14ac:dyDescent="0.2">
      <c r="A76" s="11" t="s">
        <v>127</v>
      </c>
      <c r="B76" s="27">
        <v>1.2580830000000001</v>
      </c>
      <c r="C76" s="27">
        <v>1.4770380000000001</v>
      </c>
      <c r="D76" s="27">
        <v>1.761317</v>
      </c>
      <c r="E76" s="27">
        <v>1.8558330000000001</v>
      </c>
      <c r="F76" s="27">
        <v>1.8245290000000001</v>
      </c>
    </row>
    <row r="77" spans="1:6" x14ac:dyDescent="0.2">
      <c r="A77" s="11"/>
      <c r="B77" s="11"/>
      <c r="C77" s="11"/>
      <c r="D77" s="11"/>
      <c r="E77" s="11"/>
      <c r="F77" s="11"/>
    </row>
    <row r="78" spans="1:6" x14ac:dyDescent="0.2">
      <c r="A78" s="11" t="s">
        <v>128</v>
      </c>
      <c r="B78" s="18">
        <v>0.55000000000000004</v>
      </c>
      <c r="C78" s="18">
        <v>0.68</v>
      </c>
      <c r="D78" s="18">
        <v>0.85</v>
      </c>
      <c r="E78" s="18">
        <v>1.05</v>
      </c>
      <c r="F78" s="18">
        <v>1.38</v>
      </c>
    </row>
    <row r="79" spans="1:6" x14ac:dyDescent="0.2">
      <c r="A79" s="11" t="s">
        <v>129</v>
      </c>
      <c r="B79" s="28">
        <v>0.37865599999999999</v>
      </c>
      <c r="C79" s="28">
        <v>0.33676600000000001</v>
      </c>
      <c r="D79" s="28">
        <v>0.41807100000000003</v>
      </c>
      <c r="E79" s="28">
        <v>0.50278999999999996</v>
      </c>
      <c r="F79" s="28">
        <v>0.58176700000000003</v>
      </c>
    </row>
    <row r="80" spans="1:6" x14ac:dyDescent="0.2">
      <c r="A80" s="11"/>
      <c r="B80" s="11"/>
      <c r="C80" s="11"/>
      <c r="D80" s="11"/>
      <c r="E80" s="11"/>
      <c r="F80" s="11"/>
    </row>
    <row r="81" spans="1:6" x14ac:dyDescent="0.2">
      <c r="A81" s="9" t="s">
        <v>130</v>
      </c>
      <c r="B81" s="11"/>
      <c r="C81" s="11"/>
      <c r="D81" s="11"/>
      <c r="E81" s="11"/>
      <c r="F81" s="11"/>
    </row>
    <row r="82" spans="1:6" x14ac:dyDescent="0.2">
      <c r="A82" s="11" t="s">
        <v>28</v>
      </c>
      <c r="B82" s="19">
        <v>3541</v>
      </c>
      <c r="C82" s="19">
        <v>4284.8999999999996</v>
      </c>
      <c r="D82" s="19">
        <v>4883.8</v>
      </c>
      <c r="E82" s="19">
        <v>4963.8999999999996</v>
      </c>
      <c r="F82" s="19">
        <v>5131.2</v>
      </c>
    </row>
    <row r="83" spans="1:6" x14ac:dyDescent="0.2">
      <c r="A83" s="11" t="s">
        <v>131</v>
      </c>
      <c r="B83" s="19">
        <v>2801.3</v>
      </c>
      <c r="C83" s="19">
        <v>3401.1</v>
      </c>
      <c r="D83" s="19">
        <v>3911</v>
      </c>
      <c r="E83" s="19">
        <v>3954.3</v>
      </c>
      <c r="F83" s="19">
        <v>3973.9</v>
      </c>
    </row>
    <row r="84" spans="1:6" x14ac:dyDescent="0.2">
      <c r="A84" s="11" t="s">
        <v>29</v>
      </c>
      <c r="B84" s="19">
        <v>2792.6</v>
      </c>
      <c r="C84" s="19">
        <v>3351.1</v>
      </c>
      <c r="D84" s="19">
        <v>3853.7</v>
      </c>
      <c r="E84" s="19">
        <v>3896.8</v>
      </c>
      <c r="F84" s="19">
        <v>3746.9</v>
      </c>
    </row>
    <row r="85" spans="1:6" x14ac:dyDescent="0.2">
      <c r="A85" s="11" t="s">
        <v>132</v>
      </c>
      <c r="B85" s="19">
        <v>4501.8999999999996</v>
      </c>
      <c r="C85" s="19">
        <v>5410.8</v>
      </c>
      <c r="D85" s="19">
        <v>6092.4</v>
      </c>
      <c r="E85" s="19">
        <v>6277.6</v>
      </c>
      <c r="F85" s="19" t="s">
        <v>133</v>
      </c>
    </row>
    <row r="86" spans="1:6" x14ac:dyDescent="0.2">
      <c r="A86" s="11" t="s">
        <v>134</v>
      </c>
      <c r="B86" s="19">
        <v>16447.8</v>
      </c>
      <c r="C86" s="19">
        <v>19162.7</v>
      </c>
      <c r="D86" s="19">
        <v>21315.9</v>
      </c>
      <c r="E86" s="19">
        <v>22386.799999999999</v>
      </c>
      <c r="F86" s="19">
        <v>25278.5</v>
      </c>
    </row>
    <row r="87" spans="1:6" x14ac:dyDescent="0.2">
      <c r="A87" s="11" t="s">
        <v>135</v>
      </c>
      <c r="B87" s="28">
        <v>0.34560200000000002</v>
      </c>
      <c r="C87" s="28">
        <v>0.29303099999999999</v>
      </c>
      <c r="D87" s="28">
        <v>0.32860899999999998</v>
      </c>
      <c r="E87" s="28">
        <v>0.331812</v>
      </c>
      <c r="F87" s="28">
        <v>0.19020699999999999</v>
      </c>
    </row>
    <row r="88" spans="1:6" x14ac:dyDescent="0.2">
      <c r="A88" s="11" t="s">
        <v>136</v>
      </c>
      <c r="B88" s="19">
        <v>955.6</v>
      </c>
      <c r="C88" s="19">
        <v>951.1</v>
      </c>
      <c r="D88" s="19">
        <v>870.6</v>
      </c>
      <c r="E88" s="19">
        <v>1101.8</v>
      </c>
      <c r="F88" s="19">
        <v>208.2</v>
      </c>
    </row>
    <row r="89" spans="1:6" x14ac:dyDescent="0.2">
      <c r="A89" s="11" t="s">
        <v>137</v>
      </c>
      <c r="B89" s="19">
        <v>128.80000000000001</v>
      </c>
      <c r="C89" s="19">
        <v>172.2</v>
      </c>
      <c r="D89" s="19">
        <v>218.5</v>
      </c>
      <c r="E89" s="19">
        <v>216.6</v>
      </c>
      <c r="F89" s="19">
        <v>327</v>
      </c>
    </row>
    <row r="90" spans="1:6" x14ac:dyDescent="0.2">
      <c r="A90" s="11" t="s">
        <v>138</v>
      </c>
      <c r="B90" s="19">
        <v>1084.4000000000001</v>
      </c>
      <c r="C90" s="19">
        <v>1123.3</v>
      </c>
      <c r="D90" s="19">
        <v>1089.0999999999999</v>
      </c>
      <c r="E90" s="19">
        <v>1318.4</v>
      </c>
      <c r="F90" s="19">
        <v>535.20000000000005</v>
      </c>
    </row>
    <row r="91" spans="1:6" x14ac:dyDescent="0.2">
      <c r="A91" s="11" t="s">
        <v>139</v>
      </c>
      <c r="B91" s="19">
        <v>7.1</v>
      </c>
      <c r="C91" s="19">
        <v>60.5</v>
      </c>
      <c r="D91" s="19">
        <v>377.1</v>
      </c>
      <c r="E91" s="19">
        <v>135.4</v>
      </c>
      <c r="F91" s="19">
        <v>735.2</v>
      </c>
    </row>
    <row r="92" spans="1:6" x14ac:dyDescent="0.2">
      <c r="A92" s="11" t="s">
        <v>140</v>
      </c>
      <c r="B92" s="19">
        <v>0.5</v>
      </c>
      <c r="C92" s="19">
        <v>-40.1</v>
      </c>
      <c r="D92" s="19">
        <v>-86.5</v>
      </c>
      <c r="E92" s="19">
        <v>-21.2</v>
      </c>
      <c r="F92" s="19">
        <v>-8.4</v>
      </c>
    </row>
    <row r="93" spans="1:6" x14ac:dyDescent="0.2">
      <c r="A93" s="11" t="s">
        <v>141</v>
      </c>
      <c r="B93" s="19">
        <v>7.6</v>
      </c>
      <c r="C93" s="19">
        <v>20.399999999999999</v>
      </c>
      <c r="D93" s="19">
        <v>290.60000000000002</v>
      </c>
      <c r="E93" s="19">
        <v>114.2</v>
      </c>
      <c r="F93" s="19">
        <v>726.8</v>
      </c>
    </row>
    <row r="94" spans="1:6" x14ac:dyDescent="0.2">
      <c r="A94" s="11"/>
      <c r="B94" s="11"/>
      <c r="C94" s="11"/>
      <c r="D94" s="11"/>
      <c r="E94" s="11"/>
      <c r="F94" s="11"/>
    </row>
    <row r="95" spans="1:6" x14ac:dyDescent="0.2">
      <c r="A95" s="11" t="s">
        <v>142</v>
      </c>
      <c r="B95" s="19">
        <v>1920.2125000000001</v>
      </c>
      <c r="C95" s="19">
        <v>2235.35</v>
      </c>
      <c r="D95" s="19">
        <v>2618.5500000000002</v>
      </c>
      <c r="E95" s="19">
        <v>2712.3</v>
      </c>
      <c r="F95" s="19">
        <v>2461.8375000000001</v>
      </c>
    </row>
    <row r="96" spans="1:6" x14ac:dyDescent="0.2">
      <c r="A96" s="11" t="s">
        <v>143</v>
      </c>
      <c r="B96" s="19">
        <v>6.2</v>
      </c>
      <c r="C96" s="19" t="s">
        <v>133</v>
      </c>
      <c r="D96" s="19" t="s">
        <v>133</v>
      </c>
      <c r="E96" s="19" t="s">
        <v>133</v>
      </c>
      <c r="F96" s="19" t="s">
        <v>133</v>
      </c>
    </row>
    <row r="97" spans="1:6" x14ac:dyDescent="0.2">
      <c r="A97" s="11" t="s">
        <v>144</v>
      </c>
      <c r="B97" s="19">
        <v>70.3</v>
      </c>
      <c r="C97" s="19">
        <v>74.2</v>
      </c>
      <c r="D97" s="19">
        <v>81.3</v>
      </c>
      <c r="E97" s="19">
        <v>92.5</v>
      </c>
      <c r="F97" s="19" t="s">
        <v>133</v>
      </c>
    </row>
    <row r="98" spans="1:6" x14ac:dyDescent="0.2">
      <c r="A98" s="11" t="s">
        <v>145</v>
      </c>
      <c r="B98" s="29">
        <v>42692</v>
      </c>
      <c r="C98" s="29">
        <v>43056</v>
      </c>
      <c r="D98" s="29">
        <v>43420</v>
      </c>
      <c r="E98" s="29">
        <v>43420</v>
      </c>
      <c r="F98" s="29">
        <v>43494</v>
      </c>
    </row>
    <row r="99" spans="1:6" x14ac:dyDescent="0.2">
      <c r="A99" s="11" t="s">
        <v>146</v>
      </c>
      <c r="B99" s="22" t="s">
        <v>147</v>
      </c>
      <c r="C99" s="22" t="s">
        <v>148</v>
      </c>
      <c r="D99" s="22" t="s">
        <v>148</v>
      </c>
      <c r="E99" s="22" t="s">
        <v>148</v>
      </c>
      <c r="F99" s="22" t="s">
        <v>149</v>
      </c>
    </row>
    <row r="100" spans="1:6" x14ac:dyDescent="0.2">
      <c r="A100" s="11" t="s">
        <v>150</v>
      </c>
      <c r="B100" s="22" t="s">
        <v>151</v>
      </c>
      <c r="C100" s="22" t="s">
        <v>151</v>
      </c>
      <c r="D100" s="22" t="s">
        <v>151</v>
      </c>
      <c r="E100" s="22" t="s">
        <v>151</v>
      </c>
      <c r="F100" s="22" t="s">
        <v>152</v>
      </c>
    </row>
    <row r="101" spans="1:6" x14ac:dyDescent="0.2">
      <c r="A101" s="11"/>
      <c r="B101" s="11"/>
      <c r="C101" s="11"/>
      <c r="D101" s="11"/>
      <c r="E101" s="11"/>
      <c r="F101" s="11"/>
    </row>
    <row r="102" spans="1:6" x14ac:dyDescent="0.2">
      <c r="A102" s="9" t="s">
        <v>153</v>
      </c>
      <c r="B102" s="11"/>
      <c r="C102" s="11"/>
      <c r="D102" s="11"/>
      <c r="E102" s="11"/>
      <c r="F102" s="11"/>
    </row>
    <row r="103" spans="1:6" x14ac:dyDescent="0.2">
      <c r="A103" s="11" t="s">
        <v>154</v>
      </c>
      <c r="B103" s="19">
        <v>198.9</v>
      </c>
      <c r="C103" s="19">
        <v>227.9</v>
      </c>
      <c r="D103" s="19">
        <v>248.6</v>
      </c>
      <c r="E103" s="19">
        <v>282.60000000000002</v>
      </c>
      <c r="F103" s="19" t="s">
        <v>133</v>
      </c>
    </row>
    <row r="104" spans="1:6" x14ac:dyDescent="0.2">
      <c r="A104" s="11" t="s">
        <v>155</v>
      </c>
      <c r="B104" s="19">
        <v>116.6</v>
      </c>
      <c r="C104" s="19" t="s">
        <v>133</v>
      </c>
      <c r="D104" s="19" t="s">
        <v>133</v>
      </c>
      <c r="E104" s="19" t="s">
        <v>133</v>
      </c>
      <c r="F104" s="19" t="s">
        <v>133</v>
      </c>
    </row>
    <row r="105" spans="1:6" x14ac:dyDescent="0.2">
      <c r="A105" s="11" t="s">
        <v>156</v>
      </c>
      <c r="B105" s="19">
        <v>116.6</v>
      </c>
      <c r="C105" s="19" t="s">
        <v>133</v>
      </c>
      <c r="D105" s="19" t="s">
        <v>133</v>
      </c>
      <c r="E105" s="19" t="s">
        <v>133</v>
      </c>
      <c r="F105" s="19" t="s">
        <v>133</v>
      </c>
    </row>
    <row r="106" spans="1:6" x14ac:dyDescent="0.2">
      <c r="A106" s="11" t="s">
        <v>157</v>
      </c>
      <c r="B106" s="19">
        <v>991.3</v>
      </c>
      <c r="C106" s="19">
        <v>1196.7</v>
      </c>
      <c r="D106" s="19">
        <v>1408.9</v>
      </c>
      <c r="E106" s="19">
        <v>1450.7</v>
      </c>
      <c r="F106" s="19">
        <v>1826.3</v>
      </c>
    </row>
    <row r="107" spans="1:6" x14ac:dyDescent="0.2">
      <c r="A107" s="11" t="s">
        <v>158</v>
      </c>
      <c r="B107" s="19">
        <v>960.9</v>
      </c>
      <c r="C107" s="19">
        <v>1125.9000000000001</v>
      </c>
      <c r="D107" s="19">
        <v>1208.5999999999999</v>
      </c>
      <c r="E107" s="19">
        <v>1313.7</v>
      </c>
      <c r="F107" s="19" t="s">
        <v>133</v>
      </c>
    </row>
    <row r="108" spans="1:6" x14ac:dyDescent="0.2">
      <c r="A108" s="11" t="s">
        <v>159</v>
      </c>
      <c r="B108" s="19">
        <v>322.84702600000003</v>
      </c>
      <c r="C108" s="19">
        <v>288.91494699999998</v>
      </c>
      <c r="D108" s="19">
        <v>264.99280199999998</v>
      </c>
      <c r="E108" s="19">
        <v>258.62023699999997</v>
      </c>
      <c r="F108" s="19" t="s">
        <v>42</v>
      </c>
    </row>
    <row r="109" spans="1:6" x14ac:dyDescent="0.2">
      <c r="A109" s="11" t="s">
        <v>160</v>
      </c>
      <c r="B109" s="19">
        <v>638.05297399999995</v>
      </c>
      <c r="C109" s="19">
        <v>836.98505299999999</v>
      </c>
      <c r="D109" s="19">
        <v>943.60719800000004</v>
      </c>
      <c r="E109" s="19">
        <v>1055.079763</v>
      </c>
      <c r="F109" s="19" t="s">
        <v>42</v>
      </c>
    </row>
    <row r="110" spans="1:6" x14ac:dyDescent="0.2">
      <c r="A110" s="11"/>
      <c r="B110" s="11"/>
      <c r="C110" s="11"/>
      <c r="D110" s="11"/>
      <c r="E110" s="11"/>
      <c r="F110" s="11"/>
    </row>
    <row r="111" spans="1:6" x14ac:dyDescent="0.2">
      <c r="A111" s="11" t="s">
        <v>161</v>
      </c>
      <c r="B111" s="19" t="s">
        <v>42</v>
      </c>
      <c r="C111" s="19" t="s">
        <v>42</v>
      </c>
      <c r="D111" s="19" t="s">
        <v>42</v>
      </c>
      <c r="E111" s="19" t="s">
        <v>42</v>
      </c>
      <c r="F111" s="19">
        <v>35.9</v>
      </c>
    </row>
    <row r="112" spans="1:6" x14ac:dyDescent="0.2">
      <c r="A112" s="11" t="s">
        <v>162</v>
      </c>
      <c r="B112" s="19">
        <v>183.2</v>
      </c>
      <c r="C112" s="19">
        <v>209.8</v>
      </c>
      <c r="D112" s="19">
        <v>218.1</v>
      </c>
      <c r="E112" s="19">
        <v>176</v>
      </c>
      <c r="F112" s="19">
        <v>250.3</v>
      </c>
    </row>
    <row r="113" spans="1:6" x14ac:dyDescent="0.2">
      <c r="A113" s="9" t="s">
        <v>163</v>
      </c>
      <c r="B113" s="15">
        <v>183.2</v>
      </c>
      <c r="C113" s="15">
        <v>209.8</v>
      </c>
      <c r="D113" s="15">
        <v>218.1</v>
      </c>
      <c r="E113" s="15">
        <v>176</v>
      </c>
      <c r="F113" s="15">
        <v>286.2</v>
      </c>
    </row>
    <row r="114" spans="1:6" x14ac:dyDescent="0.2">
      <c r="A114" s="11"/>
      <c r="B114" s="11"/>
      <c r="C114" s="11"/>
      <c r="D114" s="11"/>
      <c r="E114" s="11"/>
      <c r="F114" s="11"/>
    </row>
    <row r="115" spans="1:6" x14ac:dyDescent="0.2">
      <c r="A115" s="24" t="s">
        <v>164</v>
      </c>
      <c r="B115" s="12"/>
      <c r="C115" s="12"/>
      <c r="D115" s="12"/>
      <c r="E115" s="12"/>
      <c r="F115" s="12"/>
    </row>
    <row r="116" spans="1:6" x14ac:dyDescent="0.2">
      <c r="A116" s="30" t="s">
        <v>165</v>
      </c>
    </row>
    <row r="117" spans="1:6" x14ac:dyDescent="0.2">
      <c r="A117" s="23" t="s">
        <v>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pageSetUpPr autoPageBreaks="0"/>
  </sheetPr>
  <dimension ref="A5:IT98"/>
  <sheetViews>
    <sheetView topLeftCell="A25" workbookViewId="0">
      <selection activeCell="J81" sqref="J81"/>
    </sheetView>
  </sheetViews>
  <sheetFormatPr defaultRowHeight="11.25" x14ac:dyDescent="0.2"/>
  <cols>
    <col min="1" max="1" width="45.85546875" customWidth="1"/>
    <col min="2" max="6" width="14.85546875" customWidth="1"/>
    <col min="8" max="8" width="14.42578125" customWidth="1"/>
  </cols>
  <sheetData>
    <row r="5" spans="1:254" ht="15.75" x14ac:dyDescent="0.2">
      <c r="A5" s="1" t="s">
        <v>166</v>
      </c>
    </row>
    <row r="7" spans="1:254" x14ac:dyDescent="0.2">
      <c r="A7" s="2" t="s">
        <v>167</v>
      </c>
      <c r="B7" s="3" t="s">
        <v>168</v>
      </c>
      <c r="C7" t="s">
        <v>65</v>
      </c>
      <c r="D7" s="4" t="s">
        <v>4</v>
      </c>
      <c r="E7" s="3"/>
    </row>
    <row r="8" spans="1:254" x14ac:dyDescent="0.2">
      <c r="A8" s="4"/>
      <c r="B8" s="3" t="s">
        <v>169</v>
      </c>
      <c r="C8" t="s">
        <v>69</v>
      </c>
      <c r="D8" s="4" t="s">
        <v>4</v>
      </c>
      <c r="E8" s="3"/>
    </row>
    <row r="9" spans="1:254" x14ac:dyDescent="0.2">
      <c r="A9" s="4"/>
      <c r="B9" s="3" t="s">
        <v>170</v>
      </c>
      <c r="C9" t="s">
        <v>72</v>
      </c>
      <c r="D9" s="4" t="s">
        <v>4</v>
      </c>
      <c r="E9" s="3"/>
    </row>
    <row r="10" spans="1:254" x14ac:dyDescent="0.2">
      <c r="A10" s="4"/>
      <c r="B10" s="3" t="s">
        <v>171</v>
      </c>
      <c r="C10" t="s">
        <v>9</v>
      </c>
      <c r="D10" s="4" t="s">
        <v>4</v>
      </c>
      <c r="E10" s="3"/>
    </row>
    <row r="13" spans="1:254" ht="12.75" x14ac:dyDescent="0.2">
      <c r="A13" s="6" t="s">
        <v>172</v>
      </c>
      <c r="B13" s="6"/>
      <c r="C13" s="6"/>
      <c r="D13" s="6"/>
      <c r="E13" s="6"/>
      <c r="F13" s="6"/>
      <c r="G13" s="36"/>
      <c r="H13" s="185" t="s">
        <v>607</v>
      </c>
      <c r="I13" s="186"/>
      <c r="J13" s="186"/>
      <c r="K13" s="186"/>
      <c r="L13" s="186"/>
      <c r="M13" s="18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row>
    <row r="14" spans="1:254" ht="27" customHeight="1" x14ac:dyDescent="0.2">
      <c r="A14" s="7" t="s">
        <v>173</v>
      </c>
      <c r="B14" s="31">
        <v>41910</v>
      </c>
      <c r="C14" s="13" t="s">
        <v>174</v>
      </c>
      <c r="D14" s="13" t="s">
        <v>175</v>
      </c>
      <c r="E14" s="31">
        <v>43009</v>
      </c>
      <c r="F14" s="31">
        <v>43464</v>
      </c>
      <c r="H14" s="187" t="s">
        <v>173</v>
      </c>
      <c r="I14" s="3">
        <v>2014</v>
      </c>
      <c r="J14" s="3">
        <v>2015</v>
      </c>
      <c r="K14" s="3">
        <v>2016</v>
      </c>
      <c r="L14" s="3">
        <v>2017</v>
      </c>
      <c r="M14" s="3">
        <v>2018</v>
      </c>
    </row>
    <row r="15" spans="1:254" x14ac:dyDescent="0.2">
      <c r="A15" s="8" t="s">
        <v>22</v>
      </c>
      <c r="B15" s="14" t="s">
        <v>23</v>
      </c>
      <c r="C15" s="14" t="s">
        <v>23</v>
      </c>
      <c r="D15" s="14" t="s">
        <v>23</v>
      </c>
      <c r="E15" s="14" t="s">
        <v>23</v>
      </c>
      <c r="F15" s="14" t="s">
        <v>23</v>
      </c>
    </row>
    <row r="16" spans="1:254" x14ac:dyDescent="0.2">
      <c r="A16" s="9" t="s">
        <v>176</v>
      </c>
      <c r="B16" s="11"/>
      <c r="C16" s="11"/>
      <c r="D16" s="11"/>
      <c r="E16" s="11"/>
      <c r="F16" s="11"/>
      <c r="H16" t="s">
        <v>176</v>
      </c>
    </row>
    <row r="17" spans="1:13" x14ac:dyDescent="0.2">
      <c r="A17" s="11" t="s">
        <v>177</v>
      </c>
      <c r="B17" s="19">
        <v>1708.4</v>
      </c>
      <c r="C17" s="19">
        <v>1530.1</v>
      </c>
      <c r="D17" s="19">
        <v>2128.8000000000002</v>
      </c>
      <c r="E17" s="19">
        <v>2462.3000000000002</v>
      </c>
      <c r="F17" s="19">
        <v>4761.6000000000004</v>
      </c>
      <c r="H17" t="s">
        <v>605</v>
      </c>
      <c r="I17" s="184">
        <f>SUM(B35:B39)+B23-SUM(B43:B44)-B46</f>
        <v>1691.8000000000002</v>
      </c>
      <c r="J17" s="184">
        <f t="shared" ref="J17:M17" si="0">SUM(C35:C39)+C23-SUM(C43:C44)-C46</f>
        <v>3248.5</v>
      </c>
      <c r="K17" s="184">
        <f t="shared" si="0"/>
        <v>3796.3000000000006</v>
      </c>
      <c r="L17" s="184">
        <f t="shared" si="0"/>
        <v>3200.9999999999995</v>
      </c>
      <c r="M17" s="184">
        <f t="shared" si="0"/>
        <v>4285.3</v>
      </c>
    </row>
    <row r="18" spans="1:13" x14ac:dyDescent="0.2">
      <c r="A18" s="11" t="s">
        <v>178</v>
      </c>
      <c r="B18" s="19">
        <v>135.4</v>
      </c>
      <c r="C18" s="19">
        <v>81.3</v>
      </c>
      <c r="D18" s="19">
        <v>134.4</v>
      </c>
      <c r="E18" s="19">
        <v>228.6</v>
      </c>
      <c r="F18" s="19">
        <v>230.2</v>
      </c>
    </row>
    <row r="19" spans="1:13" x14ac:dyDescent="0.2">
      <c r="A19" s="9" t="s">
        <v>179</v>
      </c>
      <c r="B19" s="25">
        <v>1843.8</v>
      </c>
      <c r="C19" s="25">
        <v>1611.4</v>
      </c>
      <c r="D19" s="25">
        <v>2263.1999999999998</v>
      </c>
      <c r="E19" s="25">
        <v>2690.9</v>
      </c>
      <c r="F19" s="25">
        <v>4991.8</v>
      </c>
    </row>
    <row r="20" spans="1:13" x14ac:dyDescent="0.2">
      <c r="A20" s="11"/>
      <c r="B20" s="11"/>
      <c r="C20" s="11"/>
      <c r="D20" s="11"/>
      <c r="E20" s="11"/>
      <c r="F20" s="11"/>
    </row>
    <row r="21" spans="1:13" x14ac:dyDescent="0.2">
      <c r="A21" s="11" t="s">
        <v>180</v>
      </c>
      <c r="B21" s="19">
        <v>631</v>
      </c>
      <c r="C21" s="19">
        <v>719</v>
      </c>
      <c r="D21" s="19">
        <v>768.8</v>
      </c>
      <c r="E21" s="19">
        <v>870.4</v>
      </c>
      <c r="F21" s="19">
        <v>721.4</v>
      </c>
    </row>
    <row r="22" spans="1:13" x14ac:dyDescent="0.2">
      <c r="A22" s="11" t="s">
        <v>181</v>
      </c>
      <c r="B22" s="19" t="s">
        <v>42</v>
      </c>
      <c r="C22" s="19" t="s">
        <v>42</v>
      </c>
      <c r="D22" s="19" t="s">
        <v>42</v>
      </c>
      <c r="E22" s="19">
        <v>68</v>
      </c>
      <c r="F22" s="19">
        <v>121.8</v>
      </c>
    </row>
    <row r="23" spans="1:13" x14ac:dyDescent="0.2">
      <c r="A23" s="9" t="s">
        <v>182</v>
      </c>
      <c r="B23" s="25">
        <v>631</v>
      </c>
      <c r="C23" s="25">
        <v>719</v>
      </c>
      <c r="D23" s="25">
        <v>768.8</v>
      </c>
      <c r="E23" s="25">
        <v>938.4</v>
      </c>
      <c r="F23" s="25">
        <v>843.2</v>
      </c>
    </row>
    <row r="24" spans="1:13" x14ac:dyDescent="0.2">
      <c r="A24" s="11"/>
      <c r="B24" s="11"/>
      <c r="C24" s="11"/>
      <c r="D24" s="11"/>
      <c r="E24" s="11"/>
      <c r="F24" s="11"/>
    </row>
    <row r="25" spans="1:13" x14ac:dyDescent="0.2">
      <c r="A25" s="11" t="s">
        <v>183</v>
      </c>
      <c r="B25" s="19">
        <v>1090.9000000000001</v>
      </c>
      <c r="C25" s="19">
        <v>1306.4000000000001</v>
      </c>
      <c r="D25" s="19">
        <v>1378.5</v>
      </c>
      <c r="E25" s="19">
        <v>1364</v>
      </c>
      <c r="F25" s="19">
        <v>1354.6</v>
      </c>
    </row>
    <row r="26" spans="1:13" x14ac:dyDescent="0.2">
      <c r="A26" s="11" t="s">
        <v>184</v>
      </c>
      <c r="B26" s="19">
        <v>256.89999999999998</v>
      </c>
      <c r="C26" s="19">
        <v>283.39999999999998</v>
      </c>
      <c r="D26" s="19">
        <v>319.7</v>
      </c>
      <c r="E26" s="19">
        <v>276.7</v>
      </c>
      <c r="F26" s="19">
        <v>461.6</v>
      </c>
    </row>
    <row r="27" spans="1:13" x14ac:dyDescent="0.2">
      <c r="A27" s="11" t="s">
        <v>185</v>
      </c>
      <c r="B27" s="19">
        <v>317.39999999999998</v>
      </c>
      <c r="C27" s="19" t="s">
        <v>42</v>
      </c>
      <c r="D27" s="19" t="s">
        <v>42</v>
      </c>
      <c r="E27" s="19" t="s">
        <v>42</v>
      </c>
      <c r="F27" s="19" t="s">
        <v>42</v>
      </c>
    </row>
    <row r="28" spans="1:13" x14ac:dyDescent="0.2">
      <c r="A28" s="11" t="s">
        <v>186</v>
      </c>
      <c r="B28" s="19">
        <v>28.7</v>
      </c>
      <c r="C28" s="19">
        <v>50.8</v>
      </c>
      <c r="D28" s="19">
        <v>27.7</v>
      </c>
      <c r="E28" s="19">
        <v>13.4</v>
      </c>
      <c r="F28" s="19">
        <v>25.1</v>
      </c>
    </row>
    <row r="29" spans="1:13" x14ac:dyDescent="0.2">
      <c r="A29" s="9" t="s">
        <v>187</v>
      </c>
      <c r="B29" s="25">
        <v>4168.7</v>
      </c>
      <c r="C29" s="25">
        <v>3971</v>
      </c>
      <c r="D29" s="25">
        <v>4757.8999999999996</v>
      </c>
      <c r="E29" s="25">
        <v>5283.4</v>
      </c>
      <c r="F29" s="25">
        <v>7676.3</v>
      </c>
    </row>
    <row r="30" spans="1:13" x14ac:dyDescent="0.2">
      <c r="A30" s="11"/>
      <c r="B30" s="11"/>
      <c r="C30" s="11"/>
      <c r="D30" s="11"/>
      <c r="E30" s="11"/>
      <c r="F30" s="11"/>
    </row>
    <row r="31" spans="1:13" x14ac:dyDescent="0.2">
      <c r="A31" s="11" t="s">
        <v>188</v>
      </c>
      <c r="B31" s="19">
        <v>8581.1</v>
      </c>
      <c r="C31" s="19">
        <v>9641.7999999999993</v>
      </c>
      <c r="D31" s="19">
        <v>10573.3</v>
      </c>
      <c r="E31" s="19">
        <v>11584</v>
      </c>
      <c r="F31" s="19">
        <v>13468.9</v>
      </c>
      <c r="H31" s="11" t="s">
        <v>188</v>
      </c>
      <c r="I31" s="19">
        <v>8581.1</v>
      </c>
      <c r="J31" s="19">
        <v>9641.7999999999993</v>
      </c>
      <c r="K31" s="19">
        <v>10573.3</v>
      </c>
      <c r="L31" s="19">
        <v>11584</v>
      </c>
      <c r="M31" s="19">
        <v>13468.9</v>
      </c>
    </row>
    <row r="32" spans="1:13" x14ac:dyDescent="0.2">
      <c r="A32" s="11" t="s">
        <v>189</v>
      </c>
      <c r="B32" s="19">
        <v>-5062.1000000000004</v>
      </c>
      <c r="C32" s="19">
        <v>-5553.5</v>
      </c>
      <c r="D32" s="19">
        <v>-6039.5</v>
      </c>
      <c r="E32" s="19">
        <v>-6664.5</v>
      </c>
      <c r="F32" s="19">
        <v>-7429.6</v>
      </c>
      <c r="H32" s="11" t="s">
        <v>189</v>
      </c>
      <c r="I32" s="19">
        <v>-5062.1000000000004</v>
      </c>
      <c r="J32" s="19">
        <v>-5553.5</v>
      </c>
      <c r="K32" s="19">
        <v>-6039.5</v>
      </c>
      <c r="L32" s="19">
        <v>-6664.5</v>
      </c>
      <c r="M32" s="19">
        <v>-7429.6</v>
      </c>
    </row>
    <row r="33" spans="1:13" x14ac:dyDescent="0.2">
      <c r="A33" s="9" t="s">
        <v>190</v>
      </c>
      <c r="B33" s="25">
        <v>3519</v>
      </c>
      <c r="C33" s="25">
        <v>4088.3</v>
      </c>
      <c r="D33" s="25">
        <v>4533.8</v>
      </c>
      <c r="E33" s="25">
        <v>4919.5</v>
      </c>
      <c r="F33" s="25">
        <v>6039.3</v>
      </c>
      <c r="H33" s="9" t="s">
        <v>190</v>
      </c>
      <c r="I33" s="25">
        <v>3519</v>
      </c>
      <c r="J33" s="25">
        <v>4088.3</v>
      </c>
      <c r="K33" s="25">
        <v>4533.8</v>
      </c>
      <c r="L33" s="25">
        <v>4919.5</v>
      </c>
      <c r="M33" s="25">
        <v>6039.3</v>
      </c>
    </row>
    <row r="34" spans="1:13" x14ac:dyDescent="0.2">
      <c r="A34" s="11"/>
      <c r="B34" s="11"/>
      <c r="C34" s="11"/>
      <c r="D34" s="11"/>
      <c r="E34" s="11"/>
      <c r="F34" s="11"/>
    </row>
    <row r="35" spans="1:13" x14ac:dyDescent="0.2">
      <c r="A35" s="11" t="s">
        <v>191</v>
      </c>
      <c r="B35" s="19">
        <v>833.3</v>
      </c>
      <c r="C35" s="19">
        <v>664.5</v>
      </c>
      <c r="D35" s="19">
        <v>1496.2</v>
      </c>
      <c r="E35" s="19">
        <v>1023.9</v>
      </c>
      <c r="F35" s="19">
        <v>601.1</v>
      </c>
      <c r="H35" s="11" t="s">
        <v>191</v>
      </c>
      <c r="I35" s="19">
        <v>833.3</v>
      </c>
      <c r="J35" s="19">
        <v>664.5</v>
      </c>
      <c r="K35" s="19">
        <v>1496.2</v>
      </c>
      <c r="L35" s="19">
        <v>1023.9</v>
      </c>
      <c r="M35" s="19">
        <v>601.1</v>
      </c>
    </row>
    <row r="36" spans="1:13" x14ac:dyDescent="0.2">
      <c r="A36" s="11" t="s">
        <v>192</v>
      </c>
      <c r="B36" s="19">
        <v>856.2</v>
      </c>
      <c r="C36" s="19">
        <v>1575.4</v>
      </c>
      <c r="D36" s="19">
        <v>1719.6</v>
      </c>
      <c r="E36" s="19">
        <v>1539.2</v>
      </c>
      <c r="F36" s="19">
        <v>3560.3</v>
      </c>
      <c r="H36" s="11" t="s">
        <v>192</v>
      </c>
      <c r="I36" s="19">
        <v>856.2</v>
      </c>
      <c r="J36" s="19">
        <v>1575.4</v>
      </c>
      <c r="K36" s="19">
        <v>1719.6</v>
      </c>
      <c r="L36" s="19">
        <v>1539.2</v>
      </c>
      <c r="M36" s="19">
        <v>3560.3</v>
      </c>
    </row>
    <row r="37" spans="1:13" x14ac:dyDescent="0.2">
      <c r="A37" s="11" t="s">
        <v>193</v>
      </c>
      <c r="B37" s="19">
        <v>273.5</v>
      </c>
      <c r="C37" s="19">
        <v>520.4</v>
      </c>
      <c r="D37" s="19">
        <v>516.29999999999995</v>
      </c>
      <c r="E37" s="19">
        <v>441.4</v>
      </c>
      <c r="F37" s="19">
        <v>981.6</v>
      </c>
      <c r="H37" s="11" t="s">
        <v>193</v>
      </c>
      <c r="I37" s="19">
        <v>273.5</v>
      </c>
      <c r="J37" s="19">
        <v>520.4</v>
      </c>
      <c r="K37" s="19">
        <v>516.29999999999995</v>
      </c>
      <c r="L37" s="19">
        <v>441.4</v>
      </c>
      <c r="M37" s="19">
        <v>981.6</v>
      </c>
    </row>
    <row r="38" spans="1:13" x14ac:dyDescent="0.2">
      <c r="A38" s="11" t="s">
        <v>194</v>
      </c>
      <c r="B38" s="19">
        <v>903.3</v>
      </c>
      <c r="C38" s="19">
        <v>1180.8</v>
      </c>
      <c r="D38" s="19">
        <v>885.4</v>
      </c>
      <c r="E38" s="19">
        <v>795.4</v>
      </c>
      <c r="F38" s="19">
        <v>650</v>
      </c>
      <c r="H38" s="11" t="s">
        <v>194</v>
      </c>
      <c r="I38" s="19">
        <v>903.3</v>
      </c>
      <c r="J38" s="19">
        <v>1180.8</v>
      </c>
      <c r="K38" s="19">
        <v>885.4</v>
      </c>
      <c r="L38" s="19">
        <v>795.4</v>
      </c>
      <c r="M38" s="19">
        <v>650</v>
      </c>
    </row>
    <row r="39" spans="1:13" x14ac:dyDescent="0.2">
      <c r="A39" s="11" t="s">
        <v>195</v>
      </c>
      <c r="B39" s="19">
        <v>198.9</v>
      </c>
      <c r="C39" s="19">
        <v>415.9</v>
      </c>
      <c r="D39" s="19">
        <v>403.3</v>
      </c>
      <c r="E39" s="19">
        <v>362.8</v>
      </c>
      <c r="F39" s="19">
        <v>472.7</v>
      </c>
      <c r="H39" s="11" t="s">
        <v>195</v>
      </c>
      <c r="I39" s="19">
        <v>198.9</v>
      </c>
      <c r="J39" s="19">
        <v>415.9</v>
      </c>
      <c r="K39" s="19">
        <v>403.3</v>
      </c>
      <c r="L39" s="19">
        <v>362.8</v>
      </c>
      <c r="M39" s="19">
        <v>472.7</v>
      </c>
    </row>
    <row r="40" spans="1:13" x14ac:dyDescent="0.2">
      <c r="A40" s="9" t="s">
        <v>196</v>
      </c>
      <c r="B40" s="26">
        <v>10752.9</v>
      </c>
      <c r="C40" s="26">
        <v>12416.3</v>
      </c>
      <c r="D40" s="26">
        <v>14312.5</v>
      </c>
      <c r="E40" s="26">
        <v>14365.6</v>
      </c>
      <c r="F40" s="26">
        <v>19981.3</v>
      </c>
      <c r="H40" s="9" t="s">
        <v>196</v>
      </c>
      <c r="I40" s="26">
        <v>10752.9</v>
      </c>
      <c r="J40" s="26">
        <v>12416.3</v>
      </c>
      <c r="K40" s="26">
        <v>14312.5</v>
      </c>
      <c r="L40" s="26">
        <v>14365.6</v>
      </c>
      <c r="M40" s="26">
        <v>19981.3</v>
      </c>
    </row>
    <row r="41" spans="1:13" x14ac:dyDescent="0.2">
      <c r="A41" s="11"/>
      <c r="B41" s="11"/>
      <c r="C41" s="11"/>
      <c r="D41" s="11"/>
      <c r="E41" s="11"/>
      <c r="F41" s="11"/>
    </row>
    <row r="42" spans="1:13" x14ac:dyDescent="0.2">
      <c r="A42" s="9" t="s">
        <v>197</v>
      </c>
      <c r="B42" s="11"/>
      <c r="C42" s="11"/>
      <c r="D42" s="11"/>
      <c r="E42" s="11"/>
      <c r="F42" s="11"/>
    </row>
    <row r="43" spans="1:13" x14ac:dyDescent="0.2">
      <c r="A43" s="11" t="s">
        <v>198</v>
      </c>
      <c r="B43" s="19">
        <v>533.70000000000005</v>
      </c>
      <c r="C43" s="19">
        <v>684.2</v>
      </c>
      <c r="D43" s="19">
        <v>730.6</v>
      </c>
      <c r="E43" s="19">
        <v>782.5</v>
      </c>
      <c r="F43" s="19">
        <v>1100.5</v>
      </c>
      <c r="H43" t="s">
        <v>606</v>
      </c>
      <c r="I43" s="184">
        <f>SUM(B47:B48)-SUM(B17:B18)</f>
        <v>-809.50000000000023</v>
      </c>
      <c r="J43" s="184">
        <f t="shared" ref="J43:M43" si="1">SUM(C47:C48)-SUM(C17:C18)</f>
        <v>209.20000000000005</v>
      </c>
      <c r="K43" s="184">
        <f t="shared" si="1"/>
        <v>-109.60000000000036</v>
      </c>
      <c r="L43" s="184">
        <f t="shared" si="1"/>
        <v>-370.30000000000018</v>
      </c>
      <c r="M43" s="184">
        <f t="shared" si="1"/>
        <v>-2387.9</v>
      </c>
    </row>
    <row r="44" spans="1:13" x14ac:dyDescent="0.2">
      <c r="A44" s="11" t="s">
        <v>199</v>
      </c>
      <c r="B44" s="19">
        <v>1198.7</v>
      </c>
      <c r="C44" s="19">
        <v>884.3</v>
      </c>
      <c r="D44" s="19">
        <v>894.3</v>
      </c>
      <c r="E44" s="19">
        <v>891</v>
      </c>
      <c r="F44" s="19">
        <v>949.4</v>
      </c>
    </row>
    <row r="45" spans="1:13" x14ac:dyDescent="0.2">
      <c r="A45" s="11" t="s">
        <v>200</v>
      </c>
      <c r="B45" s="19" t="s">
        <v>42</v>
      </c>
      <c r="C45" s="19" t="s">
        <v>42</v>
      </c>
      <c r="D45" s="19">
        <v>399.9</v>
      </c>
      <c r="E45" s="19" t="s">
        <v>42</v>
      </c>
      <c r="F45" s="19" t="s">
        <v>42</v>
      </c>
    </row>
    <row r="46" spans="1:13" x14ac:dyDescent="0.2">
      <c r="A46" s="11" t="s">
        <v>201</v>
      </c>
      <c r="B46" s="19">
        <v>272</v>
      </c>
      <c r="C46" s="19">
        <v>259</v>
      </c>
      <c r="D46" s="19">
        <v>368.4</v>
      </c>
      <c r="E46" s="19">
        <v>226.6</v>
      </c>
      <c r="F46" s="19">
        <v>773.7</v>
      </c>
    </row>
    <row r="47" spans="1:13" x14ac:dyDescent="0.2">
      <c r="A47" s="11" t="s">
        <v>202</v>
      </c>
      <c r="B47" s="19">
        <v>794.5</v>
      </c>
      <c r="C47" s="19">
        <v>983.8</v>
      </c>
      <c r="D47" s="19">
        <v>1171.2</v>
      </c>
      <c r="E47" s="19">
        <v>1288.5</v>
      </c>
      <c r="F47" s="19">
        <v>1554.2</v>
      </c>
    </row>
    <row r="48" spans="1:13" x14ac:dyDescent="0.2">
      <c r="A48" s="11" t="s">
        <v>203</v>
      </c>
      <c r="B48" s="19">
        <v>239.8</v>
      </c>
      <c r="C48" s="19">
        <v>836.8</v>
      </c>
      <c r="D48" s="19">
        <v>982.4</v>
      </c>
      <c r="E48" s="19">
        <v>1032.0999999999999</v>
      </c>
      <c r="F48" s="19">
        <v>1049.7</v>
      </c>
    </row>
    <row r="49" spans="1:13" x14ac:dyDescent="0.2">
      <c r="A49" s="9" t="s">
        <v>204</v>
      </c>
      <c r="B49" s="25">
        <v>3038.7</v>
      </c>
      <c r="C49" s="25">
        <v>3648.1</v>
      </c>
      <c r="D49" s="25">
        <v>4546.8</v>
      </c>
      <c r="E49" s="25">
        <v>4220.7</v>
      </c>
      <c r="F49" s="25">
        <v>5427.5</v>
      </c>
    </row>
    <row r="50" spans="1:13" x14ac:dyDescent="0.2">
      <c r="A50" s="11"/>
      <c r="B50" s="11"/>
      <c r="C50" s="11"/>
      <c r="D50" s="11"/>
      <c r="E50" s="11"/>
      <c r="F50" s="11"/>
    </row>
    <row r="51" spans="1:13" x14ac:dyDescent="0.2">
      <c r="A51" s="11" t="s">
        <v>205</v>
      </c>
      <c r="B51" s="19">
        <v>2048.3000000000002</v>
      </c>
      <c r="C51" s="19">
        <v>2347.5</v>
      </c>
      <c r="D51" s="19">
        <v>3185.3</v>
      </c>
      <c r="E51" s="19">
        <v>3932.6</v>
      </c>
      <c r="F51" s="19">
        <v>9130.7000000000007</v>
      </c>
      <c r="H51" s="11" t="s">
        <v>205</v>
      </c>
      <c r="I51" s="19">
        <v>2048.3000000000002</v>
      </c>
      <c r="J51" s="19">
        <v>2347.5</v>
      </c>
      <c r="K51" s="19">
        <v>3185.3</v>
      </c>
      <c r="L51" s="19">
        <v>3932.6</v>
      </c>
      <c r="M51" s="19">
        <v>9130.7000000000007</v>
      </c>
    </row>
    <row r="52" spans="1:13" x14ac:dyDescent="0.2">
      <c r="A52" s="11" t="s">
        <v>206</v>
      </c>
      <c r="B52" s="19" t="s">
        <v>42</v>
      </c>
      <c r="C52" s="19" t="s">
        <v>42</v>
      </c>
      <c r="D52" s="19" t="s">
        <v>42</v>
      </c>
      <c r="E52" s="19" t="s">
        <v>42</v>
      </c>
      <c r="F52" s="19" t="s">
        <v>42</v>
      </c>
      <c r="H52" s="11" t="s">
        <v>206</v>
      </c>
      <c r="I52" s="19" t="s">
        <v>42</v>
      </c>
      <c r="J52" s="19" t="s">
        <v>42</v>
      </c>
      <c r="K52" s="19" t="s">
        <v>42</v>
      </c>
      <c r="L52" s="19" t="s">
        <v>42</v>
      </c>
      <c r="M52" s="19" t="s">
        <v>42</v>
      </c>
    </row>
    <row r="53" spans="1:13" x14ac:dyDescent="0.2">
      <c r="A53" s="11" t="s">
        <v>207</v>
      </c>
      <c r="B53" s="19" t="s">
        <v>42</v>
      </c>
      <c r="C53" s="19" t="s">
        <v>42</v>
      </c>
      <c r="D53" s="19" t="s">
        <v>42</v>
      </c>
      <c r="E53" s="19">
        <v>4.4000000000000004</v>
      </c>
      <c r="F53" s="19">
        <v>6823.7</v>
      </c>
      <c r="H53" s="11" t="s">
        <v>207</v>
      </c>
      <c r="I53" s="19" t="s">
        <v>42</v>
      </c>
      <c r="J53" s="19" t="s">
        <v>42</v>
      </c>
      <c r="K53" s="19" t="s">
        <v>42</v>
      </c>
      <c r="L53" s="19">
        <v>4.4000000000000004</v>
      </c>
      <c r="M53" s="19">
        <v>6823.7</v>
      </c>
    </row>
    <row r="54" spans="1:13" x14ac:dyDescent="0.2">
      <c r="A54" s="11" t="s">
        <v>208</v>
      </c>
      <c r="B54" s="19">
        <v>6.9</v>
      </c>
      <c r="C54" s="19">
        <v>43.4</v>
      </c>
      <c r="D54" s="19">
        <v>14.7</v>
      </c>
      <c r="E54" s="19">
        <v>6.3</v>
      </c>
      <c r="F54" s="19" t="s">
        <v>42</v>
      </c>
      <c r="H54" s="11" t="s">
        <v>208</v>
      </c>
      <c r="I54" s="19">
        <v>6.9</v>
      </c>
      <c r="J54" s="19">
        <v>43.4</v>
      </c>
      <c r="K54" s="19">
        <v>14.7</v>
      </c>
      <c r="L54" s="19">
        <v>6.3</v>
      </c>
      <c r="M54" s="19" t="s">
        <v>42</v>
      </c>
    </row>
    <row r="55" spans="1:13" x14ac:dyDescent="0.2">
      <c r="A55" s="11" t="s">
        <v>209</v>
      </c>
      <c r="B55" s="19">
        <v>385.3</v>
      </c>
      <c r="C55" s="19">
        <v>557.5</v>
      </c>
      <c r="D55" s="19">
        <v>675</v>
      </c>
      <c r="E55" s="19">
        <v>744.6</v>
      </c>
      <c r="F55" s="19">
        <v>1478.2</v>
      </c>
      <c r="H55" s="11" t="s">
        <v>209</v>
      </c>
      <c r="I55" s="19">
        <v>385.3</v>
      </c>
      <c r="J55" s="19">
        <v>557.5</v>
      </c>
      <c r="K55" s="19">
        <v>675</v>
      </c>
      <c r="L55" s="19">
        <v>744.6</v>
      </c>
      <c r="M55" s="19">
        <v>1478.2</v>
      </c>
    </row>
    <row r="56" spans="1:13" x14ac:dyDescent="0.2">
      <c r="A56" s="9" t="s">
        <v>210</v>
      </c>
      <c r="B56" s="25">
        <v>5479.2</v>
      </c>
      <c r="C56" s="25">
        <v>6596.5</v>
      </c>
      <c r="D56" s="25">
        <v>8421.7999999999993</v>
      </c>
      <c r="E56" s="25">
        <v>8908.6</v>
      </c>
      <c r="F56" s="25">
        <v>22860.1</v>
      </c>
      <c r="H56" s="9" t="s">
        <v>210</v>
      </c>
      <c r="I56" s="25">
        <v>5479.2</v>
      </c>
      <c r="J56" s="25">
        <v>6596.5</v>
      </c>
      <c r="K56" s="25">
        <v>8421.7999999999993</v>
      </c>
      <c r="L56" s="25">
        <v>8908.6</v>
      </c>
      <c r="M56" s="25">
        <v>22860.1</v>
      </c>
    </row>
    <row r="57" spans="1:13" x14ac:dyDescent="0.2">
      <c r="A57" s="11"/>
      <c r="B57" s="11"/>
      <c r="C57" s="11"/>
      <c r="D57" s="11"/>
      <c r="E57" s="11"/>
      <c r="F57" s="11"/>
      <c r="H57" s="11"/>
      <c r="I57" s="11"/>
      <c r="J57" s="11"/>
      <c r="K57" s="11"/>
      <c r="L57" s="11"/>
      <c r="M57" s="11"/>
    </row>
    <row r="58" spans="1:13" x14ac:dyDescent="0.2">
      <c r="A58" s="11" t="s">
        <v>211</v>
      </c>
      <c r="B58" s="19">
        <v>0.7</v>
      </c>
      <c r="C58" s="19">
        <v>1.5</v>
      </c>
      <c r="D58" s="19">
        <v>1.5</v>
      </c>
      <c r="E58" s="19">
        <v>1.4</v>
      </c>
      <c r="F58" s="19">
        <v>1.2</v>
      </c>
      <c r="H58" s="11" t="s">
        <v>211</v>
      </c>
      <c r="I58" s="19">
        <v>0.7</v>
      </c>
      <c r="J58" s="19">
        <v>1.5</v>
      </c>
      <c r="K58" s="19">
        <v>1.5</v>
      </c>
      <c r="L58" s="19">
        <v>1.4</v>
      </c>
      <c r="M58" s="19">
        <v>1.2</v>
      </c>
    </row>
    <row r="59" spans="1:13" x14ac:dyDescent="0.2">
      <c r="A59" s="11" t="s">
        <v>212</v>
      </c>
      <c r="B59" s="19">
        <v>39.4</v>
      </c>
      <c r="C59" s="19">
        <v>41.1</v>
      </c>
      <c r="D59" s="19">
        <v>41.1</v>
      </c>
      <c r="E59" s="19">
        <v>41.1</v>
      </c>
      <c r="F59" s="19">
        <v>41.1</v>
      </c>
      <c r="H59" s="11" t="s">
        <v>212</v>
      </c>
      <c r="I59" s="19">
        <v>39.4</v>
      </c>
      <c r="J59" s="19">
        <v>41.1</v>
      </c>
      <c r="K59" s="19">
        <v>41.1</v>
      </c>
      <c r="L59" s="19">
        <v>41.1</v>
      </c>
      <c r="M59" s="19">
        <v>41.1</v>
      </c>
    </row>
    <row r="60" spans="1:13" x14ac:dyDescent="0.2">
      <c r="A60" s="11" t="s">
        <v>213</v>
      </c>
      <c r="B60" s="19">
        <v>5206.6000000000004</v>
      </c>
      <c r="C60" s="19">
        <v>5974.8</v>
      </c>
      <c r="D60" s="19">
        <v>5949.8</v>
      </c>
      <c r="E60" s="19">
        <v>5563.2</v>
      </c>
      <c r="F60" s="19">
        <v>-2584</v>
      </c>
      <c r="H60" s="11" t="s">
        <v>213</v>
      </c>
      <c r="I60" s="19">
        <v>5206.6000000000004</v>
      </c>
      <c r="J60" s="19">
        <v>5974.8</v>
      </c>
      <c r="K60" s="19">
        <v>5949.8</v>
      </c>
      <c r="L60" s="19">
        <v>5563.2</v>
      </c>
      <c r="M60" s="19">
        <v>-2584</v>
      </c>
    </row>
    <row r="61" spans="1:13" x14ac:dyDescent="0.2">
      <c r="A61" s="11" t="s">
        <v>214</v>
      </c>
      <c r="B61" s="19" t="s">
        <v>42</v>
      </c>
      <c r="C61" s="19" t="s">
        <v>42</v>
      </c>
      <c r="D61" s="19" t="s">
        <v>42</v>
      </c>
      <c r="E61" s="19" t="s">
        <v>42</v>
      </c>
      <c r="F61" s="19" t="s">
        <v>42</v>
      </c>
      <c r="H61" s="11" t="s">
        <v>214</v>
      </c>
      <c r="I61" s="19" t="s">
        <v>42</v>
      </c>
      <c r="J61" s="19" t="s">
        <v>42</v>
      </c>
      <c r="K61" s="19" t="s">
        <v>42</v>
      </c>
      <c r="L61" s="19" t="s">
        <v>42</v>
      </c>
      <c r="M61" s="19" t="s">
        <v>42</v>
      </c>
    </row>
    <row r="62" spans="1:13" x14ac:dyDescent="0.2">
      <c r="A62" s="11" t="s">
        <v>215</v>
      </c>
      <c r="B62" s="19">
        <v>25.3</v>
      </c>
      <c r="C62" s="19">
        <v>-199.4</v>
      </c>
      <c r="D62" s="19">
        <v>-108.4</v>
      </c>
      <c r="E62" s="19">
        <v>-155.6</v>
      </c>
      <c r="F62" s="19">
        <v>-343.2</v>
      </c>
      <c r="H62" s="11" t="s">
        <v>215</v>
      </c>
      <c r="I62" s="19">
        <v>25.3</v>
      </c>
      <c r="J62" s="19">
        <v>-199.4</v>
      </c>
      <c r="K62" s="19">
        <v>-108.4</v>
      </c>
      <c r="L62" s="19">
        <v>-155.6</v>
      </c>
      <c r="M62" s="19">
        <v>-343.2</v>
      </c>
    </row>
    <row r="63" spans="1:13" x14ac:dyDescent="0.2">
      <c r="A63" s="9" t="s">
        <v>216</v>
      </c>
      <c r="B63" s="25">
        <v>5272</v>
      </c>
      <c r="C63" s="25">
        <v>5818</v>
      </c>
      <c r="D63" s="25">
        <v>5884</v>
      </c>
      <c r="E63" s="25">
        <v>5450.1</v>
      </c>
      <c r="F63" s="25">
        <v>-2884.9</v>
      </c>
      <c r="H63" s="9" t="s">
        <v>216</v>
      </c>
      <c r="I63" s="25">
        <v>5272</v>
      </c>
      <c r="J63" s="25">
        <v>5818</v>
      </c>
      <c r="K63" s="25">
        <v>5884</v>
      </c>
      <c r="L63" s="25">
        <v>5450.1</v>
      </c>
      <c r="M63" s="25">
        <v>-2884.9</v>
      </c>
    </row>
    <row r="64" spans="1:13" x14ac:dyDescent="0.2">
      <c r="A64" s="11"/>
      <c r="B64" s="11"/>
      <c r="C64" s="11"/>
      <c r="D64" s="11"/>
      <c r="E64" s="11"/>
      <c r="F64" s="11"/>
      <c r="H64" s="11"/>
      <c r="I64" s="11"/>
      <c r="J64" s="11"/>
      <c r="K64" s="11"/>
      <c r="L64" s="11"/>
      <c r="M64" s="11"/>
    </row>
    <row r="65" spans="1:13" x14ac:dyDescent="0.2">
      <c r="A65" s="11" t="s">
        <v>217</v>
      </c>
      <c r="B65" s="19">
        <v>1.7</v>
      </c>
      <c r="C65" s="19">
        <v>1.8</v>
      </c>
      <c r="D65" s="19">
        <v>6.7</v>
      </c>
      <c r="E65" s="19">
        <v>6.9</v>
      </c>
      <c r="F65" s="19">
        <v>6.1</v>
      </c>
      <c r="H65" s="11" t="s">
        <v>217</v>
      </c>
      <c r="I65" s="19">
        <v>1.7</v>
      </c>
      <c r="J65" s="19">
        <v>1.8</v>
      </c>
      <c r="K65" s="19">
        <v>6.7</v>
      </c>
      <c r="L65" s="19">
        <v>6.9</v>
      </c>
      <c r="M65" s="19">
        <v>6.1</v>
      </c>
    </row>
    <row r="66" spans="1:13" x14ac:dyDescent="0.2">
      <c r="A66" s="11"/>
      <c r="B66" s="11"/>
      <c r="C66" s="11"/>
      <c r="D66" s="11"/>
      <c r="E66" s="11"/>
      <c r="F66" s="11"/>
      <c r="H66" s="11"/>
      <c r="I66" s="11"/>
      <c r="J66" s="11"/>
      <c r="K66" s="11"/>
      <c r="L66" s="11"/>
      <c r="M66" s="11"/>
    </row>
    <row r="67" spans="1:13" x14ac:dyDescent="0.2">
      <c r="A67" s="9" t="s">
        <v>218</v>
      </c>
      <c r="B67" s="32">
        <v>5273.7</v>
      </c>
      <c r="C67" s="32">
        <v>5819.8</v>
      </c>
      <c r="D67" s="32">
        <v>5890.7</v>
      </c>
      <c r="E67" s="32">
        <v>5457</v>
      </c>
      <c r="F67" s="32">
        <v>-2878.8</v>
      </c>
      <c r="H67" s="9" t="s">
        <v>218</v>
      </c>
      <c r="I67" s="32">
        <v>5273.7</v>
      </c>
      <c r="J67" s="32">
        <v>5819.8</v>
      </c>
      <c r="K67" s="32">
        <v>5890.7</v>
      </c>
      <c r="L67" s="32">
        <v>5457</v>
      </c>
      <c r="M67" s="32">
        <v>-2878.8</v>
      </c>
    </row>
    <row r="68" spans="1:13" x14ac:dyDescent="0.2">
      <c r="A68" s="11"/>
      <c r="B68" s="11"/>
      <c r="C68" s="11"/>
      <c r="D68" s="11"/>
      <c r="E68" s="11"/>
      <c r="F68" s="11"/>
      <c r="H68" s="11"/>
      <c r="I68" s="11"/>
      <c r="J68" s="11"/>
      <c r="K68" s="11"/>
      <c r="L68" s="11"/>
      <c r="M68" s="11"/>
    </row>
    <row r="69" spans="1:13" x14ac:dyDescent="0.2">
      <c r="A69" s="9" t="s">
        <v>219</v>
      </c>
      <c r="B69" s="33">
        <v>10752.9</v>
      </c>
      <c r="C69" s="33">
        <v>12416.3</v>
      </c>
      <c r="D69" s="33">
        <v>14312.5</v>
      </c>
      <c r="E69" s="33">
        <v>14365.6</v>
      </c>
      <c r="F69" s="33">
        <v>19981.3</v>
      </c>
      <c r="H69" s="9" t="s">
        <v>219</v>
      </c>
      <c r="I69" s="33">
        <v>10752.9</v>
      </c>
      <c r="J69" s="33">
        <v>12416.3</v>
      </c>
      <c r="K69" s="33">
        <v>14312.5</v>
      </c>
      <c r="L69" s="33">
        <v>14365.6</v>
      </c>
      <c r="M69" s="33">
        <v>19981.3</v>
      </c>
    </row>
    <row r="70" spans="1:13" x14ac:dyDescent="0.2">
      <c r="A70" s="11"/>
      <c r="B70" s="11"/>
      <c r="C70" s="11"/>
      <c r="D70" s="11"/>
      <c r="E70" s="11"/>
      <c r="F70" s="11"/>
    </row>
    <row r="71" spans="1:13" x14ac:dyDescent="0.2">
      <c r="A71" s="9" t="s">
        <v>130</v>
      </c>
      <c r="B71" s="11"/>
      <c r="C71" s="11"/>
      <c r="D71" s="11"/>
      <c r="E71" s="11"/>
      <c r="F71" s="11"/>
    </row>
    <row r="72" spans="1:13" x14ac:dyDescent="0.2">
      <c r="A72" s="11" t="s">
        <v>220</v>
      </c>
      <c r="B72" s="19">
        <v>1496.6</v>
      </c>
      <c r="C72" s="19">
        <v>1484.8</v>
      </c>
      <c r="D72" s="19">
        <v>1455.4</v>
      </c>
      <c r="E72" s="19">
        <v>1431.6</v>
      </c>
      <c r="F72" s="19">
        <v>1243.5999999999999</v>
      </c>
    </row>
    <row r="73" spans="1:13" x14ac:dyDescent="0.2">
      <c r="A73" s="11" t="s">
        <v>221</v>
      </c>
      <c r="B73" s="19">
        <v>1499.1</v>
      </c>
      <c r="C73" s="19">
        <v>1485.1</v>
      </c>
      <c r="D73" s="19">
        <v>1460.5</v>
      </c>
      <c r="E73" s="19">
        <v>1431.6</v>
      </c>
      <c r="F73" s="19">
        <v>1243.3</v>
      </c>
    </row>
    <row r="74" spans="1:13" x14ac:dyDescent="0.2">
      <c r="A74" s="11" t="s">
        <v>222</v>
      </c>
      <c r="B74" s="18">
        <v>3.52</v>
      </c>
      <c r="C74" s="18">
        <v>3.92</v>
      </c>
      <c r="D74" s="18">
        <v>4.03</v>
      </c>
      <c r="E74" s="18">
        <v>3.81</v>
      </c>
      <c r="F74" s="18">
        <v>-2.3199999999999998</v>
      </c>
    </row>
    <row r="75" spans="1:13" x14ac:dyDescent="0.2">
      <c r="A75" s="11" t="s">
        <v>223</v>
      </c>
      <c r="B75" s="19">
        <v>4142.3</v>
      </c>
      <c r="C75" s="19">
        <v>3722.2</v>
      </c>
      <c r="D75" s="19">
        <v>3648.1</v>
      </c>
      <c r="E75" s="19">
        <v>3469.5</v>
      </c>
      <c r="F75" s="19">
        <v>-7426.8</v>
      </c>
    </row>
    <row r="76" spans="1:13" x14ac:dyDescent="0.2">
      <c r="A76" s="11" t="s">
        <v>224</v>
      </c>
      <c r="B76" s="18">
        <v>2.76</v>
      </c>
      <c r="C76" s="18">
        <v>2.5099999999999998</v>
      </c>
      <c r="D76" s="18">
        <v>2.5</v>
      </c>
      <c r="E76" s="18">
        <v>2.42</v>
      </c>
      <c r="F76" s="18">
        <v>-5.97</v>
      </c>
    </row>
    <row r="77" spans="1:13" x14ac:dyDescent="0.2">
      <c r="A77" s="11" t="s">
        <v>225</v>
      </c>
      <c r="B77" s="19">
        <v>2048.3000000000002</v>
      </c>
      <c r="C77" s="19">
        <v>2347.5</v>
      </c>
      <c r="D77" s="19">
        <v>3585.2</v>
      </c>
      <c r="E77" s="19">
        <v>3932.6</v>
      </c>
      <c r="F77" s="19">
        <v>9130.7000000000007</v>
      </c>
    </row>
    <row r="78" spans="1:13" x14ac:dyDescent="0.2">
      <c r="A78" s="11" t="s">
        <v>226</v>
      </c>
      <c r="B78" s="19">
        <v>204.5</v>
      </c>
      <c r="C78" s="19">
        <v>736.1</v>
      </c>
      <c r="D78" s="19">
        <v>1322</v>
      </c>
      <c r="E78" s="19">
        <v>1241.7</v>
      </c>
      <c r="F78" s="19">
        <v>4138.8999999999996</v>
      </c>
    </row>
    <row r="79" spans="1:13" x14ac:dyDescent="0.2">
      <c r="A79" s="11" t="s">
        <v>227</v>
      </c>
      <c r="B79" s="19">
        <v>7687.2</v>
      </c>
      <c r="C79" s="19">
        <v>9007.2000000000007</v>
      </c>
      <c r="D79" s="19">
        <v>9668.7999999999993</v>
      </c>
      <c r="E79" s="19">
        <v>10509.6</v>
      </c>
      <c r="F79" s="19" t="s">
        <v>133</v>
      </c>
    </row>
    <row r="80" spans="1:13" x14ac:dyDescent="0.2">
      <c r="A80" s="11" t="s">
        <v>228</v>
      </c>
      <c r="B80" s="19">
        <v>1.7</v>
      </c>
      <c r="C80" s="19">
        <v>1.8</v>
      </c>
      <c r="D80" s="19">
        <v>6.7</v>
      </c>
      <c r="E80" s="19">
        <v>6.9</v>
      </c>
      <c r="F80" s="19">
        <v>6.1</v>
      </c>
    </row>
    <row r="81" spans="1:6" x14ac:dyDescent="0.2">
      <c r="A81" s="11" t="s">
        <v>229</v>
      </c>
      <c r="B81" s="19">
        <v>469.3</v>
      </c>
      <c r="C81" s="19">
        <v>306.39999999999998</v>
      </c>
      <c r="D81" s="19">
        <v>305.7</v>
      </c>
      <c r="E81" s="19">
        <v>432.8</v>
      </c>
      <c r="F81" s="19">
        <v>336.1</v>
      </c>
    </row>
    <row r="82" spans="1:6" x14ac:dyDescent="0.2">
      <c r="A82" s="11" t="s">
        <v>230</v>
      </c>
      <c r="B82" s="22" t="s">
        <v>231</v>
      </c>
      <c r="C82" s="22" t="s">
        <v>231</v>
      </c>
      <c r="D82" s="22" t="s">
        <v>231</v>
      </c>
      <c r="E82" s="22" t="s">
        <v>231</v>
      </c>
      <c r="F82" s="22" t="s">
        <v>133</v>
      </c>
    </row>
    <row r="83" spans="1:6" x14ac:dyDescent="0.2">
      <c r="A83" s="11" t="s">
        <v>232</v>
      </c>
      <c r="B83" s="19">
        <v>154</v>
      </c>
      <c r="C83" s="19">
        <v>179</v>
      </c>
      <c r="D83" s="19">
        <v>207.9</v>
      </c>
      <c r="E83" s="19">
        <v>220.8</v>
      </c>
      <c r="F83" s="19">
        <v>236</v>
      </c>
    </row>
    <row r="84" spans="1:6" x14ac:dyDescent="0.2">
      <c r="A84" s="11" t="s">
        <v>233</v>
      </c>
      <c r="B84" s="19">
        <v>936.9</v>
      </c>
      <c r="C84" s="19">
        <v>1127.4000000000001</v>
      </c>
      <c r="D84" s="19">
        <v>1170.5999999999999</v>
      </c>
      <c r="E84" s="19">
        <v>1143.2</v>
      </c>
      <c r="F84" s="19">
        <v>1118.5999999999999</v>
      </c>
    </row>
    <row r="85" spans="1:6" x14ac:dyDescent="0.2">
      <c r="A85" s="11" t="s">
        <v>234</v>
      </c>
      <c r="B85" s="19">
        <v>46.7</v>
      </c>
      <c r="C85" s="19">
        <v>46.6</v>
      </c>
      <c r="D85" s="19">
        <v>46.6</v>
      </c>
      <c r="E85" s="19">
        <v>46.9</v>
      </c>
      <c r="F85" s="19">
        <v>46.8</v>
      </c>
    </row>
    <row r="86" spans="1:6" x14ac:dyDescent="0.2">
      <c r="A86" s="11" t="s">
        <v>235</v>
      </c>
      <c r="B86" s="19">
        <v>278.10000000000002</v>
      </c>
      <c r="C86" s="19">
        <v>411.5</v>
      </c>
      <c r="D86" s="19">
        <v>458.4</v>
      </c>
      <c r="E86" s="19">
        <v>481.7</v>
      </c>
      <c r="F86" s="19">
        <v>568</v>
      </c>
    </row>
    <row r="87" spans="1:6" x14ac:dyDescent="0.2">
      <c r="A87" s="11" t="s">
        <v>236</v>
      </c>
      <c r="B87" s="19">
        <v>2982.3</v>
      </c>
      <c r="C87" s="19">
        <v>3531.6</v>
      </c>
      <c r="D87" s="19">
        <v>3904</v>
      </c>
      <c r="E87" s="19">
        <v>4244.6000000000004</v>
      </c>
      <c r="F87" s="19">
        <v>4822.8999999999996</v>
      </c>
    </row>
    <row r="88" spans="1:6" x14ac:dyDescent="0.2">
      <c r="A88" s="11" t="s">
        <v>237</v>
      </c>
      <c r="B88" s="19">
        <v>415.6</v>
      </c>
      <c r="C88" s="19">
        <v>242.5</v>
      </c>
      <c r="D88" s="19">
        <v>271.39999999999998</v>
      </c>
      <c r="E88" s="19">
        <v>409.8</v>
      </c>
      <c r="F88" s="19">
        <v>465.5</v>
      </c>
    </row>
    <row r="89" spans="1:6" x14ac:dyDescent="0.2">
      <c r="A89" s="11" t="s">
        <v>238</v>
      </c>
      <c r="B89" s="19">
        <v>4858.3999999999996</v>
      </c>
      <c r="C89" s="19">
        <v>5409.6</v>
      </c>
      <c r="D89" s="19">
        <v>5892.9</v>
      </c>
      <c r="E89" s="19">
        <v>6401</v>
      </c>
      <c r="F89" s="19">
        <v>7565.7</v>
      </c>
    </row>
    <row r="90" spans="1:6" x14ac:dyDescent="0.2">
      <c r="A90" s="11" t="s">
        <v>239</v>
      </c>
      <c r="B90" s="34">
        <v>191000</v>
      </c>
      <c r="C90" s="34">
        <v>238000</v>
      </c>
      <c r="D90" s="34">
        <v>254000</v>
      </c>
      <c r="E90" s="34">
        <v>277000</v>
      </c>
      <c r="F90" s="34" t="s">
        <v>133</v>
      </c>
    </row>
    <row r="91" spans="1:6" x14ac:dyDescent="0.2">
      <c r="A91" s="11" t="s">
        <v>240</v>
      </c>
      <c r="B91" s="19">
        <v>6.7</v>
      </c>
      <c r="C91" s="19">
        <v>10.8</v>
      </c>
      <c r="D91" s="19">
        <v>9.4</v>
      </c>
      <c r="E91" s="19">
        <v>9.8000000000000007</v>
      </c>
      <c r="F91" s="19" t="s">
        <v>133</v>
      </c>
    </row>
    <row r="92" spans="1:6" x14ac:dyDescent="0.2">
      <c r="A92" s="11" t="s">
        <v>145</v>
      </c>
      <c r="B92" s="29">
        <v>42692</v>
      </c>
      <c r="C92" s="29">
        <v>43056</v>
      </c>
      <c r="D92" s="29">
        <v>43420</v>
      </c>
      <c r="E92" s="29">
        <v>43420</v>
      </c>
      <c r="F92" s="29">
        <v>43494</v>
      </c>
    </row>
    <row r="93" spans="1:6" x14ac:dyDescent="0.2">
      <c r="A93" s="11" t="s">
        <v>146</v>
      </c>
      <c r="B93" s="22" t="s">
        <v>147</v>
      </c>
      <c r="C93" s="22" t="s">
        <v>241</v>
      </c>
      <c r="D93" s="22" t="s">
        <v>241</v>
      </c>
      <c r="E93" s="22" t="s">
        <v>147</v>
      </c>
      <c r="F93" s="22" t="s">
        <v>149</v>
      </c>
    </row>
    <row r="94" spans="1:6" x14ac:dyDescent="0.2">
      <c r="A94" s="11" t="s">
        <v>150</v>
      </c>
      <c r="B94" s="22" t="s">
        <v>242</v>
      </c>
      <c r="C94" s="22" t="s">
        <v>242</v>
      </c>
      <c r="D94" s="22" t="s">
        <v>242</v>
      </c>
      <c r="E94" s="22" t="s">
        <v>151</v>
      </c>
      <c r="F94" s="22" t="s">
        <v>151</v>
      </c>
    </row>
    <row r="95" spans="1:6" x14ac:dyDescent="0.2">
      <c r="A95" s="11"/>
      <c r="B95" s="11"/>
      <c r="C95" s="11"/>
      <c r="D95" s="11"/>
      <c r="E95" s="11"/>
      <c r="F95" s="11"/>
    </row>
    <row r="96" spans="1:6" x14ac:dyDescent="0.2">
      <c r="A96" s="12"/>
      <c r="B96" s="12"/>
      <c r="C96" s="12"/>
      <c r="D96" s="12"/>
      <c r="E96" s="12"/>
      <c r="F96" s="12"/>
    </row>
    <row r="97" spans="1:1" x14ac:dyDescent="0.2">
      <c r="A97" s="30" t="s">
        <v>243</v>
      </c>
    </row>
    <row r="98" spans="1:1" x14ac:dyDescent="0.2">
      <c r="A98" s="23" t="s">
        <v>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pageSetUpPr autoPageBreaks="0"/>
  </sheetPr>
  <dimension ref="A5:IT75"/>
  <sheetViews>
    <sheetView workbookViewId="0"/>
  </sheetViews>
  <sheetFormatPr defaultRowHeight="11.25" x14ac:dyDescent="0.2"/>
  <cols>
    <col min="1" max="1" width="45.85546875" customWidth="1"/>
    <col min="2" max="6" width="14.85546875" customWidth="1"/>
  </cols>
  <sheetData>
    <row r="5" spans="1:254" ht="15.75" x14ac:dyDescent="0.2">
      <c r="A5" s="1" t="s">
        <v>244</v>
      </c>
    </row>
    <row r="7" spans="1:254" x14ac:dyDescent="0.2">
      <c r="A7" s="2" t="s">
        <v>245</v>
      </c>
      <c r="B7" s="3" t="s">
        <v>246</v>
      </c>
      <c r="C7" t="s">
        <v>65</v>
      </c>
      <c r="D7" s="4" t="s">
        <v>4</v>
      </c>
      <c r="E7" s="3" t="s">
        <v>247</v>
      </c>
    </row>
    <row r="8" spans="1:254" x14ac:dyDescent="0.2">
      <c r="A8" s="4"/>
      <c r="B8" s="3" t="s">
        <v>248</v>
      </c>
      <c r="C8" t="s">
        <v>69</v>
      </c>
      <c r="D8" s="4" t="s">
        <v>4</v>
      </c>
      <c r="E8" s="3" t="s">
        <v>249</v>
      </c>
    </row>
    <row r="9" spans="1:254" x14ac:dyDescent="0.2">
      <c r="A9" s="4"/>
      <c r="B9" s="3" t="s">
        <v>250</v>
      </c>
      <c r="C9" t="s">
        <v>72</v>
      </c>
      <c r="D9" s="4" t="s">
        <v>4</v>
      </c>
      <c r="E9" s="3" t="s">
        <v>251</v>
      </c>
    </row>
    <row r="10" spans="1:254" x14ac:dyDescent="0.2">
      <c r="A10" s="4"/>
      <c r="B10" s="3" t="s">
        <v>252</v>
      </c>
      <c r="C10" t="s">
        <v>9</v>
      </c>
      <c r="D10" s="4" t="s">
        <v>4</v>
      </c>
      <c r="E10" s="3" t="s">
        <v>253</v>
      </c>
    </row>
    <row r="13" spans="1:254" x14ac:dyDescent="0.2">
      <c r="A13" s="6" t="s">
        <v>254</v>
      </c>
      <c r="B13" s="6"/>
      <c r="C13" s="6"/>
      <c r="D13" s="6"/>
      <c r="E13" s="6"/>
      <c r="F13" s="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row>
    <row r="14" spans="1:254" ht="33.75" x14ac:dyDescent="0.2">
      <c r="A14" s="7" t="s">
        <v>15</v>
      </c>
      <c r="B14" s="13" t="s">
        <v>77</v>
      </c>
      <c r="C14" s="13" t="s">
        <v>255</v>
      </c>
      <c r="D14" s="13" t="s">
        <v>256</v>
      </c>
      <c r="E14" s="13" t="s">
        <v>257</v>
      </c>
      <c r="F14" s="13" t="s">
        <v>81</v>
      </c>
    </row>
    <row r="15" spans="1:254" x14ac:dyDescent="0.2">
      <c r="A15" s="8" t="s">
        <v>22</v>
      </c>
      <c r="B15" s="14" t="s">
        <v>23</v>
      </c>
      <c r="C15" s="14" t="s">
        <v>23</v>
      </c>
      <c r="D15" s="14" t="s">
        <v>23</v>
      </c>
      <c r="E15" s="14" t="s">
        <v>23</v>
      </c>
      <c r="F15" s="14" t="s">
        <v>23</v>
      </c>
    </row>
    <row r="16" spans="1:254" x14ac:dyDescent="0.2">
      <c r="A16" s="9" t="s">
        <v>82</v>
      </c>
      <c r="B16" s="11"/>
      <c r="C16" s="11"/>
      <c r="D16" s="11"/>
      <c r="E16" s="11"/>
      <c r="F16" s="11"/>
    </row>
    <row r="17" spans="1:6" x14ac:dyDescent="0.2">
      <c r="A17" s="9" t="s">
        <v>31</v>
      </c>
      <c r="B17" s="15">
        <v>2068.1</v>
      </c>
      <c r="C17" s="15">
        <v>2757.4</v>
      </c>
      <c r="D17" s="15">
        <v>2817.7</v>
      </c>
      <c r="E17" s="15">
        <v>2884.7</v>
      </c>
      <c r="F17" s="15">
        <v>3028.7</v>
      </c>
    </row>
    <row r="18" spans="1:6" x14ac:dyDescent="0.2">
      <c r="A18" s="11" t="s">
        <v>90</v>
      </c>
      <c r="B18" s="19">
        <v>739.7</v>
      </c>
      <c r="C18" s="19">
        <v>883.8</v>
      </c>
      <c r="D18" s="19">
        <v>972.8</v>
      </c>
      <c r="E18" s="19">
        <v>1009.6</v>
      </c>
      <c r="F18" s="19">
        <v>1157.3</v>
      </c>
    </row>
    <row r="19" spans="1:6" x14ac:dyDescent="0.2">
      <c r="A19" s="11" t="s">
        <v>258</v>
      </c>
      <c r="B19" s="19">
        <v>8.6999999999999993</v>
      </c>
      <c r="C19" s="19">
        <v>50</v>
      </c>
      <c r="D19" s="19">
        <v>57.3</v>
      </c>
      <c r="E19" s="19">
        <v>57.5</v>
      </c>
      <c r="F19" s="19">
        <v>227</v>
      </c>
    </row>
    <row r="20" spans="1:6" x14ac:dyDescent="0.2">
      <c r="A20" s="9" t="s">
        <v>259</v>
      </c>
      <c r="B20" s="25">
        <v>748.4</v>
      </c>
      <c r="C20" s="25">
        <v>933.8</v>
      </c>
      <c r="D20" s="25">
        <v>1030.0999999999999</v>
      </c>
      <c r="E20" s="25">
        <v>1067.0999999999999</v>
      </c>
      <c r="F20" s="25">
        <v>1384.3</v>
      </c>
    </row>
    <row r="21" spans="1:6" x14ac:dyDescent="0.2">
      <c r="A21" s="11"/>
      <c r="B21" s="11"/>
      <c r="C21" s="11"/>
      <c r="D21" s="11"/>
      <c r="E21" s="11"/>
      <c r="F21" s="11"/>
    </row>
    <row r="22" spans="1:6" x14ac:dyDescent="0.2">
      <c r="A22" s="11" t="s">
        <v>260</v>
      </c>
      <c r="B22" s="19" t="s">
        <v>42</v>
      </c>
      <c r="C22" s="19">
        <v>-3.7</v>
      </c>
      <c r="D22" s="19">
        <v>-6.1</v>
      </c>
      <c r="E22" s="19">
        <v>-93.5</v>
      </c>
      <c r="F22" s="19">
        <v>2</v>
      </c>
    </row>
    <row r="23" spans="1:6" x14ac:dyDescent="0.2">
      <c r="A23" s="11" t="s">
        <v>261</v>
      </c>
      <c r="B23" s="19">
        <v>-70.2</v>
      </c>
      <c r="C23" s="19">
        <v>-390.6</v>
      </c>
      <c r="D23" s="19" t="s">
        <v>42</v>
      </c>
      <c r="E23" s="19" t="s">
        <v>42</v>
      </c>
      <c r="F23" s="19">
        <v>-50.1</v>
      </c>
    </row>
    <row r="24" spans="1:6" x14ac:dyDescent="0.2">
      <c r="A24" s="11" t="s">
        <v>262</v>
      </c>
      <c r="B24" s="19" t="s">
        <v>42</v>
      </c>
      <c r="C24" s="19" t="s">
        <v>42</v>
      </c>
      <c r="D24" s="19" t="s">
        <v>42</v>
      </c>
      <c r="E24" s="19">
        <v>87.2</v>
      </c>
      <c r="F24" s="19">
        <v>37.6</v>
      </c>
    </row>
    <row r="25" spans="1:6" x14ac:dyDescent="0.2">
      <c r="A25" s="11" t="s">
        <v>263</v>
      </c>
      <c r="B25" s="19">
        <v>-43.5</v>
      </c>
      <c r="C25" s="19">
        <v>-42</v>
      </c>
      <c r="D25" s="19">
        <v>-26.9</v>
      </c>
      <c r="E25" s="19">
        <v>-123.6</v>
      </c>
      <c r="F25" s="19">
        <v>-22.4</v>
      </c>
    </row>
    <row r="26" spans="1:6" x14ac:dyDescent="0.2">
      <c r="A26" s="11" t="s">
        <v>264</v>
      </c>
      <c r="B26" s="19">
        <v>183.2</v>
      </c>
      <c r="C26" s="19">
        <v>209.8</v>
      </c>
      <c r="D26" s="19">
        <v>218.1</v>
      </c>
      <c r="E26" s="19">
        <v>176</v>
      </c>
      <c r="F26" s="19">
        <v>286.2</v>
      </c>
    </row>
    <row r="27" spans="1:6" x14ac:dyDescent="0.2">
      <c r="A27" s="11" t="s">
        <v>265</v>
      </c>
      <c r="B27" s="19">
        <v>-114.4</v>
      </c>
      <c r="C27" s="19">
        <v>-132.4</v>
      </c>
      <c r="D27" s="19" t="s">
        <v>42</v>
      </c>
      <c r="E27" s="19" t="s">
        <v>42</v>
      </c>
      <c r="F27" s="19" t="s">
        <v>42</v>
      </c>
    </row>
    <row r="28" spans="1:6" x14ac:dyDescent="0.2">
      <c r="A28" s="11" t="s">
        <v>266</v>
      </c>
      <c r="B28" s="19">
        <v>46</v>
      </c>
      <c r="C28" s="19">
        <v>138</v>
      </c>
      <c r="D28" s="19">
        <v>312</v>
      </c>
      <c r="E28" s="19">
        <v>164.2</v>
      </c>
      <c r="F28" s="19">
        <v>-293.10000000000002</v>
      </c>
    </row>
    <row r="29" spans="1:6" x14ac:dyDescent="0.2">
      <c r="A29" s="11" t="s">
        <v>267</v>
      </c>
      <c r="B29" s="19">
        <v>-79.7</v>
      </c>
      <c r="C29" s="19">
        <v>-82.8</v>
      </c>
      <c r="D29" s="19">
        <v>-55.6</v>
      </c>
      <c r="E29" s="19">
        <v>-96.8</v>
      </c>
      <c r="F29" s="19">
        <v>100.9</v>
      </c>
    </row>
    <row r="30" spans="1:6" x14ac:dyDescent="0.2">
      <c r="A30" s="11" t="s">
        <v>268</v>
      </c>
      <c r="B30" s="19">
        <v>14.3</v>
      </c>
      <c r="C30" s="19">
        <v>-207.9</v>
      </c>
      <c r="D30" s="19">
        <v>-67.5</v>
      </c>
      <c r="E30" s="19">
        <v>14</v>
      </c>
      <c r="F30" s="19">
        <v>-67.599999999999994</v>
      </c>
    </row>
    <row r="31" spans="1:6" x14ac:dyDescent="0.2">
      <c r="A31" s="11" t="s">
        <v>269</v>
      </c>
      <c r="B31" s="19">
        <v>60.4</v>
      </c>
      <c r="C31" s="19">
        <v>137.69999999999999</v>
      </c>
      <c r="D31" s="19">
        <v>46.9</v>
      </c>
      <c r="E31" s="19">
        <v>46.4</v>
      </c>
      <c r="F31" s="19">
        <v>342.2</v>
      </c>
    </row>
    <row r="32" spans="1:6" x14ac:dyDescent="0.2">
      <c r="A32" s="11" t="s">
        <v>270</v>
      </c>
      <c r="B32" s="19">
        <v>140.80000000000001</v>
      </c>
      <c r="C32" s="19">
        <v>170.3</v>
      </c>
      <c r="D32" s="19">
        <v>180.4</v>
      </c>
      <c r="E32" s="19">
        <v>130.80000000000001</v>
      </c>
      <c r="F32" s="19">
        <v>7112.5</v>
      </c>
    </row>
    <row r="33" spans="1:6" x14ac:dyDescent="0.2">
      <c r="A33" s="11" t="s">
        <v>271</v>
      </c>
      <c r="B33" s="19">
        <v>-2345.6</v>
      </c>
      <c r="C33" s="19">
        <v>261.5</v>
      </c>
      <c r="D33" s="19">
        <v>248.8</v>
      </c>
      <c r="E33" s="19">
        <v>-4.7</v>
      </c>
      <c r="F33" s="19">
        <v>621.6</v>
      </c>
    </row>
    <row r="34" spans="1:6" x14ac:dyDescent="0.2">
      <c r="A34" s="9" t="s">
        <v>272</v>
      </c>
      <c r="B34" s="25">
        <v>607.79999999999995</v>
      </c>
      <c r="C34" s="25">
        <v>3749.1</v>
      </c>
      <c r="D34" s="25">
        <v>4697.8999999999996</v>
      </c>
      <c r="E34" s="25">
        <v>4251.8</v>
      </c>
      <c r="F34" s="25">
        <v>12482.8</v>
      </c>
    </row>
    <row r="35" spans="1:6" x14ac:dyDescent="0.2">
      <c r="A35" s="11"/>
      <c r="B35" s="11"/>
      <c r="C35" s="11"/>
      <c r="D35" s="11"/>
      <c r="E35" s="11"/>
      <c r="F35" s="11"/>
    </row>
    <row r="36" spans="1:6" x14ac:dyDescent="0.2">
      <c r="A36" s="11" t="s">
        <v>273</v>
      </c>
      <c r="B36" s="19">
        <v>-1160.9000000000001</v>
      </c>
      <c r="C36" s="19">
        <v>-1303.7</v>
      </c>
      <c r="D36" s="19">
        <v>-1440.3</v>
      </c>
      <c r="E36" s="19">
        <v>-1519.4</v>
      </c>
      <c r="F36" s="19">
        <v>-1978.5</v>
      </c>
    </row>
    <row r="37" spans="1:6" x14ac:dyDescent="0.2">
      <c r="A37" s="11" t="s">
        <v>274</v>
      </c>
      <c r="B37" s="19" t="s">
        <v>42</v>
      </c>
      <c r="C37" s="19">
        <v>-284.3</v>
      </c>
      <c r="D37" s="19" t="s">
        <v>42</v>
      </c>
      <c r="E37" s="19" t="s">
        <v>42</v>
      </c>
      <c r="F37" s="19">
        <v>-1440.8</v>
      </c>
    </row>
    <row r="38" spans="1:6" x14ac:dyDescent="0.2">
      <c r="A38" s="11" t="s">
        <v>275</v>
      </c>
      <c r="B38" s="19" t="s">
        <v>42</v>
      </c>
      <c r="C38" s="19" t="s">
        <v>42</v>
      </c>
      <c r="D38" s="19">
        <v>69.599999999999994</v>
      </c>
      <c r="E38" s="19">
        <v>85.4</v>
      </c>
      <c r="F38" s="19">
        <v>211.1</v>
      </c>
    </row>
    <row r="39" spans="1:6" x14ac:dyDescent="0.2">
      <c r="A39" s="11" t="s">
        <v>276</v>
      </c>
      <c r="B39" s="19">
        <v>362.3</v>
      </c>
      <c r="C39" s="19">
        <v>60.9</v>
      </c>
      <c r="D39" s="19">
        <v>-877.1</v>
      </c>
      <c r="E39" s="19">
        <v>529.70000000000005</v>
      </c>
      <c r="F39" s="19">
        <v>-52.2</v>
      </c>
    </row>
    <row r="40" spans="1:6" x14ac:dyDescent="0.2">
      <c r="A40" s="11" t="s">
        <v>277</v>
      </c>
      <c r="B40" s="19" t="s">
        <v>42</v>
      </c>
      <c r="C40" s="19" t="s">
        <v>42</v>
      </c>
      <c r="D40" s="19" t="s">
        <v>42</v>
      </c>
      <c r="E40" s="19" t="s">
        <v>42</v>
      </c>
      <c r="F40" s="19" t="s">
        <v>42</v>
      </c>
    </row>
    <row r="41" spans="1:6" x14ac:dyDescent="0.2">
      <c r="A41" s="11" t="s">
        <v>278</v>
      </c>
      <c r="B41" s="19">
        <v>-19.100000000000001</v>
      </c>
      <c r="C41" s="19">
        <v>6.8</v>
      </c>
      <c r="D41" s="19">
        <v>24.9</v>
      </c>
      <c r="E41" s="19">
        <v>54.3</v>
      </c>
      <c r="F41" s="19">
        <v>-6.5</v>
      </c>
    </row>
    <row r="42" spans="1:6" x14ac:dyDescent="0.2">
      <c r="A42" s="9" t="s">
        <v>279</v>
      </c>
      <c r="B42" s="25">
        <v>-817.7</v>
      </c>
      <c r="C42" s="25">
        <v>-1520.3</v>
      </c>
      <c r="D42" s="25">
        <v>-2222.9</v>
      </c>
      <c r="E42" s="25">
        <v>-850</v>
      </c>
      <c r="F42" s="25">
        <v>-3266.9</v>
      </c>
    </row>
    <row r="43" spans="1:6" x14ac:dyDescent="0.2">
      <c r="A43" s="11"/>
      <c r="B43" s="11"/>
      <c r="C43" s="11"/>
      <c r="D43" s="11"/>
      <c r="E43" s="11"/>
      <c r="F43" s="11"/>
    </row>
    <row r="44" spans="1:6" x14ac:dyDescent="0.2">
      <c r="A44" s="11" t="s">
        <v>280</v>
      </c>
      <c r="B44" s="19" t="s">
        <v>42</v>
      </c>
      <c r="C44" s="19" t="s">
        <v>42</v>
      </c>
      <c r="D44" s="19" t="s">
        <v>42</v>
      </c>
      <c r="E44" s="19" t="s">
        <v>42</v>
      </c>
      <c r="F44" s="19" t="s">
        <v>42</v>
      </c>
    </row>
    <row r="45" spans="1:6" x14ac:dyDescent="0.2">
      <c r="A45" s="11" t="s">
        <v>281</v>
      </c>
      <c r="B45" s="19">
        <v>748.5</v>
      </c>
      <c r="C45" s="19">
        <v>848.5</v>
      </c>
      <c r="D45" s="19">
        <v>1254.5</v>
      </c>
      <c r="E45" s="19">
        <v>750.2</v>
      </c>
      <c r="F45" s="19" t="s">
        <v>42</v>
      </c>
    </row>
    <row r="46" spans="1:6" x14ac:dyDescent="0.2">
      <c r="A46" s="9" t="s">
        <v>282</v>
      </c>
      <c r="B46" s="25">
        <v>748.5</v>
      </c>
      <c r="C46" s="25">
        <v>848.5</v>
      </c>
      <c r="D46" s="25">
        <v>1254.5</v>
      </c>
      <c r="E46" s="25">
        <v>750.2</v>
      </c>
      <c r="F46" s="25">
        <v>4585.8</v>
      </c>
    </row>
    <row r="47" spans="1:6" x14ac:dyDescent="0.2">
      <c r="A47" s="11" t="s">
        <v>283</v>
      </c>
      <c r="B47" s="19" t="s">
        <v>42</v>
      </c>
      <c r="C47" s="19" t="s">
        <v>42</v>
      </c>
      <c r="D47" s="19" t="s">
        <v>42</v>
      </c>
      <c r="E47" s="19" t="s">
        <v>42</v>
      </c>
      <c r="F47" s="19" t="s">
        <v>42</v>
      </c>
    </row>
    <row r="48" spans="1:6" x14ac:dyDescent="0.2">
      <c r="A48" s="11" t="s">
        <v>284</v>
      </c>
      <c r="B48" s="19" t="s">
        <v>42</v>
      </c>
      <c r="C48" s="19">
        <v>-610.1</v>
      </c>
      <c r="D48" s="19" t="s">
        <v>42</v>
      </c>
      <c r="E48" s="19">
        <v>-400</v>
      </c>
      <c r="F48" s="19" t="s">
        <v>42</v>
      </c>
    </row>
    <row r="49" spans="1:6" x14ac:dyDescent="0.2">
      <c r="A49" s="9" t="s">
        <v>285</v>
      </c>
      <c r="B49" s="25" t="s">
        <v>42</v>
      </c>
      <c r="C49" s="25">
        <v>-610.1</v>
      </c>
      <c r="D49" s="25" t="s">
        <v>42</v>
      </c>
      <c r="E49" s="25">
        <v>-400</v>
      </c>
      <c r="F49" s="25">
        <v>-350</v>
      </c>
    </row>
    <row r="50" spans="1:6" x14ac:dyDescent="0.2">
      <c r="A50" s="11"/>
      <c r="B50" s="11"/>
      <c r="C50" s="11"/>
      <c r="D50" s="11"/>
      <c r="E50" s="11"/>
      <c r="F50" s="11"/>
    </row>
    <row r="51" spans="1:6" x14ac:dyDescent="0.2">
      <c r="A51" s="11" t="s">
        <v>286</v>
      </c>
      <c r="B51" s="19">
        <v>139.69999999999999</v>
      </c>
      <c r="C51" s="19">
        <v>191.8</v>
      </c>
      <c r="D51" s="19">
        <v>160.69999999999999</v>
      </c>
      <c r="E51" s="19">
        <v>150.80000000000001</v>
      </c>
      <c r="F51" s="19">
        <v>208</v>
      </c>
    </row>
    <row r="52" spans="1:6" x14ac:dyDescent="0.2">
      <c r="A52" s="11" t="s">
        <v>287</v>
      </c>
      <c r="B52" s="19">
        <v>-835.9</v>
      </c>
      <c r="C52" s="19">
        <v>-1511.6</v>
      </c>
      <c r="D52" s="19">
        <v>-2101.6</v>
      </c>
      <c r="E52" s="19">
        <v>-2125.3000000000002</v>
      </c>
      <c r="F52" s="19">
        <v>-10709.2</v>
      </c>
    </row>
    <row r="53" spans="1:6" x14ac:dyDescent="0.2">
      <c r="A53" s="11"/>
      <c r="B53" s="11"/>
      <c r="C53" s="11"/>
      <c r="D53" s="11"/>
      <c r="E53" s="11"/>
      <c r="F53" s="11"/>
    </row>
    <row r="54" spans="1:6" x14ac:dyDescent="0.2">
      <c r="A54" s="11" t="s">
        <v>288</v>
      </c>
      <c r="B54" s="19">
        <v>-783.1</v>
      </c>
      <c r="C54" s="19">
        <v>-928.6</v>
      </c>
      <c r="D54" s="19">
        <v>-1178</v>
      </c>
      <c r="E54" s="19">
        <v>-1450.4</v>
      </c>
      <c r="F54" s="19">
        <v>-1762</v>
      </c>
    </row>
    <row r="55" spans="1:6" x14ac:dyDescent="0.2">
      <c r="A55" s="9" t="s">
        <v>289</v>
      </c>
      <c r="B55" s="25">
        <v>-783.1</v>
      </c>
      <c r="C55" s="25">
        <v>-928.6</v>
      </c>
      <c r="D55" s="25">
        <v>-1178</v>
      </c>
      <c r="E55" s="25">
        <v>-1450.4</v>
      </c>
      <c r="F55" s="25">
        <v>-1762</v>
      </c>
    </row>
    <row r="56" spans="1:6" x14ac:dyDescent="0.2">
      <c r="A56" s="11"/>
      <c r="B56" s="11"/>
      <c r="C56" s="11"/>
      <c r="D56" s="11"/>
      <c r="E56" s="11"/>
      <c r="F56" s="11"/>
    </row>
    <row r="57" spans="1:6" x14ac:dyDescent="0.2">
      <c r="A57" s="11" t="s">
        <v>290</v>
      </c>
      <c r="B57" s="19" t="s">
        <v>42</v>
      </c>
      <c r="C57" s="19" t="s">
        <v>42</v>
      </c>
      <c r="D57" s="19" t="s">
        <v>42</v>
      </c>
      <c r="E57" s="19" t="s">
        <v>42</v>
      </c>
      <c r="F57" s="19" t="s">
        <v>42</v>
      </c>
    </row>
    <row r="58" spans="1:6" x14ac:dyDescent="0.2">
      <c r="A58" s="11" t="s">
        <v>291</v>
      </c>
      <c r="B58" s="19">
        <v>107.5</v>
      </c>
      <c r="C58" s="19">
        <v>-246.5</v>
      </c>
      <c r="D58" s="19">
        <v>-8.4</v>
      </c>
      <c r="E58" s="19">
        <v>-4.4000000000000004</v>
      </c>
      <c r="F58" s="19">
        <v>-34.299999999999997</v>
      </c>
    </row>
    <row r="59" spans="1:6" x14ac:dyDescent="0.2">
      <c r="A59" s="9" t="s">
        <v>292</v>
      </c>
      <c r="B59" s="25">
        <v>-623.29999999999995</v>
      </c>
      <c r="C59" s="25">
        <v>-2256.5</v>
      </c>
      <c r="D59" s="25">
        <v>-1872.8</v>
      </c>
      <c r="E59" s="25">
        <v>-3079.1</v>
      </c>
      <c r="F59" s="25">
        <v>-8061.7</v>
      </c>
    </row>
    <row r="60" spans="1:6" x14ac:dyDescent="0.2">
      <c r="A60" s="11"/>
      <c r="B60" s="11"/>
      <c r="C60" s="11"/>
      <c r="D60" s="11"/>
      <c r="E60" s="11"/>
      <c r="F60" s="11"/>
    </row>
    <row r="61" spans="1:6" x14ac:dyDescent="0.2">
      <c r="A61" s="11" t="s">
        <v>293</v>
      </c>
      <c r="B61" s="19">
        <v>-34.1</v>
      </c>
      <c r="C61" s="19">
        <v>-150.6</v>
      </c>
      <c r="D61" s="19">
        <v>-3.5</v>
      </c>
      <c r="E61" s="19">
        <v>10.8</v>
      </c>
      <c r="F61" s="19">
        <v>-54</v>
      </c>
    </row>
    <row r="62" spans="1:6" x14ac:dyDescent="0.2">
      <c r="A62" s="9" t="s">
        <v>294</v>
      </c>
      <c r="B62" s="26">
        <v>-867.3</v>
      </c>
      <c r="C62" s="26">
        <v>-178.3</v>
      </c>
      <c r="D62" s="26">
        <v>598.70000000000005</v>
      </c>
      <c r="E62" s="26">
        <v>333.5</v>
      </c>
      <c r="F62" s="26">
        <v>1100.2</v>
      </c>
    </row>
    <row r="63" spans="1:6" x14ac:dyDescent="0.2">
      <c r="A63" s="11"/>
      <c r="B63" s="11"/>
      <c r="C63" s="11"/>
      <c r="D63" s="11"/>
      <c r="E63" s="11"/>
      <c r="F63" s="11"/>
    </row>
    <row r="64" spans="1:6" x14ac:dyDescent="0.2">
      <c r="A64" s="9" t="s">
        <v>130</v>
      </c>
      <c r="B64" s="11"/>
      <c r="C64" s="11"/>
      <c r="D64" s="11"/>
      <c r="E64" s="11"/>
      <c r="F64" s="11"/>
    </row>
    <row r="65" spans="1:6" x14ac:dyDescent="0.2">
      <c r="A65" s="11" t="s">
        <v>295</v>
      </c>
      <c r="B65" s="19">
        <v>56.2</v>
      </c>
      <c r="C65" s="19">
        <v>69.5</v>
      </c>
      <c r="D65" s="19">
        <v>74.7</v>
      </c>
      <c r="E65" s="19">
        <v>96.6</v>
      </c>
      <c r="F65" s="19">
        <v>171.8</v>
      </c>
    </row>
    <row r="66" spans="1:6" x14ac:dyDescent="0.2">
      <c r="A66" s="11" t="s">
        <v>296</v>
      </c>
      <c r="B66" s="19">
        <v>766.3</v>
      </c>
      <c r="C66" s="19">
        <v>1072.2</v>
      </c>
      <c r="D66" s="19">
        <v>878.7</v>
      </c>
      <c r="E66" s="19">
        <v>1389.1</v>
      </c>
      <c r="F66" s="19">
        <v>329.5</v>
      </c>
    </row>
    <row r="67" spans="1:6" x14ac:dyDescent="0.2">
      <c r="A67" s="11" t="s">
        <v>297</v>
      </c>
      <c r="B67" s="19">
        <v>-949.9</v>
      </c>
      <c r="C67" s="19">
        <v>2464.9749999999999</v>
      </c>
      <c r="D67" s="19">
        <v>2529.35</v>
      </c>
      <c r="E67" s="19">
        <v>2077.3874999999998</v>
      </c>
      <c r="F67" s="19">
        <v>1261.6125</v>
      </c>
    </row>
    <row r="68" spans="1:6" x14ac:dyDescent="0.2">
      <c r="A68" s="11" t="s">
        <v>298</v>
      </c>
      <c r="B68" s="19">
        <v>-909.8</v>
      </c>
      <c r="C68" s="19">
        <v>2509.0374999999999</v>
      </c>
      <c r="D68" s="19">
        <v>2580.1624999999999</v>
      </c>
      <c r="E68" s="19">
        <v>2135.1999999999998</v>
      </c>
      <c r="F68" s="19">
        <v>1401.1125</v>
      </c>
    </row>
    <row r="69" spans="1:6" x14ac:dyDescent="0.2">
      <c r="A69" s="11" t="s">
        <v>299</v>
      </c>
      <c r="B69" s="19">
        <v>2425.9</v>
      </c>
      <c r="C69" s="19">
        <v>-574.70000000000005</v>
      </c>
      <c r="D69" s="19">
        <v>-363.7</v>
      </c>
      <c r="E69" s="19">
        <v>24</v>
      </c>
      <c r="F69" s="19">
        <v>632.70000000000005</v>
      </c>
    </row>
    <row r="70" spans="1:6" x14ac:dyDescent="0.2">
      <c r="A70" s="11" t="s">
        <v>300</v>
      </c>
      <c r="B70" s="19">
        <v>748.5</v>
      </c>
      <c r="C70" s="19">
        <v>238.4</v>
      </c>
      <c r="D70" s="19">
        <v>1254.5</v>
      </c>
      <c r="E70" s="19">
        <v>350.2</v>
      </c>
      <c r="F70" s="19">
        <v>4235.8</v>
      </c>
    </row>
    <row r="71" spans="1:6" x14ac:dyDescent="0.2">
      <c r="A71" s="11" t="s">
        <v>145</v>
      </c>
      <c r="B71" s="29">
        <v>42692</v>
      </c>
      <c r="C71" s="29">
        <v>43056</v>
      </c>
      <c r="D71" s="29">
        <v>43420</v>
      </c>
      <c r="E71" s="29">
        <v>43420</v>
      </c>
      <c r="F71" s="29">
        <v>43494</v>
      </c>
    </row>
    <row r="72" spans="1:6" x14ac:dyDescent="0.2">
      <c r="A72" s="11" t="s">
        <v>146</v>
      </c>
      <c r="B72" s="22" t="s">
        <v>147</v>
      </c>
      <c r="C72" s="22" t="s">
        <v>147</v>
      </c>
      <c r="D72" s="22" t="s">
        <v>241</v>
      </c>
      <c r="E72" s="22" t="s">
        <v>241</v>
      </c>
      <c r="F72" s="22" t="s">
        <v>149</v>
      </c>
    </row>
    <row r="73" spans="1:6" x14ac:dyDescent="0.2">
      <c r="A73" s="11" t="s">
        <v>150</v>
      </c>
      <c r="B73" s="22" t="s">
        <v>151</v>
      </c>
      <c r="C73" s="22" t="s">
        <v>151</v>
      </c>
      <c r="D73" s="22" t="s">
        <v>151</v>
      </c>
      <c r="E73" s="22" t="s">
        <v>151</v>
      </c>
      <c r="F73" s="22" t="s">
        <v>152</v>
      </c>
    </row>
    <row r="74" spans="1:6" x14ac:dyDescent="0.2">
      <c r="A74" s="11"/>
      <c r="B74" s="11"/>
      <c r="C74" s="11"/>
      <c r="D74" s="11"/>
      <c r="E74" s="11"/>
      <c r="F74" s="11"/>
    </row>
    <row r="75" spans="1:6" ht="67.5" x14ac:dyDescent="0.2">
      <c r="A75" s="35" t="s">
        <v>61</v>
      </c>
      <c r="B75" s="12"/>
      <c r="C75" s="12"/>
      <c r="D75" s="12"/>
      <c r="E75" s="12"/>
      <c r="F75"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B0DE1-7F07-422F-A1F7-4609BAC2C824}">
  <dimension ref="A1:L52"/>
  <sheetViews>
    <sheetView workbookViewId="0"/>
  </sheetViews>
  <sheetFormatPr defaultRowHeight="15" x14ac:dyDescent="0.25"/>
  <cols>
    <col min="1" max="1" width="48.5703125" style="173" customWidth="1"/>
    <col min="2" max="6" width="15.140625" style="173" customWidth="1"/>
    <col min="13" max="16384" width="9.140625" style="173"/>
  </cols>
  <sheetData>
    <row r="1" spans="1:12" ht="15.75" x14ac:dyDescent="0.25">
      <c r="A1" s="182" t="s">
        <v>601</v>
      </c>
      <c r="G1" s="173"/>
      <c r="H1" s="173"/>
      <c r="I1" s="173"/>
      <c r="J1" s="173"/>
      <c r="K1" s="173"/>
      <c r="L1" s="173"/>
    </row>
    <row r="2" spans="1:12" x14ac:dyDescent="0.25">
      <c r="A2" s="173" t="s">
        <v>600</v>
      </c>
      <c r="G2" s="173"/>
      <c r="H2" s="173"/>
      <c r="I2" s="173"/>
      <c r="J2" s="173"/>
      <c r="K2" s="173"/>
      <c r="L2" s="173"/>
    </row>
    <row r="3" spans="1:12" ht="15.75" thickBot="1" x14ac:dyDescent="0.3"/>
    <row r="4" spans="1:12" ht="15.75" thickBot="1" x14ac:dyDescent="0.3">
      <c r="A4" s="181" t="s">
        <v>599</v>
      </c>
      <c r="B4" s="180">
        <v>41910.291666666999</v>
      </c>
      <c r="C4" s="180">
        <v>42274.291666666999</v>
      </c>
      <c r="D4" s="180">
        <v>42645.291666666999</v>
      </c>
      <c r="E4" s="180">
        <v>43009.291666666999</v>
      </c>
      <c r="F4" s="180">
        <v>43373.291666666999</v>
      </c>
      <c r="G4" s="173"/>
      <c r="H4" s="173"/>
      <c r="I4" s="173"/>
      <c r="J4" s="173"/>
      <c r="K4" s="173"/>
      <c r="L4" s="173"/>
    </row>
    <row r="5" spans="1:12" x14ac:dyDescent="0.25">
      <c r="A5" s="179" t="s">
        <v>598</v>
      </c>
      <c r="B5" s="178">
        <v>2067700</v>
      </c>
      <c r="C5" s="178">
        <v>2759300</v>
      </c>
      <c r="D5" s="178">
        <v>2818900</v>
      </c>
      <c r="E5" s="178">
        <v>2884900</v>
      </c>
      <c r="F5" s="178">
        <v>4518000</v>
      </c>
      <c r="G5" s="173"/>
      <c r="H5" s="173"/>
      <c r="I5" s="173"/>
      <c r="J5" s="173"/>
      <c r="K5" s="173"/>
      <c r="L5" s="173"/>
    </row>
    <row r="6" spans="1:12" x14ac:dyDescent="0.25">
      <c r="A6" s="179" t="s">
        <v>443</v>
      </c>
      <c r="B6" s="178">
        <v>748400</v>
      </c>
      <c r="C6" s="178">
        <v>933800</v>
      </c>
      <c r="D6" s="178">
        <v>1030100</v>
      </c>
      <c r="E6" s="178">
        <v>1067100</v>
      </c>
      <c r="F6" s="178">
        <v>1305900</v>
      </c>
      <c r="G6" s="173"/>
      <c r="H6" s="173"/>
      <c r="I6" s="173"/>
      <c r="J6" s="173"/>
      <c r="K6" s="173"/>
      <c r="L6" s="173"/>
    </row>
    <row r="7" spans="1:12" x14ac:dyDescent="0.25">
      <c r="A7" s="179" t="s">
        <v>597</v>
      </c>
      <c r="B7" s="178" t="s">
        <v>569</v>
      </c>
      <c r="C7" s="178" t="s">
        <v>569</v>
      </c>
      <c r="D7" s="178" t="s">
        <v>569</v>
      </c>
      <c r="E7" s="178" t="s">
        <v>569</v>
      </c>
      <c r="F7" s="178" t="s">
        <v>569</v>
      </c>
      <c r="G7" s="173"/>
      <c r="H7" s="173"/>
      <c r="I7" s="173"/>
      <c r="J7" s="173"/>
      <c r="K7" s="173"/>
      <c r="L7" s="173"/>
    </row>
    <row r="8" spans="1:12" x14ac:dyDescent="0.25">
      <c r="A8" s="179" t="s">
        <v>596</v>
      </c>
      <c r="B8" s="178">
        <v>10200</v>
      </c>
      <c r="C8" s="178">
        <v>21200</v>
      </c>
      <c r="D8" s="178">
        <v>265700</v>
      </c>
      <c r="E8" s="178">
        <v>95100</v>
      </c>
      <c r="F8" s="178">
        <v>714900</v>
      </c>
      <c r="G8" s="173"/>
      <c r="H8" s="173"/>
      <c r="I8" s="173"/>
      <c r="J8" s="173"/>
      <c r="K8" s="173"/>
      <c r="L8" s="173"/>
    </row>
    <row r="9" spans="1:12" x14ac:dyDescent="0.25">
      <c r="A9" s="179" t="s">
        <v>595</v>
      </c>
      <c r="B9" s="178">
        <v>-182700</v>
      </c>
      <c r="C9" s="178">
        <v>-190200</v>
      </c>
      <c r="D9" s="178">
        <v>-250200</v>
      </c>
      <c r="E9" s="178">
        <v>-310200</v>
      </c>
      <c r="F9" s="178">
        <v>-242800</v>
      </c>
      <c r="G9" s="173"/>
      <c r="H9" s="173"/>
      <c r="I9" s="173"/>
      <c r="J9" s="173"/>
      <c r="K9" s="173"/>
      <c r="L9" s="173"/>
    </row>
    <row r="10" spans="1:12" ht="29.25" x14ac:dyDescent="0.25">
      <c r="A10" s="179" t="s">
        <v>594</v>
      </c>
      <c r="B10" s="178">
        <v>139200</v>
      </c>
      <c r="C10" s="178">
        <v>148200</v>
      </c>
      <c r="D10" s="178">
        <v>223300</v>
      </c>
      <c r="E10" s="178">
        <v>186600</v>
      </c>
      <c r="F10" s="178">
        <v>226800</v>
      </c>
      <c r="G10" s="173"/>
      <c r="H10" s="173"/>
      <c r="I10" s="173"/>
      <c r="J10" s="173"/>
      <c r="K10" s="173"/>
      <c r="L10" s="173"/>
    </row>
    <row r="11" spans="1:12" x14ac:dyDescent="0.25">
      <c r="A11" s="179" t="s">
        <v>593</v>
      </c>
      <c r="B11" s="178" t="s">
        <v>569</v>
      </c>
      <c r="C11" s="178" t="s">
        <v>569</v>
      </c>
      <c r="D11" s="178" t="s">
        <v>569</v>
      </c>
      <c r="E11" s="178" t="s">
        <v>569</v>
      </c>
      <c r="F11" s="178">
        <v>-1376400</v>
      </c>
      <c r="G11" s="173"/>
      <c r="H11" s="173"/>
      <c r="I11" s="173"/>
      <c r="J11" s="173"/>
      <c r="K11" s="173"/>
      <c r="L11" s="173"/>
    </row>
    <row r="12" spans="1:12" ht="29.25" x14ac:dyDescent="0.25">
      <c r="A12" s="179" t="s">
        <v>592</v>
      </c>
      <c r="B12" s="178">
        <v>-70200</v>
      </c>
      <c r="C12" s="178">
        <v>-394300</v>
      </c>
      <c r="D12" s="178">
        <v>-6100</v>
      </c>
      <c r="E12" s="178">
        <v>-93500</v>
      </c>
      <c r="F12" s="178">
        <v>-499200</v>
      </c>
      <c r="G12" s="173"/>
      <c r="H12" s="173"/>
      <c r="I12" s="173"/>
      <c r="J12" s="173"/>
      <c r="K12" s="173"/>
      <c r="L12" s="173"/>
    </row>
    <row r="13" spans="1:12" x14ac:dyDescent="0.25">
      <c r="A13" s="179" t="s">
        <v>591</v>
      </c>
      <c r="B13" s="178" t="s">
        <v>569</v>
      </c>
      <c r="C13" s="178">
        <v>61100</v>
      </c>
      <c r="D13" s="178" t="s">
        <v>569</v>
      </c>
      <c r="E13" s="178" t="s">
        <v>569</v>
      </c>
      <c r="F13" s="178" t="s">
        <v>569</v>
      </c>
      <c r="G13" s="173"/>
      <c r="H13" s="173"/>
      <c r="I13" s="173"/>
      <c r="J13" s="173"/>
      <c r="K13" s="173"/>
      <c r="L13" s="173"/>
    </row>
    <row r="14" spans="1:12" x14ac:dyDescent="0.25">
      <c r="A14" s="179" t="s">
        <v>590</v>
      </c>
      <c r="B14" s="178">
        <v>183200</v>
      </c>
      <c r="C14" s="178">
        <v>209800</v>
      </c>
      <c r="D14" s="178">
        <v>218100</v>
      </c>
      <c r="E14" s="178">
        <v>176000</v>
      </c>
      <c r="F14" s="178">
        <v>250300</v>
      </c>
      <c r="G14" s="173"/>
      <c r="H14" s="173"/>
      <c r="I14" s="173"/>
      <c r="J14" s="173"/>
      <c r="K14" s="173"/>
      <c r="L14" s="173"/>
    </row>
    <row r="15" spans="1:12" x14ac:dyDescent="0.25">
      <c r="A15" s="179" t="s">
        <v>570</v>
      </c>
      <c r="B15" s="178">
        <v>-114400</v>
      </c>
      <c r="C15" s="178">
        <v>-132400</v>
      </c>
      <c r="D15" s="178">
        <v>-122800</v>
      </c>
      <c r="E15" s="178">
        <v>-77500</v>
      </c>
      <c r="F15" s="178" t="s">
        <v>569</v>
      </c>
      <c r="G15" s="173"/>
      <c r="H15" s="173"/>
      <c r="I15" s="173"/>
      <c r="J15" s="173"/>
      <c r="K15" s="173"/>
      <c r="L15" s="173"/>
    </row>
    <row r="16" spans="1:12" x14ac:dyDescent="0.25">
      <c r="A16" s="179" t="s">
        <v>589</v>
      </c>
      <c r="B16" s="178" t="s">
        <v>569</v>
      </c>
      <c r="C16" s="178" t="s">
        <v>569</v>
      </c>
      <c r="D16" s="178" t="s">
        <v>569</v>
      </c>
      <c r="E16" s="178">
        <v>87200</v>
      </c>
      <c r="F16" s="178">
        <v>37600</v>
      </c>
      <c r="G16" s="173"/>
      <c r="H16" s="173"/>
      <c r="I16" s="173"/>
      <c r="J16" s="173"/>
      <c r="K16" s="173"/>
      <c r="L16" s="173"/>
    </row>
    <row r="17" spans="1:12" x14ac:dyDescent="0.25">
      <c r="A17" s="179" t="s">
        <v>445</v>
      </c>
      <c r="B17" s="178">
        <v>36200</v>
      </c>
      <c r="C17" s="178">
        <v>53800</v>
      </c>
      <c r="D17" s="178">
        <v>45100</v>
      </c>
      <c r="E17" s="178">
        <v>68900</v>
      </c>
      <c r="F17" s="178">
        <v>89000</v>
      </c>
      <c r="G17" s="173"/>
      <c r="H17" s="173"/>
      <c r="I17" s="173"/>
      <c r="J17" s="173"/>
      <c r="K17" s="173"/>
      <c r="L17" s="173"/>
    </row>
    <row r="18" spans="1:12" x14ac:dyDescent="0.25">
      <c r="A18" s="179" t="s">
        <v>588</v>
      </c>
      <c r="B18" s="178">
        <v>-79700</v>
      </c>
      <c r="C18" s="178">
        <v>-82800</v>
      </c>
      <c r="D18" s="178">
        <v>-55600</v>
      </c>
      <c r="E18" s="178">
        <v>-96800</v>
      </c>
      <c r="F18" s="178">
        <v>131000</v>
      </c>
      <c r="G18" s="173"/>
      <c r="H18" s="173"/>
      <c r="I18" s="173"/>
      <c r="J18" s="173"/>
      <c r="K18" s="173"/>
      <c r="L18" s="173"/>
    </row>
    <row r="19" spans="1:12" x14ac:dyDescent="0.25">
      <c r="A19" s="179" t="s">
        <v>449</v>
      </c>
      <c r="B19" s="178">
        <v>14300</v>
      </c>
      <c r="C19" s="178">
        <v>-207900</v>
      </c>
      <c r="D19" s="178">
        <v>-67500</v>
      </c>
      <c r="E19" s="178">
        <v>14000</v>
      </c>
      <c r="F19" s="178">
        <v>-41200</v>
      </c>
      <c r="G19" s="173"/>
      <c r="H19" s="173"/>
      <c r="I19" s="173"/>
      <c r="J19" s="173"/>
      <c r="K19" s="173"/>
      <c r="L19" s="173"/>
    </row>
    <row r="20" spans="1:12" x14ac:dyDescent="0.25">
      <c r="A20" s="179" t="s">
        <v>450</v>
      </c>
      <c r="B20" s="178">
        <v>60400</v>
      </c>
      <c r="C20" s="178">
        <v>137700</v>
      </c>
      <c r="D20" s="178">
        <v>46900</v>
      </c>
      <c r="E20" s="178">
        <v>46400</v>
      </c>
      <c r="F20" s="178">
        <v>391600</v>
      </c>
      <c r="G20" s="173"/>
      <c r="H20" s="173"/>
      <c r="I20" s="173"/>
      <c r="J20" s="173"/>
      <c r="K20" s="173"/>
      <c r="L20" s="173"/>
    </row>
    <row r="21" spans="1:12" x14ac:dyDescent="0.25">
      <c r="A21" s="179" t="s">
        <v>587</v>
      </c>
      <c r="B21" s="178">
        <v>-2763900</v>
      </c>
      <c r="C21" s="178" t="s">
        <v>569</v>
      </c>
      <c r="D21" s="178" t="s">
        <v>569</v>
      </c>
      <c r="E21" s="178" t="s">
        <v>569</v>
      </c>
      <c r="F21" s="178" t="s">
        <v>569</v>
      </c>
      <c r="G21" s="173"/>
      <c r="H21" s="173"/>
      <c r="I21" s="173"/>
      <c r="J21" s="173"/>
      <c r="K21" s="173"/>
      <c r="L21" s="173"/>
    </row>
    <row r="22" spans="1:12" x14ac:dyDescent="0.25">
      <c r="A22" s="179" t="s">
        <v>586</v>
      </c>
      <c r="B22" s="178">
        <v>140800</v>
      </c>
      <c r="C22" s="178">
        <v>170300</v>
      </c>
      <c r="D22" s="178">
        <v>180400</v>
      </c>
      <c r="E22" s="178">
        <v>130800</v>
      </c>
      <c r="F22" s="178">
        <v>7109400</v>
      </c>
      <c r="G22" s="173"/>
      <c r="H22" s="173"/>
      <c r="I22" s="173"/>
      <c r="J22" s="173"/>
      <c r="K22" s="173"/>
      <c r="L22" s="173"/>
    </row>
    <row r="23" spans="1:12" ht="15.75" thickBot="1" x14ac:dyDescent="0.3">
      <c r="A23" s="179" t="s">
        <v>585</v>
      </c>
      <c r="B23" s="178">
        <v>418300</v>
      </c>
      <c r="C23" s="178">
        <v>261500</v>
      </c>
      <c r="D23" s="178">
        <v>248800</v>
      </c>
      <c r="E23" s="178">
        <v>-4700</v>
      </c>
      <c r="F23" s="178">
        <v>-677100</v>
      </c>
      <c r="G23" s="173"/>
      <c r="H23" s="173"/>
      <c r="I23" s="173"/>
      <c r="J23" s="173"/>
      <c r="K23" s="173"/>
      <c r="L23" s="173"/>
    </row>
    <row r="24" spans="1:12" ht="30.75" thickBot="1" x14ac:dyDescent="0.3">
      <c r="A24" s="177" t="s">
        <v>584</v>
      </c>
      <c r="B24" s="176">
        <v>-2209800</v>
      </c>
      <c r="C24" s="176">
        <v>278800</v>
      </c>
      <c r="D24" s="176">
        <v>353000</v>
      </c>
      <c r="E24" s="176">
        <v>89700</v>
      </c>
      <c r="F24" s="176">
        <v>6913700</v>
      </c>
      <c r="G24" s="173"/>
      <c r="H24" s="173"/>
      <c r="I24" s="173"/>
      <c r="J24" s="173"/>
      <c r="K24" s="173"/>
      <c r="L24" s="173"/>
    </row>
    <row r="25" spans="1:12" ht="30.75" thickBot="1" x14ac:dyDescent="0.3">
      <c r="A25" s="177" t="s">
        <v>583</v>
      </c>
      <c r="B25" s="176">
        <v>-1459900</v>
      </c>
      <c r="C25" s="176">
        <v>989800</v>
      </c>
      <c r="D25" s="176">
        <v>1756200</v>
      </c>
      <c r="E25" s="176">
        <v>1289400</v>
      </c>
      <c r="F25" s="176">
        <v>7419800</v>
      </c>
      <c r="G25" s="173"/>
      <c r="H25" s="173"/>
      <c r="I25" s="173"/>
      <c r="J25" s="173"/>
      <c r="K25" s="173"/>
      <c r="L25" s="173"/>
    </row>
    <row r="26" spans="1:12" x14ac:dyDescent="0.25">
      <c r="A26" s="177" t="s">
        <v>582</v>
      </c>
      <c r="B26" s="176">
        <v>607800</v>
      </c>
      <c r="C26" s="176">
        <v>3749100</v>
      </c>
      <c r="D26" s="176">
        <v>4575100</v>
      </c>
      <c r="E26" s="176">
        <v>4174300</v>
      </c>
      <c r="F26" s="176">
        <v>11937800</v>
      </c>
      <c r="G26" s="173"/>
      <c r="H26" s="173"/>
      <c r="I26" s="173"/>
      <c r="J26" s="173"/>
      <c r="K26" s="173"/>
      <c r="L26" s="173"/>
    </row>
    <row r="27" spans="1:12" x14ac:dyDescent="0.25">
      <c r="A27" s="179" t="s">
        <v>581</v>
      </c>
      <c r="B27" s="178">
        <v>-1652500</v>
      </c>
      <c r="C27" s="178">
        <v>-567400</v>
      </c>
      <c r="D27" s="178">
        <v>-1585700</v>
      </c>
      <c r="E27" s="178">
        <v>-674400</v>
      </c>
      <c r="F27" s="178">
        <v>-191900</v>
      </c>
      <c r="G27" s="173"/>
      <c r="H27" s="173"/>
      <c r="I27" s="173"/>
      <c r="J27" s="173"/>
      <c r="K27" s="173"/>
      <c r="L27" s="173"/>
    </row>
    <row r="28" spans="1:12" x14ac:dyDescent="0.25">
      <c r="A28" s="179" t="s">
        <v>580</v>
      </c>
      <c r="B28" s="178">
        <v>1454800</v>
      </c>
      <c r="C28" s="178">
        <v>600600</v>
      </c>
      <c r="D28" s="178">
        <v>680700</v>
      </c>
      <c r="E28" s="178">
        <v>1054500</v>
      </c>
      <c r="F28" s="178">
        <v>459000</v>
      </c>
      <c r="G28" s="173"/>
      <c r="H28" s="173"/>
      <c r="I28" s="173"/>
      <c r="J28" s="173"/>
      <c r="K28" s="173"/>
      <c r="L28" s="173"/>
    </row>
    <row r="29" spans="1:12" x14ac:dyDescent="0.25">
      <c r="A29" s="179" t="s">
        <v>579</v>
      </c>
      <c r="B29" s="178">
        <v>456100</v>
      </c>
      <c r="C29" s="178">
        <v>18800</v>
      </c>
      <c r="D29" s="178">
        <v>27900</v>
      </c>
      <c r="E29" s="178">
        <v>149600</v>
      </c>
      <c r="F29" s="178">
        <v>45300</v>
      </c>
      <c r="G29" s="173"/>
      <c r="H29" s="173"/>
      <c r="I29" s="173"/>
      <c r="J29" s="173"/>
      <c r="K29" s="173"/>
      <c r="L29" s="173"/>
    </row>
    <row r="30" spans="1:12" x14ac:dyDescent="0.25">
      <c r="A30" s="179" t="s">
        <v>578</v>
      </c>
      <c r="B30" s="178" t="s">
        <v>569</v>
      </c>
      <c r="C30" s="178">
        <v>-284300</v>
      </c>
      <c r="D30" s="178" t="s">
        <v>569</v>
      </c>
      <c r="E30" s="178" t="s">
        <v>569</v>
      </c>
      <c r="F30" s="178">
        <v>-1311300</v>
      </c>
      <c r="G30" s="173"/>
      <c r="H30" s="173"/>
      <c r="I30" s="173"/>
      <c r="J30" s="173"/>
      <c r="K30" s="173"/>
      <c r="L30" s="173"/>
    </row>
    <row r="31" spans="1:12" x14ac:dyDescent="0.25">
      <c r="A31" s="179" t="s">
        <v>577</v>
      </c>
      <c r="B31" s="178">
        <v>-1160900</v>
      </c>
      <c r="C31" s="178">
        <v>-1303700</v>
      </c>
      <c r="D31" s="178">
        <v>-1440300</v>
      </c>
      <c r="E31" s="178">
        <v>-1519400</v>
      </c>
      <c r="F31" s="178">
        <v>-1976400</v>
      </c>
      <c r="G31" s="173"/>
      <c r="H31" s="173"/>
      <c r="I31" s="173"/>
      <c r="J31" s="173"/>
      <c r="K31" s="173"/>
      <c r="L31" s="173"/>
    </row>
    <row r="32" spans="1:12" ht="29.25" x14ac:dyDescent="0.25">
      <c r="A32" s="179" t="s">
        <v>576</v>
      </c>
      <c r="B32" s="178">
        <v>103900</v>
      </c>
      <c r="C32" s="178">
        <v>8900</v>
      </c>
      <c r="D32" s="178">
        <v>69600</v>
      </c>
      <c r="E32" s="178">
        <v>85400</v>
      </c>
      <c r="F32" s="178">
        <v>608200</v>
      </c>
      <c r="G32" s="173"/>
      <c r="H32" s="173"/>
      <c r="I32" s="173"/>
      <c r="J32" s="173"/>
      <c r="K32" s="173"/>
      <c r="L32" s="173"/>
    </row>
    <row r="33" spans="1:12" ht="15.75" thickBot="1" x14ac:dyDescent="0.3">
      <c r="A33" s="179" t="s">
        <v>445</v>
      </c>
      <c r="B33" s="178">
        <v>-19100</v>
      </c>
      <c r="C33" s="178">
        <v>6800</v>
      </c>
      <c r="D33" s="178">
        <v>24900</v>
      </c>
      <c r="E33" s="178">
        <v>54300</v>
      </c>
      <c r="F33" s="178">
        <v>5600</v>
      </c>
      <c r="G33" s="173"/>
      <c r="H33" s="173"/>
      <c r="I33" s="173"/>
      <c r="J33" s="173"/>
      <c r="K33" s="173"/>
      <c r="L33" s="173"/>
    </row>
    <row r="34" spans="1:12" x14ac:dyDescent="0.25">
      <c r="A34" s="177" t="s">
        <v>575</v>
      </c>
      <c r="B34" s="176">
        <v>-817700</v>
      </c>
      <c r="C34" s="176">
        <v>-1520300</v>
      </c>
      <c r="D34" s="176">
        <v>-2222900</v>
      </c>
      <c r="E34" s="176">
        <v>-850000</v>
      </c>
      <c r="F34" s="176">
        <v>-2361500</v>
      </c>
      <c r="G34" s="173"/>
      <c r="H34" s="173"/>
      <c r="I34" s="173"/>
      <c r="J34" s="173"/>
      <c r="K34" s="173"/>
      <c r="L34" s="173"/>
    </row>
    <row r="35" spans="1:12" x14ac:dyDescent="0.25">
      <c r="A35" s="179" t="s">
        <v>574</v>
      </c>
      <c r="B35" s="178">
        <v>748500</v>
      </c>
      <c r="C35" s="178">
        <v>848500</v>
      </c>
      <c r="D35" s="178">
        <v>1254500</v>
      </c>
      <c r="E35" s="178">
        <v>750200</v>
      </c>
      <c r="F35" s="178">
        <v>5584100</v>
      </c>
      <c r="G35" s="173"/>
      <c r="H35" s="173"/>
      <c r="I35" s="173"/>
      <c r="J35" s="173"/>
      <c r="K35" s="173"/>
      <c r="L35" s="173"/>
    </row>
    <row r="36" spans="1:12" x14ac:dyDescent="0.25">
      <c r="A36" s="179" t="s">
        <v>573</v>
      </c>
      <c r="B36" s="178" t="s">
        <v>569</v>
      </c>
      <c r="C36" s="178">
        <v>-610100</v>
      </c>
      <c r="D36" s="178" t="s">
        <v>569</v>
      </c>
      <c r="E36" s="178">
        <v>-400000</v>
      </c>
      <c r="F36" s="178" t="s">
        <v>569</v>
      </c>
      <c r="G36" s="173"/>
      <c r="H36" s="173"/>
      <c r="I36" s="173"/>
      <c r="J36" s="173"/>
      <c r="K36" s="173"/>
      <c r="L36" s="173"/>
    </row>
    <row r="37" spans="1:12" x14ac:dyDescent="0.25">
      <c r="A37" s="179" t="s">
        <v>572</v>
      </c>
      <c r="B37" s="178" t="s">
        <v>569</v>
      </c>
      <c r="C37" s="178">
        <v>-360800</v>
      </c>
      <c r="D37" s="178" t="s">
        <v>569</v>
      </c>
      <c r="E37" s="178" t="s">
        <v>569</v>
      </c>
      <c r="F37" s="178" t="s">
        <v>569</v>
      </c>
      <c r="G37" s="173"/>
      <c r="H37" s="173"/>
      <c r="I37" s="173"/>
      <c r="J37" s="173"/>
      <c r="K37" s="173"/>
      <c r="L37" s="173"/>
    </row>
    <row r="38" spans="1:12" x14ac:dyDescent="0.25">
      <c r="A38" s="179" t="s">
        <v>571</v>
      </c>
      <c r="B38" s="178">
        <v>139700</v>
      </c>
      <c r="C38" s="178">
        <v>191800</v>
      </c>
      <c r="D38" s="178">
        <v>160700</v>
      </c>
      <c r="E38" s="178">
        <v>150800</v>
      </c>
      <c r="F38" s="178">
        <v>153900</v>
      </c>
      <c r="G38" s="173"/>
      <c r="H38" s="173"/>
      <c r="I38" s="173"/>
      <c r="J38" s="173"/>
      <c r="K38" s="173"/>
      <c r="L38" s="173"/>
    </row>
    <row r="39" spans="1:12" x14ac:dyDescent="0.25">
      <c r="A39" s="179" t="s">
        <v>570</v>
      </c>
      <c r="B39" s="178">
        <v>114400</v>
      </c>
      <c r="C39" s="178">
        <v>132400</v>
      </c>
      <c r="D39" s="178">
        <v>122800</v>
      </c>
      <c r="E39" s="178">
        <v>77500</v>
      </c>
      <c r="F39" s="178" t="s">
        <v>569</v>
      </c>
      <c r="G39" s="173"/>
      <c r="H39" s="173"/>
      <c r="I39" s="173"/>
      <c r="J39" s="173"/>
      <c r="K39" s="173"/>
      <c r="L39" s="173"/>
    </row>
    <row r="40" spans="1:12" x14ac:dyDescent="0.25">
      <c r="A40" s="179" t="s">
        <v>568</v>
      </c>
      <c r="B40" s="178">
        <v>-783100</v>
      </c>
      <c r="C40" s="178">
        <v>-928600</v>
      </c>
      <c r="D40" s="178">
        <v>-1178000</v>
      </c>
      <c r="E40" s="178">
        <v>-1450400</v>
      </c>
      <c r="F40" s="178">
        <v>-1743400</v>
      </c>
      <c r="G40" s="173"/>
      <c r="H40" s="173"/>
      <c r="I40" s="173"/>
      <c r="J40" s="173"/>
      <c r="K40" s="173"/>
      <c r="L40" s="173"/>
    </row>
    <row r="41" spans="1:12" x14ac:dyDescent="0.25">
      <c r="A41" s="179" t="s">
        <v>567</v>
      </c>
      <c r="B41" s="178">
        <v>-758600</v>
      </c>
      <c r="C41" s="178">
        <v>-1436100</v>
      </c>
      <c r="D41" s="178">
        <v>-1995600</v>
      </c>
      <c r="E41" s="178">
        <v>-2042500</v>
      </c>
      <c r="F41" s="178">
        <v>-7133500</v>
      </c>
      <c r="G41" s="173"/>
      <c r="H41" s="173"/>
      <c r="I41" s="173"/>
      <c r="J41" s="173"/>
      <c r="K41" s="173"/>
      <c r="L41" s="173"/>
    </row>
    <row r="42" spans="1:12" x14ac:dyDescent="0.25">
      <c r="A42" s="179" t="s">
        <v>566</v>
      </c>
      <c r="B42" s="178">
        <v>-77300</v>
      </c>
      <c r="C42" s="178">
        <v>-75500</v>
      </c>
      <c r="D42" s="178">
        <v>-106000</v>
      </c>
      <c r="E42" s="178">
        <v>-82800</v>
      </c>
      <c r="F42" s="178">
        <v>-62700</v>
      </c>
      <c r="G42" s="173"/>
      <c r="H42" s="173"/>
      <c r="I42" s="173"/>
      <c r="J42" s="173"/>
      <c r="K42" s="173"/>
      <c r="L42" s="173"/>
    </row>
    <row r="43" spans="1:12" ht="15.75" thickBot="1" x14ac:dyDescent="0.3">
      <c r="A43" s="179" t="s">
        <v>445</v>
      </c>
      <c r="B43" s="178">
        <v>-6900</v>
      </c>
      <c r="C43" s="178">
        <v>-18100</v>
      </c>
      <c r="D43" s="178">
        <v>-8400</v>
      </c>
      <c r="E43" s="178">
        <v>-4400</v>
      </c>
      <c r="F43" s="178">
        <v>-41200</v>
      </c>
      <c r="G43" s="173"/>
      <c r="H43" s="173"/>
      <c r="I43" s="173"/>
      <c r="J43" s="173"/>
      <c r="K43" s="173"/>
      <c r="L43" s="173"/>
    </row>
    <row r="44" spans="1:12" x14ac:dyDescent="0.25">
      <c r="A44" s="177" t="s">
        <v>565</v>
      </c>
      <c r="B44" s="176">
        <v>-623300</v>
      </c>
      <c r="C44" s="176">
        <v>-2256500</v>
      </c>
      <c r="D44" s="176">
        <v>-1750000</v>
      </c>
      <c r="E44" s="176">
        <v>-3001600</v>
      </c>
      <c r="F44" s="176">
        <v>-3242800</v>
      </c>
      <c r="G44" s="173"/>
      <c r="H44" s="173"/>
      <c r="I44" s="173"/>
      <c r="J44" s="173"/>
      <c r="K44" s="173"/>
      <c r="L44" s="173"/>
    </row>
    <row r="45" spans="1:12" ht="30" thickBot="1" x14ac:dyDescent="0.3">
      <c r="A45" s="179" t="s">
        <v>564</v>
      </c>
      <c r="B45" s="178">
        <v>-34100</v>
      </c>
      <c r="C45" s="178">
        <v>-150600</v>
      </c>
      <c r="D45" s="178">
        <v>-3500</v>
      </c>
      <c r="E45" s="178">
        <v>10800</v>
      </c>
      <c r="F45" s="178">
        <v>-39500</v>
      </c>
      <c r="G45" s="173"/>
      <c r="H45" s="173"/>
      <c r="I45" s="173"/>
      <c r="J45" s="173"/>
      <c r="K45" s="173"/>
      <c r="L45" s="173"/>
    </row>
    <row r="46" spans="1:12" ht="30" x14ac:dyDescent="0.25">
      <c r="A46" s="177" t="s">
        <v>563</v>
      </c>
      <c r="B46" s="176">
        <v>-867300</v>
      </c>
      <c r="C46" s="176">
        <v>-178300</v>
      </c>
      <c r="D46" s="176">
        <v>598700</v>
      </c>
      <c r="E46" s="176">
        <v>333500</v>
      </c>
      <c r="F46" s="176">
        <v>6294000</v>
      </c>
      <c r="G46" s="173"/>
      <c r="H46" s="173"/>
      <c r="I46" s="173"/>
      <c r="J46" s="173"/>
      <c r="K46" s="173"/>
      <c r="L46" s="173"/>
    </row>
    <row r="47" spans="1:12" ht="15.75" thickBot="1" x14ac:dyDescent="0.3">
      <c r="A47" s="179" t="s">
        <v>562</v>
      </c>
      <c r="B47" s="178">
        <v>2575700</v>
      </c>
      <c r="C47" s="178">
        <v>1708400</v>
      </c>
      <c r="D47" s="178">
        <v>1530100</v>
      </c>
      <c r="E47" s="178">
        <v>2128800</v>
      </c>
      <c r="F47" s="178">
        <v>2462300</v>
      </c>
      <c r="G47" s="173"/>
      <c r="H47" s="173"/>
      <c r="I47" s="173"/>
      <c r="J47" s="173"/>
      <c r="K47" s="173"/>
      <c r="L47" s="173"/>
    </row>
    <row r="48" spans="1:12" ht="15.75" thickBot="1" x14ac:dyDescent="0.3">
      <c r="A48" s="177" t="s">
        <v>561</v>
      </c>
      <c r="B48" s="176">
        <v>1708400</v>
      </c>
      <c r="C48" s="176">
        <v>1530100</v>
      </c>
      <c r="D48" s="176">
        <v>2128800</v>
      </c>
      <c r="E48" s="176">
        <v>2462300</v>
      </c>
      <c r="F48" s="176">
        <v>8756300</v>
      </c>
      <c r="G48" s="173"/>
      <c r="H48" s="173"/>
      <c r="I48" s="173"/>
      <c r="J48" s="173"/>
      <c r="K48" s="173"/>
      <c r="L48" s="173"/>
    </row>
    <row r="49" spans="1:12" x14ac:dyDescent="0.25">
      <c r="A49" s="175" t="s">
        <v>560</v>
      </c>
      <c r="B49" s="175"/>
      <c r="C49" s="175"/>
      <c r="D49" s="175"/>
      <c r="E49" s="175"/>
      <c r="F49" s="175"/>
      <c r="G49" s="173"/>
      <c r="H49" s="173"/>
      <c r="I49" s="173"/>
      <c r="J49" s="173"/>
      <c r="K49" s="173"/>
      <c r="L49" s="173"/>
    </row>
    <row r="51" spans="1:12" x14ac:dyDescent="0.25">
      <c r="A51" s="174" t="s">
        <v>559</v>
      </c>
      <c r="G51" s="173"/>
      <c r="H51" s="173"/>
      <c r="I51" s="173"/>
      <c r="J51" s="173"/>
      <c r="K51" s="173"/>
      <c r="L51" s="173"/>
    </row>
    <row r="52" spans="1:12" x14ac:dyDescent="0.25">
      <c r="A52" s="174" t="s">
        <v>558</v>
      </c>
      <c r="G52" s="173"/>
      <c r="H52" s="173"/>
      <c r="I52" s="173"/>
      <c r="J52" s="173"/>
      <c r="K52" s="173"/>
      <c r="L52" s="173"/>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pageSetUpPr autoPageBreaks="0"/>
  </sheetPr>
  <dimension ref="A5:IT160"/>
  <sheetViews>
    <sheetView workbookViewId="0"/>
  </sheetViews>
  <sheetFormatPr defaultRowHeight="11.25" x14ac:dyDescent="0.2"/>
  <cols>
    <col min="1" max="1" width="45.85546875" customWidth="1"/>
    <col min="2" max="6" width="14.85546875" customWidth="1"/>
  </cols>
  <sheetData>
    <row r="5" spans="1:254" ht="15.75" x14ac:dyDescent="0.2">
      <c r="A5" s="1" t="s">
        <v>301</v>
      </c>
    </row>
    <row r="7" spans="1:254" x14ac:dyDescent="0.2">
      <c r="A7" s="4"/>
      <c r="B7" s="3" t="s">
        <v>302</v>
      </c>
      <c r="C7" t="s">
        <v>67</v>
      </c>
      <c r="D7" s="4" t="s">
        <v>4</v>
      </c>
      <c r="E7" s="3" t="s">
        <v>303</v>
      </c>
    </row>
    <row r="8" spans="1:254" x14ac:dyDescent="0.2">
      <c r="A8" s="4"/>
      <c r="B8" s="3" t="s">
        <v>304</v>
      </c>
      <c r="C8" t="s">
        <v>7</v>
      </c>
      <c r="D8" s="4" t="s">
        <v>4</v>
      </c>
      <c r="E8" s="3" t="s">
        <v>305</v>
      </c>
    </row>
    <row r="11" spans="1:254" x14ac:dyDescent="0.2">
      <c r="A11" s="6" t="s">
        <v>306</v>
      </c>
      <c r="B11" s="6"/>
      <c r="C11" s="6"/>
      <c r="D11" s="6"/>
      <c r="E11" s="6"/>
      <c r="F11" s="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row>
    <row r="12" spans="1:254" ht="33.75" x14ac:dyDescent="0.2">
      <c r="A12" s="7" t="s">
        <v>15</v>
      </c>
      <c r="B12" s="13" t="s">
        <v>77</v>
      </c>
      <c r="C12" s="13" t="s">
        <v>255</v>
      </c>
      <c r="D12" s="13" t="s">
        <v>307</v>
      </c>
      <c r="E12" s="13" t="s">
        <v>308</v>
      </c>
      <c r="F12" s="13" t="s">
        <v>81</v>
      </c>
    </row>
    <row r="13" spans="1:254" x14ac:dyDescent="0.2">
      <c r="A13" s="9" t="s">
        <v>309</v>
      </c>
      <c r="B13" s="11"/>
      <c r="C13" s="11"/>
      <c r="D13" s="11"/>
      <c r="E13" s="11"/>
      <c r="F13" s="11"/>
    </row>
    <row r="14" spans="1:254" x14ac:dyDescent="0.2">
      <c r="A14" s="11" t="s">
        <v>310</v>
      </c>
      <c r="B14" s="28">
        <v>0.156749</v>
      </c>
      <c r="C14" s="28">
        <v>0.18079400000000001</v>
      </c>
      <c r="D14" s="28">
        <v>0.18022199999999999</v>
      </c>
      <c r="E14" s="28">
        <v>0.16985</v>
      </c>
      <c r="F14" s="28">
        <v>0.121653</v>
      </c>
    </row>
    <row r="15" spans="1:254" x14ac:dyDescent="0.2">
      <c r="A15" s="11" t="s">
        <v>311</v>
      </c>
      <c r="B15" s="28">
        <v>0.26639400000000002</v>
      </c>
      <c r="C15" s="28">
        <v>0.27043600000000001</v>
      </c>
      <c r="D15" s="28">
        <v>0.27302999999999999</v>
      </c>
      <c r="E15" s="28">
        <v>0.25819599999999998</v>
      </c>
      <c r="F15" s="28">
        <v>0.27669199999999999</v>
      </c>
    </row>
    <row r="16" spans="1:254" x14ac:dyDescent="0.2">
      <c r="A16" s="11" t="s">
        <v>312</v>
      </c>
      <c r="B16" s="28">
        <v>0.42388199999999998</v>
      </c>
      <c r="C16" s="28">
        <v>0.49746200000000002</v>
      </c>
      <c r="D16" s="28">
        <v>0.481431</v>
      </c>
      <c r="E16" s="28">
        <v>0.50845499999999999</v>
      </c>
      <c r="F16" s="28">
        <v>2.102913</v>
      </c>
    </row>
    <row r="17" spans="1:6" x14ac:dyDescent="0.2">
      <c r="A17" s="11" t="s">
        <v>313</v>
      </c>
      <c r="B17" s="28">
        <v>0.42412899999999998</v>
      </c>
      <c r="C17" s="28">
        <v>0.497276</v>
      </c>
      <c r="D17" s="28">
        <v>0.48157499999999998</v>
      </c>
      <c r="E17" s="28">
        <v>0.50902999999999998</v>
      </c>
      <c r="F17" s="28">
        <v>2.1126529999999999</v>
      </c>
    </row>
    <row r="18" spans="1:6" x14ac:dyDescent="0.2">
      <c r="A18" s="11"/>
      <c r="B18" s="11"/>
      <c r="C18" s="11"/>
      <c r="D18" s="11"/>
      <c r="E18" s="11"/>
      <c r="F18" s="11"/>
    </row>
    <row r="19" spans="1:6" x14ac:dyDescent="0.2">
      <c r="A19" s="9" t="s">
        <v>314</v>
      </c>
      <c r="B19" s="11"/>
      <c r="C19" s="11"/>
      <c r="D19" s="11"/>
      <c r="E19" s="11"/>
      <c r="F19" s="11"/>
    </row>
    <row r="20" spans="1:6" x14ac:dyDescent="0.2">
      <c r="A20" s="11" t="s">
        <v>315</v>
      </c>
      <c r="B20" s="28">
        <v>0.30099999999999999</v>
      </c>
      <c r="C20" s="28">
        <v>0.31123400000000001</v>
      </c>
      <c r="D20" s="28">
        <v>0.31631700000000001</v>
      </c>
      <c r="E20" s="28">
        <v>0.306394</v>
      </c>
      <c r="F20" s="28">
        <v>0.29265099999999999</v>
      </c>
    </row>
    <row r="21" spans="1:6" x14ac:dyDescent="0.2">
      <c r="A21" s="11" t="s">
        <v>316</v>
      </c>
      <c r="B21" s="28">
        <v>6.7358000000000001E-2</v>
      </c>
      <c r="C21" s="28">
        <v>6.2448999999999998E-2</v>
      </c>
      <c r="D21" s="28">
        <v>6.6096000000000002E-2</v>
      </c>
      <c r="E21" s="28">
        <v>6.4800999999999997E-2</v>
      </c>
      <c r="F21" s="28">
        <v>7.2247000000000006E-2</v>
      </c>
    </row>
    <row r="22" spans="1:6" x14ac:dyDescent="0.2">
      <c r="A22" s="11" t="s">
        <v>317</v>
      </c>
      <c r="B22" s="28">
        <v>0.21528700000000001</v>
      </c>
      <c r="C22" s="28">
        <v>0.223606</v>
      </c>
      <c r="D22" s="28">
        <v>0.22911500000000001</v>
      </c>
      <c r="E22" s="28">
        <v>0.22173300000000001</v>
      </c>
      <c r="F22" s="28">
        <v>0.202986</v>
      </c>
    </row>
    <row r="23" spans="1:6" x14ac:dyDescent="0.2">
      <c r="A23" s="11" t="s">
        <v>318</v>
      </c>
      <c r="B23" s="28">
        <v>0.17031399999999999</v>
      </c>
      <c r="C23" s="28">
        <v>0.177485</v>
      </c>
      <c r="D23" s="28">
        <v>0.183478</v>
      </c>
      <c r="E23" s="28">
        <v>0.17663499999999999</v>
      </c>
      <c r="F23" s="28">
        <v>0.15720400000000001</v>
      </c>
    </row>
    <row r="24" spans="1:6" x14ac:dyDescent="0.2">
      <c r="A24" s="11" t="s">
        <v>319</v>
      </c>
      <c r="B24" s="28">
        <v>0.16978499999999999</v>
      </c>
      <c r="C24" s="28">
        <v>0.174876</v>
      </c>
      <c r="D24" s="28">
        <v>0.18078900000000001</v>
      </c>
      <c r="E24" s="28">
        <v>0.174066</v>
      </c>
      <c r="F24" s="28">
        <v>0.14822399999999999</v>
      </c>
    </row>
    <row r="25" spans="1:6" x14ac:dyDescent="0.2">
      <c r="A25" s="11" t="s">
        <v>320</v>
      </c>
      <c r="B25" s="28">
        <v>0.12571199999999999</v>
      </c>
      <c r="C25" s="28">
        <v>0.14399300000000001</v>
      </c>
      <c r="D25" s="28">
        <v>0.132244</v>
      </c>
      <c r="E25" s="28">
        <v>0.12886600000000001</v>
      </c>
      <c r="F25" s="28">
        <v>0.119797</v>
      </c>
    </row>
    <row r="26" spans="1:6" x14ac:dyDescent="0.2">
      <c r="A26" s="11" t="s">
        <v>321</v>
      </c>
      <c r="B26" s="28">
        <v>0.12573699999999999</v>
      </c>
      <c r="C26" s="28">
        <v>0.14389399999999999</v>
      </c>
      <c r="D26" s="28">
        <v>0.132187</v>
      </c>
      <c r="E26" s="28">
        <v>0.128857</v>
      </c>
      <c r="F26" s="28">
        <v>0.119813</v>
      </c>
    </row>
    <row r="27" spans="1:6" x14ac:dyDescent="0.2">
      <c r="A27" s="11" t="s">
        <v>322</v>
      </c>
      <c r="B27" s="28">
        <v>0.12573699999999999</v>
      </c>
      <c r="C27" s="28">
        <v>0.14389399999999999</v>
      </c>
      <c r="D27" s="28">
        <v>0.132187</v>
      </c>
      <c r="E27" s="28">
        <v>0.128857</v>
      </c>
      <c r="F27" s="28">
        <v>0.119813</v>
      </c>
    </row>
    <row r="28" spans="1:6" x14ac:dyDescent="0.2">
      <c r="A28" s="11" t="s">
        <v>323</v>
      </c>
      <c r="B28" s="28">
        <v>0.116745</v>
      </c>
      <c r="C28" s="28">
        <v>0.116651</v>
      </c>
      <c r="D28" s="28">
        <v>0.12284399999999999</v>
      </c>
      <c r="E28" s="28">
        <v>0.121156</v>
      </c>
      <c r="F28" s="28">
        <v>9.7388000000000002E-2</v>
      </c>
    </row>
    <row r="29" spans="1:6" x14ac:dyDescent="0.2">
      <c r="A29" s="11" t="s">
        <v>324</v>
      </c>
      <c r="B29" s="28">
        <v>-5.7750999999999997E-2</v>
      </c>
      <c r="C29" s="28">
        <v>0.128634</v>
      </c>
      <c r="D29" s="28">
        <v>0.11866</v>
      </c>
      <c r="E29" s="28">
        <v>9.2795000000000002E-2</v>
      </c>
      <c r="F29" s="28">
        <v>4.9908000000000001E-2</v>
      </c>
    </row>
    <row r="30" spans="1:6" x14ac:dyDescent="0.2">
      <c r="A30" s="11" t="s">
        <v>325</v>
      </c>
      <c r="B30" s="28">
        <v>-5.5315000000000003E-2</v>
      </c>
      <c r="C30" s="28">
        <v>0.13093299999999999</v>
      </c>
      <c r="D30" s="28">
        <v>0.121044</v>
      </c>
      <c r="E30" s="28">
        <v>9.5377000000000003E-2</v>
      </c>
      <c r="F30" s="28">
        <v>5.5426999999999997E-2</v>
      </c>
    </row>
    <row r="31" spans="1:6" x14ac:dyDescent="0.2">
      <c r="A31" s="11"/>
      <c r="B31" s="11"/>
      <c r="C31" s="11"/>
      <c r="D31" s="11"/>
      <c r="E31" s="11"/>
      <c r="F31" s="11"/>
    </row>
    <row r="32" spans="1:6" x14ac:dyDescent="0.2">
      <c r="A32" s="9" t="s">
        <v>326</v>
      </c>
      <c r="B32" s="11"/>
      <c r="C32" s="11"/>
      <c r="D32" s="11"/>
      <c r="E32" s="11"/>
      <c r="F32" s="11"/>
    </row>
    <row r="33" spans="1:6" x14ac:dyDescent="0.2">
      <c r="A33" s="11" t="s">
        <v>327</v>
      </c>
      <c r="B33" s="21">
        <v>1.477152</v>
      </c>
      <c r="C33" s="21">
        <v>1.6541520000000001</v>
      </c>
      <c r="D33" s="21">
        <v>1.5949759999999999</v>
      </c>
      <c r="E33" s="21">
        <v>1.5612470000000001</v>
      </c>
      <c r="F33" s="21">
        <v>1.313175</v>
      </c>
    </row>
    <row r="34" spans="1:6" x14ac:dyDescent="0.2">
      <c r="A34" s="11" t="s">
        <v>328</v>
      </c>
      <c r="B34" s="21">
        <v>4.8955419999999998</v>
      </c>
      <c r="C34" s="21">
        <v>5.0379759999999996</v>
      </c>
      <c r="D34" s="21">
        <v>4.9444790000000003</v>
      </c>
      <c r="E34" s="21">
        <v>4.7362929999999999</v>
      </c>
      <c r="F34" s="21">
        <v>4.4278329999999997</v>
      </c>
    </row>
    <row r="35" spans="1:6" x14ac:dyDescent="0.2">
      <c r="A35" s="11" t="s">
        <v>329</v>
      </c>
      <c r="B35" s="21">
        <v>27.587721999999999</v>
      </c>
      <c r="C35" s="21">
        <v>28.389185000000001</v>
      </c>
      <c r="D35" s="21">
        <v>25.538782000000001</v>
      </c>
      <c r="E35" s="21">
        <v>24.409102000000001</v>
      </c>
      <c r="F35" s="21">
        <v>29.272438000000001</v>
      </c>
    </row>
    <row r="36" spans="1:6" x14ac:dyDescent="0.2">
      <c r="A36" s="11" t="s">
        <v>330</v>
      </c>
      <c r="B36" s="21">
        <v>10.441850000000001</v>
      </c>
      <c r="C36" s="21">
        <v>11.01122</v>
      </c>
      <c r="D36" s="21">
        <v>10.855748</v>
      </c>
      <c r="E36" s="21">
        <v>11.323682</v>
      </c>
      <c r="F36" s="21">
        <v>13.404826999999999</v>
      </c>
    </row>
    <row r="37" spans="1:6" x14ac:dyDescent="0.2">
      <c r="A37" s="11"/>
      <c r="B37" s="11"/>
      <c r="C37" s="11"/>
      <c r="D37" s="11"/>
      <c r="E37" s="11"/>
      <c r="F37" s="11"/>
    </row>
    <row r="38" spans="1:6" x14ac:dyDescent="0.2">
      <c r="A38" s="9" t="s">
        <v>331</v>
      </c>
      <c r="B38" s="11"/>
      <c r="C38" s="11"/>
      <c r="D38" s="11"/>
      <c r="E38" s="11"/>
      <c r="F38" s="11"/>
    </row>
    <row r="39" spans="1:6" x14ac:dyDescent="0.2">
      <c r="A39" s="11" t="s">
        <v>332</v>
      </c>
      <c r="B39" s="21">
        <v>1.371869</v>
      </c>
      <c r="C39" s="21">
        <v>1.088511</v>
      </c>
      <c r="D39" s="21">
        <v>1.0464279999999999</v>
      </c>
      <c r="E39" s="21">
        <v>1.251782</v>
      </c>
      <c r="F39" s="21">
        <v>1.414334</v>
      </c>
    </row>
    <row r="40" spans="1:6" x14ac:dyDescent="0.2">
      <c r="A40" s="11" t="s">
        <v>333</v>
      </c>
      <c r="B40" s="21">
        <v>0.81442700000000001</v>
      </c>
      <c r="C40" s="21">
        <v>0.63879799999999998</v>
      </c>
      <c r="D40" s="21">
        <v>0.66684200000000005</v>
      </c>
      <c r="E40" s="21">
        <v>0.85988100000000001</v>
      </c>
      <c r="F40" s="21">
        <v>1.07508</v>
      </c>
    </row>
    <row r="41" spans="1:6" x14ac:dyDescent="0.2">
      <c r="A41" s="11" t="s">
        <v>334</v>
      </c>
      <c r="B41" s="21">
        <v>0.200019</v>
      </c>
      <c r="C41" s="21">
        <v>1.027685</v>
      </c>
      <c r="D41" s="21">
        <v>1.0332319999999999</v>
      </c>
      <c r="E41" s="21">
        <v>1.007368</v>
      </c>
      <c r="F41" s="21">
        <v>2.2999170000000002</v>
      </c>
    </row>
    <row r="42" spans="1:6" x14ac:dyDescent="0.2">
      <c r="A42" s="11" t="s">
        <v>335</v>
      </c>
      <c r="B42" s="19">
        <v>13.194272</v>
      </c>
      <c r="C42" s="19">
        <v>12.821536</v>
      </c>
      <c r="D42" s="19">
        <v>14.526876</v>
      </c>
      <c r="E42" s="19">
        <v>14.912352</v>
      </c>
      <c r="F42" s="19">
        <v>12.434604</v>
      </c>
    </row>
    <row r="43" spans="1:6" x14ac:dyDescent="0.2">
      <c r="A43" s="11" t="s">
        <v>336</v>
      </c>
      <c r="B43" s="19">
        <v>34.859552000000001</v>
      </c>
      <c r="C43" s="19">
        <v>33.057023999999998</v>
      </c>
      <c r="D43" s="19">
        <v>34.175407</v>
      </c>
      <c r="E43" s="19">
        <v>32.144840000000002</v>
      </c>
      <c r="F43" s="19">
        <v>27.154036000000001</v>
      </c>
    </row>
    <row r="44" spans="1:6" x14ac:dyDescent="0.2">
      <c r="A44" s="11" t="s">
        <v>337</v>
      </c>
      <c r="B44" s="19">
        <v>16.260971999999999</v>
      </c>
      <c r="C44" s="19">
        <v>16.524144</v>
      </c>
      <c r="D44" s="19">
        <v>17.919671000000001</v>
      </c>
      <c r="E44" s="19">
        <v>17.751552</v>
      </c>
      <c r="F44" s="19">
        <v>19.828536</v>
      </c>
    </row>
    <row r="45" spans="1:6" x14ac:dyDescent="0.2">
      <c r="A45" s="11" t="s">
        <v>338</v>
      </c>
      <c r="B45" s="19">
        <v>31.792852</v>
      </c>
      <c r="C45" s="19">
        <v>29.354416000000001</v>
      </c>
      <c r="D45" s="19">
        <v>30.782612</v>
      </c>
      <c r="E45" s="19">
        <v>29.30564</v>
      </c>
      <c r="F45" s="19">
        <v>19.760103999999998</v>
      </c>
    </row>
    <row r="46" spans="1:6" x14ac:dyDescent="0.2">
      <c r="A46" s="11"/>
      <c r="B46" s="11"/>
      <c r="C46" s="11"/>
      <c r="D46" s="11"/>
      <c r="E46" s="11"/>
      <c r="F46" s="11"/>
    </row>
    <row r="47" spans="1:6" x14ac:dyDescent="0.2">
      <c r="A47" s="9" t="s">
        <v>339</v>
      </c>
      <c r="B47" s="11"/>
      <c r="C47" s="11"/>
      <c r="D47" s="11"/>
      <c r="E47" s="11"/>
      <c r="F47" s="11"/>
    </row>
    <row r="48" spans="1:6" x14ac:dyDescent="0.2">
      <c r="A48" s="11" t="s">
        <v>340</v>
      </c>
      <c r="B48" s="28">
        <v>0.38839899999999999</v>
      </c>
      <c r="C48" s="28">
        <v>0.403364</v>
      </c>
      <c r="D48" s="28">
        <v>0.60862000000000005</v>
      </c>
      <c r="E48" s="28">
        <v>0.72065199999999996</v>
      </c>
      <c r="F48" s="28" t="s">
        <v>59</v>
      </c>
    </row>
    <row r="49" spans="1:6" x14ac:dyDescent="0.2">
      <c r="A49" s="11" t="s">
        <v>341</v>
      </c>
      <c r="B49" s="28">
        <v>0.27974500000000002</v>
      </c>
      <c r="C49" s="28">
        <v>0.28742600000000001</v>
      </c>
      <c r="D49" s="28">
        <v>0.37834899999999999</v>
      </c>
      <c r="E49" s="28">
        <v>0.418825</v>
      </c>
      <c r="F49" s="28">
        <v>1.4604680000000001</v>
      </c>
    </row>
    <row r="50" spans="1:6" x14ac:dyDescent="0.2">
      <c r="A50" s="11" t="s">
        <v>342</v>
      </c>
      <c r="B50" s="28">
        <v>0.38839899999999999</v>
      </c>
      <c r="C50" s="28">
        <v>0.403364</v>
      </c>
      <c r="D50" s="28">
        <v>0.54073300000000002</v>
      </c>
      <c r="E50" s="28">
        <v>0.72065199999999996</v>
      </c>
      <c r="F50" s="28" t="s">
        <v>59</v>
      </c>
    </row>
    <row r="51" spans="1:6" x14ac:dyDescent="0.2">
      <c r="A51" s="11" t="s">
        <v>343</v>
      </c>
      <c r="B51" s="28">
        <v>0.27974500000000002</v>
      </c>
      <c r="C51" s="28">
        <v>0.28742600000000001</v>
      </c>
      <c r="D51" s="28">
        <v>0.33614699999999997</v>
      </c>
      <c r="E51" s="28">
        <v>0.418825</v>
      </c>
      <c r="F51" s="28">
        <v>1.4604680000000001</v>
      </c>
    </row>
    <row r="52" spans="1:6" x14ac:dyDescent="0.2">
      <c r="A52" s="11" t="s">
        <v>344</v>
      </c>
      <c r="B52" s="28">
        <v>0.50955499999999998</v>
      </c>
      <c r="C52" s="28">
        <v>0.531277</v>
      </c>
      <c r="D52" s="28">
        <v>0.588422</v>
      </c>
      <c r="E52" s="28">
        <v>0.62013399999999996</v>
      </c>
      <c r="F52" s="28">
        <v>1.144074</v>
      </c>
    </row>
    <row r="53" spans="1:6" x14ac:dyDescent="0.2">
      <c r="A53" s="11"/>
      <c r="B53" s="11"/>
      <c r="C53" s="11"/>
      <c r="D53" s="11"/>
      <c r="E53" s="11"/>
      <c r="F53" s="11"/>
    </row>
    <row r="54" spans="1:6" x14ac:dyDescent="0.2">
      <c r="A54" s="11" t="s">
        <v>345</v>
      </c>
      <c r="B54" s="21">
        <v>43.566302</v>
      </c>
      <c r="C54" s="21">
        <v>47.533332999999999</v>
      </c>
      <c r="D54" s="21">
        <v>47.400984000000001</v>
      </c>
      <c r="E54" s="21">
        <v>42.127566999999999</v>
      </c>
      <c r="F54" s="21">
        <v>16.787185999999998</v>
      </c>
    </row>
    <row r="55" spans="1:6" x14ac:dyDescent="0.2">
      <c r="A55" s="11" t="s">
        <v>346</v>
      </c>
      <c r="B55" s="21">
        <v>55.241809000000003</v>
      </c>
      <c r="C55" s="21">
        <v>60.778722999999999</v>
      </c>
      <c r="D55" s="21">
        <v>60.071339999999999</v>
      </c>
      <c r="E55" s="21">
        <v>53.663783000000002</v>
      </c>
      <c r="F55" s="21">
        <v>22.989246999999999</v>
      </c>
    </row>
    <row r="56" spans="1:6" x14ac:dyDescent="0.2">
      <c r="A56" s="11" t="s">
        <v>347</v>
      </c>
      <c r="B56" s="21">
        <v>37.131045</v>
      </c>
      <c r="C56" s="21">
        <v>42.286524</v>
      </c>
      <c r="D56" s="21">
        <v>42.355473000000003</v>
      </c>
      <c r="E56" s="21">
        <v>37.237836999999999</v>
      </c>
      <c r="F56" s="21">
        <v>14.125</v>
      </c>
    </row>
    <row r="57" spans="1:6" x14ac:dyDescent="0.2">
      <c r="A57" s="11" t="s">
        <v>348</v>
      </c>
      <c r="B57" s="21">
        <v>0.57845199999999997</v>
      </c>
      <c r="C57" s="21">
        <v>0.54785399999999995</v>
      </c>
      <c r="D57" s="21">
        <v>0.73409999999999997</v>
      </c>
      <c r="E57" s="21">
        <v>0.79223900000000003</v>
      </c>
      <c r="F57" s="21">
        <v>1.779447</v>
      </c>
    </row>
    <row r="58" spans="1:6" x14ac:dyDescent="0.2">
      <c r="A58" s="11" t="s">
        <v>349</v>
      </c>
      <c r="B58" s="21">
        <v>5.7751999999999998E-2</v>
      </c>
      <c r="C58" s="21">
        <v>0.171789</v>
      </c>
      <c r="D58" s="21">
        <v>0.27068999999999999</v>
      </c>
      <c r="E58" s="21">
        <v>0.25014599999999998</v>
      </c>
      <c r="F58" s="21">
        <v>0.80661400000000005</v>
      </c>
    </row>
    <row r="59" spans="1:6" x14ac:dyDescent="0.2">
      <c r="A59" s="11" t="s">
        <v>350</v>
      </c>
      <c r="B59" s="21">
        <v>0.86059399999999997</v>
      </c>
      <c r="C59" s="21">
        <v>0.78743399999999997</v>
      </c>
      <c r="D59" s="21">
        <v>1.0411490000000001</v>
      </c>
      <c r="E59" s="21">
        <v>1.1417040000000001</v>
      </c>
      <c r="F59" s="21">
        <v>2.8961519999999998</v>
      </c>
    </row>
    <row r="60" spans="1:6" x14ac:dyDescent="0.2">
      <c r="A60" s="11" t="s">
        <v>351</v>
      </c>
      <c r="B60" s="21">
        <v>8.5919999999999996E-2</v>
      </c>
      <c r="C60" s="21">
        <v>0.24691299999999999</v>
      </c>
      <c r="D60" s="21">
        <v>0.383911</v>
      </c>
      <c r="E60" s="21">
        <v>0.360487</v>
      </c>
      <c r="F60" s="21">
        <v>1.312811</v>
      </c>
    </row>
    <row r="61" spans="1:6" x14ac:dyDescent="0.2">
      <c r="A61" s="11"/>
      <c r="B61" s="11"/>
      <c r="C61" s="11"/>
      <c r="D61" s="11"/>
      <c r="E61" s="11"/>
      <c r="F61" s="11"/>
    </row>
    <row r="62" spans="1:6" x14ac:dyDescent="0.2">
      <c r="A62" s="11" t="s">
        <v>352</v>
      </c>
      <c r="B62" s="27">
        <v>9.4433799999999994</v>
      </c>
      <c r="C62" s="27">
        <v>9.606484</v>
      </c>
      <c r="D62" s="27">
        <v>9.0679309999999997</v>
      </c>
      <c r="E62" s="27">
        <v>8.6605799999999995</v>
      </c>
      <c r="F62" s="27">
        <v>3.8906139999999998</v>
      </c>
    </row>
    <row r="63" spans="1:6" x14ac:dyDescent="0.2">
      <c r="A63" s="11"/>
      <c r="B63" s="11"/>
      <c r="C63" s="11"/>
      <c r="D63" s="11"/>
      <c r="E63" s="11"/>
      <c r="F63" s="11"/>
    </row>
    <row r="64" spans="1:6" x14ac:dyDescent="0.2">
      <c r="A64" s="9" t="s">
        <v>353</v>
      </c>
      <c r="B64" s="11"/>
      <c r="C64" s="11"/>
      <c r="D64" s="11"/>
      <c r="E64" s="11"/>
      <c r="F64" s="11"/>
    </row>
    <row r="65" spans="1:6" x14ac:dyDescent="0.2">
      <c r="A65" s="11" t="s">
        <v>85</v>
      </c>
      <c r="B65" s="28">
        <v>0.10634399999999999</v>
      </c>
      <c r="C65" s="28">
        <v>0.16506100000000001</v>
      </c>
      <c r="D65" s="28">
        <v>0.11236400000000001</v>
      </c>
      <c r="E65" s="28">
        <v>5.0238999999999999E-2</v>
      </c>
      <c r="F65" s="28">
        <v>0.112237</v>
      </c>
    </row>
    <row r="66" spans="1:6" x14ac:dyDescent="0.2">
      <c r="A66" s="11" t="s">
        <v>87</v>
      </c>
      <c r="B66" s="28">
        <v>0.17921100000000001</v>
      </c>
      <c r="C66" s="28">
        <v>0.20467299999999999</v>
      </c>
      <c r="D66" s="28">
        <v>0.13053100000000001</v>
      </c>
      <c r="E66" s="28">
        <v>1.7292999999999999E-2</v>
      </c>
      <c r="F66" s="28">
        <v>7.2999999999999995E-2</v>
      </c>
    </row>
    <row r="67" spans="1:6" x14ac:dyDescent="0.2">
      <c r="A67" s="11" t="s">
        <v>354</v>
      </c>
      <c r="B67" s="28">
        <v>0.23685700000000001</v>
      </c>
      <c r="C67" s="28">
        <v>0.21008099999999999</v>
      </c>
      <c r="D67" s="28">
        <v>0.139769</v>
      </c>
      <c r="E67" s="28">
        <v>1.6400999999999999E-2</v>
      </c>
      <c r="F67" s="28">
        <v>3.0526000000000001E-2</v>
      </c>
    </row>
    <row r="68" spans="1:6" x14ac:dyDescent="0.2">
      <c r="A68" s="11" t="s">
        <v>355</v>
      </c>
      <c r="B68" s="28">
        <v>0.26469500000000001</v>
      </c>
      <c r="C68" s="28">
        <v>0.214114</v>
      </c>
      <c r="D68" s="28">
        <v>0.149922</v>
      </c>
      <c r="E68" s="28">
        <v>1.1070999999999999E-2</v>
      </c>
      <c r="F68" s="28">
        <v>-1.26E-4</v>
      </c>
    </row>
    <row r="69" spans="1:6" x14ac:dyDescent="0.2">
      <c r="A69" s="11" t="s">
        <v>356</v>
      </c>
      <c r="B69" s="28">
        <v>0.26516499999999998</v>
      </c>
      <c r="C69" s="28">
        <v>0.199992</v>
      </c>
      <c r="D69" s="28">
        <v>0.14998</v>
      </c>
      <c r="E69" s="28">
        <v>1.1183999999999999E-2</v>
      </c>
      <c r="F69" s="28">
        <v>-3.9971E-2</v>
      </c>
    </row>
    <row r="70" spans="1:6" x14ac:dyDescent="0.2">
      <c r="A70" s="11" t="s">
        <v>110</v>
      </c>
      <c r="B70" s="28">
        <v>233.96590900000001</v>
      </c>
      <c r="C70" s="28">
        <v>0.33447700000000002</v>
      </c>
      <c r="D70" s="28">
        <v>2.1599E-2</v>
      </c>
      <c r="E70" s="28">
        <v>2.3413E-2</v>
      </c>
      <c r="F70" s="28">
        <v>-0.30915999999999999</v>
      </c>
    </row>
    <row r="71" spans="1:6" x14ac:dyDescent="0.2">
      <c r="A71" s="11" t="s">
        <v>115</v>
      </c>
      <c r="B71" s="28">
        <v>248.16867400000001</v>
      </c>
      <c r="C71" s="28">
        <v>0.33330100000000001</v>
      </c>
      <c r="D71" s="28">
        <v>2.1867999999999999E-2</v>
      </c>
      <c r="E71" s="28">
        <v>2.3778000000000001E-2</v>
      </c>
      <c r="F71" s="28">
        <v>-0.309006</v>
      </c>
    </row>
    <row r="72" spans="1:6" x14ac:dyDescent="0.2">
      <c r="A72" s="11" t="s">
        <v>357</v>
      </c>
      <c r="B72" s="28">
        <v>0.242202</v>
      </c>
      <c r="C72" s="28">
        <v>0.16411500000000001</v>
      </c>
      <c r="D72" s="28">
        <v>0.171427</v>
      </c>
      <c r="E72" s="28">
        <v>3.5802E-2</v>
      </c>
      <c r="F72" s="28">
        <v>-0.107477</v>
      </c>
    </row>
    <row r="73" spans="1:6" x14ac:dyDescent="0.2">
      <c r="A73" s="11" t="s">
        <v>358</v>
      </c>
      <c r="B73" s="28">
        <v>242.77031400000001</v>
      </c>
      <c r="C73" s="28">
        <v>0.34814800000000001</v>
      </c>
      <c r="D73" s="28">
        <v>4.3956000000000002E-2</v>
      </c>
      <c r="E73" s="28">
        <v>3.6842E-2</v>
      </c>
      <c r="F73" s="28">
        <v>-0.25536900000000001</v>
      </c>
    </row>
    <row r="74" spans="1:6" x14ac:dyDescent="0.2">
      <c r="A74" s="11"/>
      <c r="B74" s="11"/>
      <c r="C74" s="11"/>
      <c r="D74" s="11"/>
      <c r="E74" s="11"/>
      <c r="F74" s="11"/>
    </row>
    <row r="75" spans="1:6" x14ac:dyDescent="0.2">
      <c r="A75" s="11" t="s">
        <v>359</v>
      </c>
      <c r="B75" s="28">
        <v>0.123975</v>
      </c>
      <c r="C75" s="28">
        <v>0.139461</v>
      </c>
      <c r="D75" s="28">
        <v>6.9262000000000004E-2</v>
      </c>
      <c r="E75" s="28">
        <v>0.13215399999999999</v>
      </c>
      <c r="F75" s="28">
        <v>-0.153088</v>
      </c>
    </row>
    <row r="76" spans="1:6" x14ac:dyDescent="0.2">
      <c r="A76" s="11" t="s">
        <v>360</v>
      </c>
      <c r="B76" s="28">
        <v>-1.8269000000000001E-2</v>
      </c>
      <c r="C76" s="28">
        <v>0.197543</v>
      </c>
      <c r="D76" s="28">
        <v>5.5189000000000002E-2</v>
      </c>
      <c r="E76" s="28">
        <v>-1.0519000000000001E-2</v>
      </c>
      <c r="F76" s="28">
        <v>3.1525999999999998E-2</v>
      </c>
    </row>
    <row r="77" spans="1:6" x14ac:dyDescent="0.2">
      <c r="A77" s="11" t="s">
        <v>361</v>
      </c>
      <c r="B77" s="28">
        <v>9.9515000000000006E-2</v>
      </c>
      <c r="C77" s="28">
        <v>0.16177800000000001</v>
      </c>
      <c r="D77" s="28">
        <v>0.108969</v>
      </c>
      <c r="E77" s="28">
        <v>8.5071999999999995E-2</v>
      </c>
      <c r="F77" s="28">
        <v>0.122817</v>
      </c>
    </row>
    <row r="78" spans="1:6" x14ac:dyDescent="0.2">
      <c r="A78" s="11" t="s">
        <v>362</v>
      </c>
      <c r="B78" s="28">
        <v>-6.6322000000000006E-2</v>
      </c>
      <c r="C78" s="28">
        <v>0.154693</v>
      </c>
      <c r="D78" s="28">
        <v>0.15271799999999999</v>
      </c>
      <c r="E78" s="28">
        <v>3.7100000000000002E-3</v>
      </c>
      <c r="F78" s="28">
        <v>7.8991000000000006E-2</v>
      </c>
    </row>
    <row r="79" spans="1:6" x14ac:dyDescent="0.2">
      <c r="A79" s="11"/>
      <c r="B79" s="11"/>
      <c r="C79" s="11"/>
      <c r="D79" s="11"/>
      <c r="E79" s="11"/>
      <c r="F79" s="11"/>
    </row>
    <row r="80" spans="1:6" x14ac:dyDescent="0.2">
      <c r="A80" s="11" t="s">
        <v>363</v>
      </c>
      <c r="B80" s="28">
        <v>0.23928099999999999</v>
      </c>
      <c r="C80" s="28">
        <v>-0.10141799999999999</v>
      </c>
      <c r="D80" s="28">
        <v>-1.9907999999999999E-2</v>
      </c>
      <c r="E80" s="28">
        <v>-4.8957000000000001E-2</v>
      </c>
      <c r="F80" s="28" t="s">
        <v>59</v>
      </c>
    </row>
    <row r="81" spans="1:6" x14ac:dyDescent="0.2">
      <c r="A81" s="11" t="s">
        <v>364</v>
      </c>
      <c r="B81" s="28">
        <v>0.176733</v>
      </c>
      <c r="C81" s="28">
        <v>0.10356600000000001</v>
      </c>
      <c r="D81" s="28">
        <v>1.1344E-2</v>
      </c>
      <c r="E81" s="28">
        <v>-7.3743000000000003E-2</v>
      </c>
      <c r="F81" s="28" t="s">
        <v>59</v>
      </c>
    </row>
    <row r="82" spans="1:6" x14ac:dyDescent="0.2">
      <c r="A82" s="11" t="s">
        <v>272</v>
      </c>
      <c r="B82" s="28">
        <v>-0.79101200000000005</v>
      </c>
      <c r="C82" s="28">
        <v>5.1683110000000001</v>
      </c>
      <c r="D82" s="28">
        <v>0.25307400000000002</v>
      </c>
      <c r="E82" s="28">
        <v>-9.4958000000000001E-2</v>
      </c>
      <c r="F82" s="28">
        <v>1.739859</v>
      </c>
    </row>
    <row r="83" spans="1:6" x14ac:dyDescent="0.2">
      <c r="A83" s="11" t="s">
        <v>365</v>
      </c>
      <c r="B83" s="28">
        <v>8.4250000000000002E-3</v>
      </c>
      <c r="C83" s="28">
        <v>0.12300800000000001</v>
      </c>
      <c r="D83" s="28">
        <v>0.104778</v>
      </c>
      <c r="E83" s="28">
        <v>5.4919000000000003E-2</v>
      </c>
      <c r="F83" s="28">
        <v>0.20544599999999999</v>
      </c>
    </row>
    <row r="84" spans="1:6" x14ac:dyDescent="0.2">
      <c r="A84" s="11" t="s">
        <v>366</v>
      </c>
      <c r="B84" s="28" t="s">
        <v>59</v>
      </c>
      <c r="C84" s="28" t="s">
        <v>59</v>
      </c>
      <c r="D84" s="28">
        <v>2.6114999999999999E-2</v>
      </c>
      <c r="E84" s="28">
        <v>-0.17868800000000001</v>
      </c>
      <c r="F84" s="28">
        <v>-0.63076100000000002</v>
      </c>
    </row>
    <row r="85" spans="1:6" x14ac:dyDescent="0.2">
      <c r="A85" s="11" t="s">
        <v>367</v>
      </c>
      <c r="B85" s="28" t="s">
        <v>59</v>
      </c>
      <c r="C85" s="28" t="s">
        <v>59</v>
      </c>
      <c r="D85" s="28">
        <v>2.8347000000000001E-2</v>
      </c>
      <c r="E85" s="28">
        <v>-0.172456</v>
      </c>
      <c r="F85" s="28">
        <v>-0.59690900000000002</v>
      </c>
    </row>
    <row r="86" spans="1:6" x14ac:dyDescent="0.2">
      <c r="A86" s="11" t="s">
        <v>368</v>
      </c>
      <c r="B86" s="28">
        <v>0.235955</v>
      </c>
      <c r="C86" s="28">
        <v>0.23636299999999999</v>
      </c>
      <c r="D86" s="28">
        <v>0.25</v>
      </c>
      <c r="E86" s="28">
        <v>0.235294</v>
      </c>
      <c r="F86" s="28">
        <v>0.25454500000000002</v>
      </c>
    </row>
    <row r="87" spans="1:6" x14ac:dyDescent="0.2">
      <c r="A87" s="11"/>
      <c r="B87" s="11"/>
      <c r="C87" s="11"/>
      <c r="D87" s="11"/>
      <c r="E87" s="11"/>
      <c r="F87" s="11"/>
    </row>
    <row r="88" spans="1:6" x14ac:dyDescent="0.2">
      <c r="A88" s="9" t="s">
        <v>369</v>
      </c>
      <c r="B88" s="11"/>
      <c r="C88" s="11"/>
      <c r="D88" s="11"/>
      <c r="E88" s="11"/>
      <c r="F88" s="11"/>
    </row>
    <row r="89" spans="1:6" x14ac:dyDescent="0.2">
      <c r="A89" s="11" t="s">
        <v>85</v>
      </c>
      <c r="B89" s="28">
        <v>0.11303100000000001</v>
      </c>
      <c r="C89" s="28">
        <v>0.135323</v>
      </c>
      <c r="D89" s="28">
        <v>0.138408</v>
      </c>
      <c r="E89" s="28">
        <v>8.0854999999999996E-2</v>
      </c>
      <c r="F89" s="28">
        <v>7.9923999999999995E-2</v>
      </c>
    </row>
    <row r="90" spans="1:6" x14ac:dyDescent="0.2">
      <c r="A90" s="11" t="s">
        <v>87</v>
      </c>
      <c r="B90" s="28">
        <v>0.18169399999999999</v>
      </c>
      <c r="C90" s="28">
        <v>0.19187399999999999</v>
      </c>
      <c r="D90" s="28">
        <v>0.167014</v>
      </c>
      <c r="E90" s="28">
        <v>7.2417999999999996E-2</v>
      </c>
      <c r="F90" s="28">
        <v>3.8526999999999999E-2</v>
      </c>
    </row>
    <row r="91" spans="1:6" x14ac:dyDescent="0.2">
      <c r="A91" s="11" t="s">
        <v>354</v>
      </c>
      <c r="B91" s="28">
        <v>0.223027</v>
      </c>
      <c r="C91" s="28">
        <v>0.22339700000000001</v>
      </c>
      <c r="D91" s="28">
        <v>0.174399</v>
      </c>
      <c r="E91" s="28">
        <v>7.6318999999999998E-2</v>
      </c>
      <c r="F91" s="28">
        <v>1.7727E-2</v>
      </c>
    </row>
    <row r="92" spans="1:6" x14ac:dyDescent="0.2">
      <c r="A92" s="11" t="s">
        <v>355</v>
      </c>
      <c r="B92" s="28">
        <v>0.25056899999999999</v>
      </c>
      <c r="C92" s="28">
        <v>0.239147</v>
      </c>
      <c r="D92" s="28">
        <v>0.18158199999999999</v>
      </c>
      <c r="E92" s="28">
        <v>7.8264E-2</v>
      </c>
      <c r="F92" s="28">
        <v>1.083E-3</v>
      </c>
    </row>
    <row r="93" spans="1:6" x14ac:dyDescent="0.2">
      <c r="A93" s="11" t="s">
        <v>356</v>
      </c>
      <c r="B93" s="28">
        <v>0.250197</v>
      </c>
      <c r="C93" s="28">
        <v>0.23214799999999999</v>
      </c>
      <c r="D93" s="28">
        <v>0.17471999999999999</v>
      </c>
      <c r="E93" s="28">
        <v>7.8352000000000005E-2</v>
      </c>
      <c r="F93" s="28">
        <v>-2.0829E-2</v>
      </c>
    </row>
    <row r="94" spans="1:6" x14ac:dyDescent="0.2">
      <c r="A94" s="11" t="s">
        <v>110</v>
      </c>
      <c r="B94" s="28">
        <v>0.22198499999999999</v>
      </c>
      <c r="C94" s="28">
        <v>16.707536000000001</v>
      </c>
      <c r="D94" s="28">
        <v>0.167605</v>
      </c>
      <c r="E94" s="28">
        <v>2.2506000000000002E-2</v>
      </c>
      <c r="F94" s="28">
        <v>2.4943E-2</v>
      </c>
    </row>
    <row r="95" spans="1:6" x14ac:dyDescent="0.2">
      <c r="A95" s="11" t="s">
        <v>115</v>
      </c>
      <c r="B95" s="28">
        <v>0.2225</v>
      </c>
      <c r="C95" s="28">
        <v>17.226817</v>
      </c>
      <c r="D95" s="28">
        <v>0.167244</v>
      </c>
      <c r="E95" s="28">
        <v>2.2823E-2</v>
      </c>
      <c r="F95" s="28">
        <v>2.5152999999999998E-2</v>
      </c>
    </row>
    <row r="96" spans="1:6" x14ac:dyDescent="0.2">
      <c r="A96" s="11" t="s">
        <v>357</v>
      </c>
      <c r="B96" s="28">
        <v>0.23063700000000001</v>
      </c>
      <c r="C96" s="28">
        <v>0.20252600000000001</v>
      </c>
      <c r="D96" s="28">
        <v>0.167766</v>
      </c>
      <c r="E96" s="28">
        <v>0.10152899999999999</v>
      </c>
      <c r="F96" s="28">
        <v>-4.0683999999999998E-2</v>
      </c>
    </row>
    <row r="97" spans="1:6" x14ac:dyDescent="0.2">
      <c r="A97" s="11" t="s">
        <v>358</v>
      </c>
      <c r="B97" s="28">
        <v>0.228161</v>
      </c>
      <c r="C97" s="28">
        <v>17.128388999999999</v>
      </c>
      <c r="D97" s="28">
        <v>0.18634200000000001</v>
      </c>
      <c r="E97" s="28">
        <v>4.0392999999999998E-2</v>
      </c>
      <c r="F97" s="28">
        <v>7.324E-2</v>
      </c>
    </row>
    <row r="98" spans="1:6" x14ac:dyDescent="0.2">
      <c r="A98" s="11"/>
      <c r="B98" s="11"/>
      <c r="C98" s="11"/>
      <c r="D98" s="11"/>
      <c r="E98" s="11"/>
      <c r="F98" s="11"/>
    </row>
    <row r="99" spans="1:6" x14ac:dyDescent="0.2">
      <c r="A99" s="11" t="s">
        <v>359</v>
      </c>
      <c r="B99" s="28">
        <v>0.139571</v>
      </c>
      <c r="C99" s="28">
        <v>0.131692</v>
      </c>
      <c r="D99" s="28">
        <v>0.10380399999999999</v>
      </c>
      <c r="E99" s="28">
        <v>0.100259</v>
      </c>
      <c r="F99" s="28">
        <v>-8.6822999999999997E-2</v>
      </c>
    </row>
    <row r="100" spans="1:6" x14ac:dyDescent="0.2">
      <c r="A100" s="11" t="s">
        <v>360</v>
      </c>
      <c r="B100" s="28">
        <v>-6.2613000000000002E-2</v>
      </c>
      <c r="C100" s="28">
        <v>8.4280999999999995E-2</v>
      </c>
      <c r="D100" s="28">
        <v>0.124115</v>
      </c>
      <c r="E100" s="28">
        <v>2.1807E-2</v>
      </c>
      <c r="F100" s="28">
        <v>5.4282999999999998E-2</v>
      </c>
    </row>
    <row r="101" spans="1:6" x14ac:dyDescent="0.2">
      <c r="A101" s="11" t="s">
        <v>361</v>
      </c>
      <c r="B101" s="28">
        <v>0.150426</v>
      </c>
      <c r="C101" s="28">
        <v>0.130219</v>
      </c>
      <c r="D101" s="28">
        <v>0.13506699999999999</v>
      </c>
      <c r="E101" s="28">
        <v>9.6955E-2</v>
      </c>
      <c r="F101" s="28">
        <v>0.16125300000000001</v>
      </c>
    </row>
    <row r="102" spans="1:6" x14ac:dyDescent="0.2">
      <c r="A102" s="11" t="s">
        <v>362</v>
      </c>
      <c r="B102" s="28">
        <v>0.14379500000000001</v>
      </c>
      <c r="C102" s="28">
        <v>3.8322000000000002E-2</v>
      </c>
      <c r="D102" s="28">
        <v>0.15370500000000001</v>
      </c>
      <c r="E102" s="28">
        <v>7.5636999999999996E-2</v>
      </c>
      <c r="F102" s="28">
        <v>0.19393199999999999</v>
      </c>
    </row>
    <row r="103" spans="1:6" x14ac:dyDescent="0.2">
      <c r="A103" s="11"/>
      <c r="B103" s="11"/>
      <c r="C103" s="11"/>
      <c r="D103" s="11"/>
      <c r="E103" s="11"/>
      <c r="F103" s="11"/>
    </row>
    <row r="104" spans="1:6" x14ac:dyDescent="0.2">
      <c r="A104" s="11" t="s">
        <v>363</v>
      </c>
      <c r="B104" s="28">
        <v>-4.7548E-2</v>
      </c>
      <c r="C104" s="28">
        <v>5.5271000000000001E-2</v>
      </c>
      <c r="D104" s="28">
        <v>-6.1546999999999998E-2</v>
      </c>
      <c r="E104" s="28">
        <v>-3.4542000000000003E-2</v>
      </c>
      <c r="F104" s="28" t="s">
        <v>59</v>
      </c>
    </row>
    <row r="105" spans="1:6" x14ac:dyDescent="0.2">
      <c r="A105" s="11" t="s">
        <v>364</v>
      </c>
      <c r="B105" s="28">
        <v>1.5827000000000001E-2</v>
      </c>
      <c r="C105" s="28">
        <v>0.13956199999999999</v>
      </c>
      <c r="D105" s="28">
        <v>5.6448999999999999E-2</v>
      </c>
      <c r="E105" s="28">
        <v>-3.2134000000000003E-2</v>
      </c>
      <c r="F105" s="28" t="s">
        <v>59</v>
      </c>
    </row>
    <row r="106" spans="1:6" x14ac:dyDescent="0.2">
      <c r="A106" s="11" t="s">
        <v>272</v>
      </c>
      <c r="B106" s="28">
        <v>-0.410717</v>
      </c>
      <c r="C106" s="28">
        <v>0.13538700000000001</v>
      </c>
      <c r="D106" s="28">
        <v>1.7801709999999999</v>
      </c>
      <c r="E106" s="28">
        <v>6.4934000000000006E-2</v>
      </c>
      <c r="F106" s="28">
        <v>0.67130500000000004</v>
      </c>
    </row>
    <row r="107" spans="1:6" x14ac:dyDescent="0.2">
      <c r="A107" s="11" t="s">
        <v>365</v>
      </c>
      <c r="B107" s="28">
        <v>0.16442000000000001</v>
      </c>
      <c r="C107" s="28">
        <v>6.4175999999999997E-2</v>
      </c>
      <c r="D107" s="28">
        <v>0.113856</v>
      </c>
      <c r="E107" s="28">
        <v>7.9561000000000007E-2</v>
      </c>
      <c r="F107" s="28">
        <v>0.182093</v>
      </c>
    </row>
    <row r="108" spans="1:6" x14ac:dyDescent="0.2">
      <c r="A108" s="11" t="s">
        <v>366</v>
      </c>
      <c r="B108" s="28" t="s">
        <v>59</v>
      </c>
      <c r="C108" s="28">
        <v>-0.22473399999999999</v>
      </c>
      <c r="D108" s="28" t="s">
        <v>59</v>
      </c>
      <c r="E108" s="28">
        <v>-8.1978999999999996E-2</v>
      </c>
      <c r="F108" s="28">
        <v>-0.29202299999999998</v>
      </c>
    </row>
    <row r="109" spans="1:6" x14ac:dyDescent="0.2">
      <c r="A109" s="11" t="s">
        <v>367</v>
      </c>
      <c r="B109" s="28" t="s">
        <v>59</v>
      </c>
      <c r="C109" s="28">
        <v>-0.21950500000000001</v>
      </c>
      <c r="D109" s="28" t="s">
        <v>59</v>
      </c>
      <c r="E109" s="28">
        <v>-7.7502000000000001E-2</v>
      </c>
      <c r="F109" s="28">
        <v>-0.26198199999999999</v>
      </c>
    </row>
    <row r="110" spans="1:6" x14ac:dyDescent="0.2">
      <c r="A110" s="11" t="s">
        <v>368</v>
      </c>
      <c r="B110" s="28">
        <v>0.23603299999999999</v>
      </c>
      <c r="C110" s="28">
        <v>0.23615900000000001</v>
      </c>
      <c r="D110" s="28">
        <v>0.24316299999999999</v>
      </c>
      <c r="E110" s="28">
        <v>0.24262500000000001</v>
      </c>
      <c r="F110" s="28">
        <v>0.23827799999999999</v>
      </c>
    </row>
    <row r="111" spans="1:6" x14ac:dyDescent="0.2">
      <c r="A111" s="11"/>
      <c r="B111" s="11"/>
      <c r="C111" s="11"/>
      <c r="D111" s="11"/>
      <c r="E111" s="11"/>
      <c r="F111" s="11"/>
    </row>
    <row r="112" spans="1:6" x14ac:dyDescent="0.2">
      <c r="A112" s="9" t="s">
        <v>370</v>
      </c>
      <c r="B112" s="11"/>
      <c r="C112" s="11"/>
      <c r="D112" s="11"/>
      <c r="E112" s="11"/>
      <c r="F112" s="11"/>
    </row>
    <row r="113" spans="1:6" x14ac:dyDescent="0.2">
      <c r="A113" s="11" t="s">
        <v>85</v>
      </c>
      <c r="B113" s="28">
        <v>0.120217</v>
      </c>
      <c r="C113" s="28">
        <v>0.130111</v>
      </c>
      <c r="D113" s="28">
        <v>0.12761800000000001</v>
      </c>
      <c r="E113" s="28">
        <v>0.108225</v>
      </c>
      <c r="F113" s="28">
        <v>8.6056999999999995E-2</v>
      </c>
    </row>
    <row r="114" spans="1:6" x14ac:dyDescent="0.2">
      <c r="A114" s="11" t="s">
        <v>87</v>
      </c>
      <c r="B114" s="28">
        <v>0.15778600000000001</v>
      </c>
      <c r="C114" s="28">
        <v>0.189305</v>
      </c>
      <c r="D114" s="28">
        <v>0.17106499999999999</v>
      </c>
      <c r="E114" s="28">
        <v>0.11480600000000001</v>
      </c>
      <c r="F114" s="28">
        <v>6.3587000000000005E-2</v>
      </c>
    </row>
    <row r="115" spans="1:6" x14ac:dyDescent="0.2">
      <c r="A115" s="11" t="s">
        <v>354</v>
      </c>
      <c r="B115" s="28">
        <v>0.195081</v>
      </c>
      <c r="C115" s="28">
        <v>0.218697</v>
      </c>
      <c r="D115" s="28">
        <v>0.19486000000000001</v>
      </c>
      <c r="E115" s="28">
        <v>0.11917700000000001</v>
      </c>
      <c r="F115" s="28">
        <v>4.8850999999999999E-2</v>
      </c>
    </row>
    <row r="116" spans="1:6" x14ac:dyDescent="0.2">
      <c r="A116" s="11" t="s">
        <v>355</v>
      </c>
      <c r="B116" s="28">
        <v>0.224219</v>
      </c>
      <c r="C116" s="28">
        <v>0.23829800000000001</v>
      </c>
      <c r="D116" s="28">
        <v>0.20866100000000001</v>
      </c>
      <c r="E116" s="28">
        <v>0.121769</v>
      </c>
      <c r="F116" s="28">
        <v>4.0046999999999999E-2</v>
      </c>
    </row>
    <row r="117" spans="1:6" x14ac:dyDescent="0.2">
      <c r="A117" s="11" t="s">
        <v>356</v>
      </c>
      <c r="B117" s="28">
        <v>0.22353799999999999</v>
      </c>
      <c r="C117" s="28">
        <v>0.233233</v>
      </c>
      <c r="D117" s="28">
        <v>0.204127</v>
      </c>
      <c r="E117" s="28">
        <v>0.117463</v>
      </c>
      <c r="F117" s="28">
        <v>2.4712000000000001E-2</v>
      </c>
    </row>
    <row r="118" spans="1:6" x14ac:dyDescent="0.2">
      <c r="A118" s="11" t="s">
        <v>110</v>
      </c>
      <c r="B118" s="28">
        <v>0.18328900000000001</v>
      </c>
      <c r="C118" s="28">
        <v>0.25838800000000001</v>
      </c>
      <c r="D118" s="28">
        <v>5.8422510000000001</v>
      </c>
      <c r="E118" s="28">
        <v>0.11741500000000001</v>
      </c>
      <c r="F118" s="28">
        <v>7.1373000000000006E-2</v>
      </c>
    </row>
    <row r="119" spans="1:6" x14ac:dyDescent="0.2">
      <c r="A119" s="11" t="s">
        <v>115</v>
      </c>
      <c r="B119" s="28">
        <v>0.18409400000000001</v>
      </c>
      <c r="C119" s="28">
        <v>0.25837100000000002</v>
      </c>
      <c r="D119" s="28">
        <v>5.9759849999999997</v>
      </c>
      <c r="E119" s="28">
        <v>0.117317</v>
      </c>
      <c r="F119" s="28">
        <v>7.1507000000000001E-2</v>
      </c>
    </row>
    <row r="120" spans="1:6" x14ac:dyDescent="0.2">
      <c r="A120" s="11" t="s">
        <v>357</v>
      </c>
      <c r="B120" s="28">
        <v>0.21285899999999999</v>
      </c>
      <c r="C120" s="28">
        <v>0.20805100000000001</v>
      </c>
      <c r="D120" s="28">
        <v>0.19206899999999999</v>
      </c>
      <c r="E120" s="28">
        <v>0.12200800000000001</v>
      </c>
      <c r="F120" s="28">
        <v>1.9983000000000001E-2</v>
      </c>
    </row>
    <row r="121" spans="1:6" x14ac:dyDescent="0.2">
      <c r="A121" s="11" t="s">
        <v>358</v>
      </c>
      <c r="B121" s="28">
        <v>0.18563099999999999</v>
      </c>
      <c r="C121" s="28">
        <v>0.26692100000000002</v>
      </c>
      <c r="D121" s="28">
        <v>6.000572</v>
      </c>
      <c r="E121" s="28">
        <v>0.13425500000000001</v>
      </c>
      <c r="F121" s="28">
        <v>0.113007</v>
      </c>
    </row>
    <row r="122" spans="1:6" x14ac:dyDescent="0.2">
      <c r="A122" s="11"/>
      <c r="B122" s="11"/>
      <c r="C122" s="11"/>
      <c r="D122" s="11"/>
      <c r="E122" s="11"/>
      <c r="F122" s="11"/>
    </row>
    <row r="123" spans="1:6" x14ac:dyDescent="0.2">
      <c r="A123" s="11" t="s">
        <v>359</v>
      </c>
      <c r="B123" s="28">
        <v>0.17749699999999999</v>
      </c>
      <c r="C123" s="28">
        <v>0.13953399999999999</v>
      </c>
      <c r="D123" s="28">
        <v>0.110487</v>
      </c>
      <c r="E123" s="28">
        <v>0.113174</v>
      </c>
      <c r="F123" s="28">
        <v>-1.9113999999999999E-2</v>
      </c>
    </row>
    <row r="124" spans="1:6" x14ac:dyDescent="0.2">
      <c r="A124" s="11" t="s">
        <v>360</v>
      </c>
      <c r="B124" s="28">
        <v>4.1436000000000001E-2</v>
      </c>
      <c r="C124" s="28">
        <v>1.7129999999999999E-2</v>
      </c>
      <c r="D124" s="28">
        <v>7.4496000000000007E-2</v>
      </c>
      <c r="E124" s="28">
        <v>7.7315999999999996E-2</v>
      </c>
      <c r="F124" s="28">
        <v>2.9184000000000002E-2</v>
      </c>
    </row>
    <row r="125" spans="1:6" x14ac:dyDescent="0.2">
      <c r="A125" s="11" t="s">
        <v>361</v>
      </c>
      <c r="B125" s="28">
        <v>0.14325399999999999</v>
      </c>
      <c r="C125" s="28">
        <v>0.154198</v>
      </c>
      <c r="D125" s="28">
        <v>0.12309100000000001</v>
      </c>
      <c r="E125" s="28">
        <v>0.11815100000000001</v>
      </c>
      <c r="F125" s="28">
        <v>0.13572999999999999</v>
      </c>
    </row>
    <row r="126" spans="1:6" x14ac:dyDescent="0.2">
      <c r="A126" s="11" t="s">
        <v>362</v>
      </c>
      <c r="B126" s="28">
        <v>0.134683</v>
      </c>
      <c r="C126" s="28">
        <v>0.14741599999999999</v>
      </c>
      <c r="D126" s="28">
        <v>7.5134000000000006E-2</v>
      </c>
      <c r="E126" s="28">
        <v>0.101369</v>
      </c>
      <c r="F126" s="28">
        <v>0.15573200000000001</v>
      </c>
    </row>
    <row r="127" spans="1:6" x14ac:dyDescent="0.2">
      <c r="A127" s="11"/>
      <c r="B127" s="11"/>
      <c r="C127" s="11"/>
      <c r="D127" s="11"/>
      <c r="E127" s="11"/>
      <c r="F127" s="11"/>
    </row>
    <row r="128" spans="1:6" x14ac:dyDescent="0.2">
      <c r="A128" s="11" t="s">
        <v>363</v>
      </c>
      <c r="B128" s="28">
        <v>1.5851000000000001E-2</v>
      </c>
      <c r="C128" s="28">
        <v>-6.5853999999999996E-2</v>
      </c>
      <c r="D128" s="28">
        <v>2.9592E-2</v>
      </c>
      <c r="E128" s="28">
        <v>-5.7369000000000003E-2</v>
      </c>
      <c r="F128" s="28" t="s">
        <v>59</v>
      </c>
    </row>
    <row r="129" spans="1:6" x14ac:dyDescent="0.2">
      <c r="A129" s="11" t="s">
        <v>364</v>
      </c>
      <c r="B129" s="28">
        <v>6.3339000000000006E-2</v>
      </c>
      <c r="C129" s="28">
        <v>4.4269000000000003E-2</v>
      </c>
      <c r="D129" s="28">
        <v>9.5112000000000002E-2</v>
      </c>
      <c r="E129" s="28">
        <v>1.1136E-2</v>
      </c>
      <c r="F129" s="28" t="s">
        <v>59</v>
      </c>
    </row>
    <row r="130" spans="1:6" x14ac:dyDescent="0.2">
      <c r="A130" s="11" t="s">
        <v>272</v>
      </c>
      <c r="B130" s="28">
        <v>-0.27762599999999998</v>
      </c>
      <c r="C130" s="28">
        <v>0.28905500000000001</v>
      </c>
      <c r="D130" s="28">
        <v>0.17333399999999999</v>
      </c>
      <c r="E130" s="28">
        <v>0.91251099999999996</v>
      </c>
      <c r="F130" s="28">
        <v>0.466254</v>
      </c>
    </row>
    <row r="131" spans="1:6" x14ac:dyDescent="0.2">
      <c r="A131" s="11" t="s">
        <v>365</v>
      </c>
      <c r="B131" s="28">
        <v>0.29714400000000002</v>
      </c>
      <c r="C131" s="28">
        <v>0.150449</v>
      </c>
      <c r="D131" s="28">
        <v>7.7542E-2</v>
      </c>
      <c r="E131" s="28">
        <v>9.3853000000000006E-2</v>
      </c>
      <c r="F131" s="28">
        <v>0.137657</v>
      </c>
    </row>
    <row r="132" spans="1:6" x14ac:dyDescent="0.2">
      <c r="A132" s="11" t="s">
        <v>366</v>
      </c>
      <c r="B132" s="28" t="s">
        <v>59</v>
      </c>
      <c r="C132" s="28">
        <v>0.52880700000000003</v>
      </c>
      <c r="D132" s="28">
        <v>-0.14879800000000001</v>
      </c>
      <c r="E132" s="28" t="s">
        <v>59</v>
      </c>
      <c r="F132" s="28">
        <v>-0.22203500000000001</v>
      </c>
    </row>
    <row r="133" spans="1:6" x14ac:dyDescent="0.2">
      <c r="A133" s="11" t="s">
        <v>367</v>
      </c>
      <c r="B133" s="28" t="s">
        <v>59</v>
      </c>
      <c r="C133" s="28">
        <v>0.52296900000000002</v>
      </c>
      <c r="D133" s="28">
        <v>-0.14435500000000001</v>
      </c>
      <c r="E133" s="28" t="s">
        <v>59</v>
      </c>
      <c r="F133" s="28">
        <v>-0.198738</v>
      </c>
    </row>
    <row r="134" spans="1:6" x14ac:dyDescent="0.2">
      <c r="A134" s="11" t="s">
        <v>368</v>
      </c>
      <c r="B134" s="28">
        <v>0.25237599999999999</v>
      </c>
      <c r="C134" s="28">
        <v>0.23614299999999999</v>
      </c>
      <c r="D134" s="28">
        <v>0.240756</v>
      </c>
      <c r="E134" s="28">
        <v>0.240534</v>
      </c>
      <c r="F134" s="28">
        <v>0.242173</v>
      </c>
    </row>
    <row r="135" spans="1:6" x14ac:dyDescent="0.2">
      <c r="A135" s="11"/>
      <c r="B135" s="11"/>
      <c r="C135" s="11"/>
      <c r="D135" s="11"/>
      <c r="E135" s="11"/>
      <c r="F135" s="11"/>
    </row>
    <row r="136" spans="1:6" x14ac:dyDescent="0.2">
      <c r="A136" s="9" t="s">
        <v>371</v>
      </c>
      <c r="B136" s="11"/>
      <c r="C136" s="11"/>
      <c r="D136" s="11"/>
      <c r="E136" s="11"/>
      <c r="F136" s="11"/>
    </row>
    <row r="137" spans="1:6" x14ac:dyDescent="0.2">
      <c r="A137" s="11" t="s">
        <v>85</v>
      </c>
      <c r="B137" s="28">
        <v>0.10969</v>
      </c>
      <c r="C137" s="28">
        <v>0.12345200000000001</v>
      </c>
      <c r="D137" s="28">
        <v>0.12745899999999999</v>
      </c>
      <c r="E137" s="28">
        <v>0.11014500000000001</v>
      </c>
      <c r="F137" s="28">
        <v>0.105445</v>
      </c>
    </row>
    <row r="138" spans="1:6" x14ac:dyDescent="0.2">
      <c r="A138" s="11" t="s">
        <v>87</v>
      </c>
      <c r="B138" s="28">
        <v>-1.9019000000000001E-2</v>
      </c>
      <c r="C138" s="28">
        <v>-1.0612999999999999E-2</v>
      </c>
      <c r="D138" s="28">
        <v>0.161468</v>
      </c>
      <c r="E138" s="28">
        <v>0.141094</v>
      </c>
      <c r="F138" s="28">
        <v>0.110275</v>
      </c>
    </row>
    <row r="139" spans="1:6" x14ac:dyDescent="0.2">
      <c r="A139" s="11" t="s">
        <v>354</v>
      </c>
      <c r="B139" s="28">
        <v>0.215281</v>
      </c>
      <c r="C139" s="28">
        <v>0.172627</v>
      </c>
      <c r="D139" s="28">
        <v>0.18676499999999999</v>
      </c>
      <c r="E139" s="28">
        <v>0.15961500000000001</v>
      </c>
      <c r="F139" s="28">
        <v>0.109477</v>
      </c>
    </row>
    <row r="140" spans="1:6" x14ac:dyDescent="0.2">
      <c r="A140" s="11" t="s">
        <v>355</v>
      </c>
      <c r="B140" s="28">
        <v>0.29330600000000001</v>
      </c>
      <c r="C140" s="28">
        <v>0.19545599999999999</v>
      </c>
      <c r="D140" s="28">
        <v>0.206983</v>
      </c>
      <c r="E140" s="28">
        <v>0.17161499999999999</v>
      </c>
      <c r="F140" s="28">
        <v>0.10786800000000001</v>
      </c>
    </row>
    <row r="141" spans="1:6" x14ac:dyDescent="0.2">
      <c r="A141" s="11" t="s">
        <v>356</v>
      </c>
      <c r="B141" s="28">
        <v>0.29307</v>
      </c>
      <c r="C141" s="28">
        <v>0.19212599999999999</v>
      </c>
      <c r="D141" s="28">
        <v>0.20377200000000001</v>
      </c>
      <c r="E141" s="28">
        <v>0.16877600000000001</v>
      </c>
      <c r="F141" s="28">
        <v>9.5620999999999998E-2</v>
      </c>
    </row>
    <row r="142" spans="1:6" x14ac:dyDescent="0.2">
      <c r="A142" s="11" t="s">
        <v>110</v>
      </c>
      <c r="B142" s="28">
        <v>0.394926</v>
      </c>
      <c r="C142" s="28">
        <v>0.23814199999999999</v>
      </c>
      <c r="D142" s="28">
        <v>0.17699100000000001</v>
      </c>
      <c r="E142" s="28">
        <v>0.15812399999999999</v>
      </c>
      <c r="F142" s="28">
        <v>0.91658600000000001</v>
      </c>
    </row>
    <row r="143" spans="1:6" x14ac:dyDescent="0.2">
      <c r="A143" s="11" t="s">
        <v>115</v>
      </c>
      <c r="B143" s="28">
        <v>0.39547900000000002</v>
      </c>
      <c r="C143" s="28">
        <v>0.238678</v>
      </c>
      <c r="D143" s="28">
        <v>0.17732500000000001</v>
      </c>
      <c r="E143" s="28">
        <v>0.15825800000000001</v>
      </c>
      <c r="F143" s="28">
        <v>0.91762100000000002</v>
      </c>
    </row>
    <row r="144" spans="1:6" x14ac:dyDescent="0.2">
      <c r="A144" s="11" t="s">
        <v>357</v>
      </c>
      <c r="B144" s="28">
        <v>0.28085700000000002</v>
      </c>
      <c r="C144" s="28">
        <v>0.185087</v>
      </c>
      <c r="D144" s="28">
        <v>0.19461700000000001</v>
      </c>
      <c r="E144" s="28">
        <v>0.16425899999999999</v>
      </c>
      <c r="F144" s="28">
        <v>8.2405000000000006E-2</v>
      </c>
    </row>
    <row r="145" spans="1:6" x14ac:dyDescent="0.2">
      <c r="A145" s="11" t="s">
        <v>358</v>
      </c>
      <c r="B145" s="28">
        <v>0.390183</v>
      </c>
      <c r="C145" s="28">
        <v>0.24032600000000001</v>
      </c>
      <c r="D145" s="28">
        <v>0.185915</v>
      </c>
      <c r="E145" s="28">
        <v>0.17092399999999999</v>
      </c>
      <c r="F145" s="28">
        <v>0.96297999999999995</v>
      </c>
    </row>
    <row r="146" spans="1:6" x14ac:dyDescent="0.2">
      <c r="A146" s="11"/>
      <c r="B146" s="11"/>
      <c r="C146" s="11"/>
      <c r="D146" s="11"/>
      <c r="E146" s="11"/>
      <c r="F146" s="11"/>
    </row>
    <row r="147" spans="1:6" x14ac:dyDescent="0.2">
      <c r="A147" s="11" t="s">
        <v>359</v>
      </c>
      <c r="B147" s="28">
        <v>0.18416399999999999</v>
      </c>
      <c r="C147" s="28">
        <v>0.18889400000000001</v>
      </c>
      <c r="D147" s="28">
        <v>0.14744699999999999</v>
      </c>
      <c r="E147" s="28">
        <v>0.12365900000000001</v>
      </c>
      <c r="F147" s="28">
        <v>4.1104000000000002E-2</v>
      </c>
    </row>
    <row r="148" spans="1:6" x14ac:dyDescent="0.2">
      <c r="A148" s="11" t="s">
        <v>360</v>
      </c>
      <c r="B148" s="28">
        <v>0.104093</v>
      </c>
      <c r="C148" s="28">
        <v>0.19181100000000001</v>
      </c>
      <c r="D148" s="28">
        <v>7.3751999999999998E-2</v>
      </c>
      <c r="E148" s="28">
        <v>1.8998000000000001E-2</v>
      </c>
      <c r="F148" s="28">
        <v>7.5059000000000001E-2</v>
      </c>
    </row>
    <row r="149" spans="1:6" x14ac:dyDescent="0.2">
      <c r="A149" s="11" t="s">
        <v>361</v>
      </c>
      <c r="B149" s="28">
        <v>6.7678000000000002E-2</v>
      </c>
      <c r="C149" s="28">
        <v>0.11089</v>
      </c>
      <c r="D149" s="28">
        <v>0.13997200000000001</v>
      </c>
      <c r="E149" s="28">
        <v>0.13095100000000001</v>
      </c>
      <c r="F149" s="28">
        <v>0.13312099999999999</v>
      </c>
    </row>
    <row r="150" spans="1:6" x14ac:dyDescent="0.2">
      <c r="A150" s="11" t="s">
        <v>362</v>
      </c>
      <c r="B150" s="28">
        <v>0.140323</v>
      </c>
      <c r="C150" s="28">
        <v>0.142231</v>
      </c>
      <c r="D150" s="28">
        <v>0.14225399999999999</v>
      </c>
      <c r="E150" s="28">
        <v>0.118147</v>
      </c>
      <c r="F150" s="28">
        <v>0.14271</v>
      </c>
    </row>
    <row r="151" spans="1:6" x14ac:dyDescent="0.2">
      <c r="A151" s="11"/>
      <c r="B151" s="11"/>
      <c r="C151" s="11"/>
      <c r="D151" s="11"/>
      <c r="E151" s="11"/>
      <c r="F151" s="11"/>
    </row>
    <row r="152" spans="1:6" x14ac:dyDescent="0.2">
      <c r="A152" s="11" t="s">
        <v>363</v>
      </c>
      <c r="B152" s="28">
        <v>8.7891999999999998E-2</v>
      </c>
      <c r="C152" s="28">
        <v>2.1812999999999999E-2</v>
      </c>
      <c r="D152" s="28">
        <v>-1.5845999999999999E-2</v>
      </c>
      <c r="E152" s="28">
        <v>-5.3453000000000001E-2</v>
      </c>
      <c r="F152" s="28" t="s">
        <v>59</v>
      </c>
    </row>
    <row r="153" spans="1:6" x14ac:dyDescent="0.2">
      <c r="A153" s="11" t="s">
        <v>364</v>
      </c>
      <c r="B153" s="28">
        <v>0.115983</v>
      </c>
      <c r="C153" s="28">
        <v>9.6252000000000004E-2</v>
      </c>
      <c r="D153" s="28">
        <v>6.0578E-2</v>
      </c>
      <c r="E153" s="28">
        <v>1.3010000000000001E-2</v>
      </c>
      <c r="F153" s="28" t="s">
        <v>59</v>
      </c>
    </row>
    <row r="154" spans="1:6" x14ac:dyDescent="0.2">
      <c r="A154" s="11" t="s">
        <v>272</v>
      </c>
      <c r="B154" s="28">
        <v>-0.15236</v>
      </c>
      <c r="C154" s="28">
        <v>0.17069999999999999</v>
      </c>
      <c r="D154" s="28">
        <v>0.23847199999999999</v>
      </c>
      <c r="E154" s="28">
        <v>0.194241</v>
      </c>
      <c r="F154" s="28">
        <v>0.95321299999999998</v>
      </c>
    </row>
    <row r="155" spans="1:6" x14ac:dyDescent="0.2">
      <c r="A155" s="11" t="s">
        <v>365</v>
      </c>
      <c r="B155" s="28">
        <v>0.21107200000000001</v>
      </c>
      <c r="C155" s="28">
        <v>0.23938899999999999</v>
      </c>
      <c r="D155" s="28">
        <v>0.22046299999999999</v>
      </c>
      <c r="E155" s="28">
        <v>0.12155199999999999</v>
      </c>
      <c r="F155" s="28">
        <v>0.11215700000000001</v>
      </c>
    </row>
    <row r="156" spans="1:6" x14ac:dyDescent="0.2">
      <c r="A156" s="11" t="s">
        <v>366</v>
      </c>
      <c r="B156" s="28" t="s">
        <v>59</v>
      </c>
      <c r="C156" s="28">
        <v>0.13316</v>
      </c>
      <c r="D156" s="28">
        <v>0.21518100000000001</v>
      </c>
      <c r="E156" s="28">
        <v>0.246673</v>
      </c>
      <c r="F156" s="28">
        <v>-4.5392000000000002E-2</v>
      </c>
    </row>
    <row r="157" spans="1:6" x14ac:dyDescent="0.2">
      <c r="A157" s="11" t="s">
        <v>367</v>
      </c>
      <c r="B157" s="28" t="s">
        <v>59</v>
      </c>
      <c r="C157" s="28">
        <v>0.13369200000000001</v>
      </c>
      <c r="D157" s="28">
        <v>0.21477299999999999</v>
      </c>
      <c r="E157" s="28">
        <v>0.24623800000000001</v>
      </c>
      <c r="F157" s="28">
        <v>-2.7890999999999999E-2</v>
      </c>
    </row>
    <row r="158" spans="1:6" x14ac:dyDescent="0.2">
      <c r="A158" s="11" t="s">
        <v>368</v>
      </c>
      <c r="B158" s="22" t="s">
        <v>133</v>
      </c>
      <c r="C158" s="28">
        <v>0.30451</v>
      </c>
      <c r="D158" s="28">
        <v>0.24868299999999999</v>
      </c>
      <c r="E158" s="28">
        <v>0.238732</v>
      </c>
      <c r="F158" s="28">
        <v>0.24038399999999999</v>
      </c>
    </row>
    <row r="159" spans="1:6" x14ac:dyDescent="0.2">
      <c r="A159" s="11"/>
      <c r="B159" s="11"/>
      <c r="C159" s="11"/>
      <c r="D159" s="11"/>
      <c r="E159" s="11"/>
      <c r="F159" s="11"/>
    </row>
    <row r="160" spans="1:6" ht="67.5" x14ac:dyDescent="0.2">
      <c r="A160" s="35" t="s">
        <v>61</v>
      </c>
      <c r="B160" s="12"/>
      <c r="C160" s="12"/>
      <c r="D160" s="12"/>
      <c r="E160" s="12"/>
      <c r="F160"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H50"/>
  <sheetViews>
    <sheetView workbookViewId="0">
      <selection sqref="A1:G1"/>
    </sheetView>
  </sheetViews>
  <sheetFormatPr defaultRowHeight="11.25" x14ac:dyDescent="0.2"/>
  <cols>
    <col min="1" max="1" width="38" customWidth="1"/>
    <col min="2" max="8" width="11" customWidth="1"/>
  </cols>
  <sheetData>
    <row r="1" spans="1:8" ht="18" x14ac:dyDescent="0.25">
      <c r="A1" s="196" t="s">
        <v>405</v>
      </c>
      <c r="B1" s="196"/>
      <c r="C1" s="196"/>
      <c r="D1" s="196"/>
      <c r="E1" s="196"/>
      <c r="F1" s="196"/>
      <c r="G1" s="196"/>
      <c r="H1" s="37"/>
    </row>
    <row r="2" spans="1:8" ht="12.75" x14ac:dyDescent="0.2">
      <c r="A2" s="37" t="s">
        <v>406</v>
      </c>
      <c r="B2" s="46">
        <v>0.1</v>
      </c>
      <c r="C2" s="37"/>
      <c r="D2" s="37"/>
      <c r="E2" s="37"/>
      <c r="F2" s="37"/>
      <c r="G2" s="37"/>
      <c r="H2" s="37"/>
    </row>
    <row r="3" spans="1:8" ht="12.75" x14ac:dyDescent="0.2">
      <c r="A3" s="37" t="s">
        <v>407</v>
      </c>
      <c r="B3" s="46">
        <v>0.15</v>
      </c>
      <c r="C3" s="37"/>
      <c r="D3" s="37"/>
      <c r="E3" s="37"/>
      <c r="F3" s="37"/>
      <c r="G3" s="37"/>
      <c r="H3" s="37"/>
    </row>
    <row r="4" spans="1:8" ht="12.75" x14ac:dyDescent="0.2">
      <c r="A4" s="37" t="s">
        <v>372</v>
      </c>
      <c r="B4" s="46">
        <v>0.08</v>
      </c>
      <c r="C4" s="37"/>
      <c r="D4" s="37"/>
      <c r="E4" s="37"/>
      <c r="F4" s="37"/>
      <c r="G4" s="37"/>
      <c r="H4" s="37"/>
    </row>
    <row r="5" spans="1:8" ht="12.75" x14ac:dyDescent="0.2">
      <c r="A5" s="37" t="s">
        <v>373</v>
      </c>
      <c r="B5" s="46">
        <v>0.77</v>
      </c>
      <c r="C5" s="37"/>
      <c r="D5" s="37"/>
      <c r="E5" s="37"/>
      <c r="F5" s="37"/>
      <c r="G5" s="37"/>
      <c r="H5" s="37"/>
    </row>
    <row r="6" spans="1:8" ht="12.75" x14ac:dyDescent="0.2">
      <c r="A6" s="37" t="s">
        <v>374</v>
      </c>
      <c r="B6" s="46">
        <v>0.5</v>
      </c>
      <c r="C6" s="37"/>
      <c r="D6" s="37"/>
      <c r="E6" s="37"/>
      <c r="F6" s="37"/>
      <c r="G6" s="37"/>
      <c r="H6" s="37"/>
    </row>
    <row r="7" spans="1:8" ht="12.75" x14ac:dyDescent="0.2">
      <c r="A7" s="37" t="s">
        <v>375</v>
      </c>
      <c r="B7" s="46">
        <v>0.1</v>
      </c>
      <c r="C7" s="37"/>
      <c r="D7" s="37"/>
      <c r="E7" s="37"/>
      <c r="F7" s="37"/>
      <c r="G7" s="189" t="s">
        <v>608</v>
      </c>
      <c r="H7" s="37"/>
    </row>
    <row r="8" spans="1:8" ht="12.75" x14ac:dyDescent="0.2">
      <c r="A8" s="37" t="s">
        <v>376</v>
      </c>
      <c r="B8" s="47">
        <v>0.1</v>
      </c>
      <c r="C8" s="37"/>
      <c r="D8" s="37"/>
      <c r="E8" s="37"/>
      <c r="F8" s="37"/>
      <c r="G8" s="37"/>
      <c r="H8" s="37"/>
    </row>
    <row r="9" spans="1:8" ht="12.75" x14ac:dyDescent="0.2">
      <c r="A9" s="37" t="s">
        <v>377</v>
      </c>
      <c r="B9" s="47">
        <v>0.08</v>
      </c>
      <c r="C9" s="37"/>
      <c r="D9" s="37"/>
      <c r="E9" s="37"/>
      <c r="F9" s="37"/>
      <c r="G9" s="37"/>
      <c r="H9" s="37"/>
    </row>
    <row r="10" spans="1:8" ht="12.75" x14ac:dyDescent="0.2">
      <c r="A10" s="37" t="s">
        <v>378</v>
      </c>
      <c r="B10" s="38">
        <f>'#Income Statement#'!F87</f>
        <v>0.19020699999999999</v>
      </c>
      <c r="C10" s="37"/>
      <c r="D10" s="37"/>
      <c r="E10" s="37"/>
      <c r="F10" s="37"/>
      <c r="G10" s="37"/>
      <c r="H10" s="37"/>
    </row>
    <row r="11" spans="1:8" ht="12.75" x14ac:dyDescent="0.2">
      <c r="A11" s="37" t="s">
        <v>379</v>
      </c>
      <c r="B11" s="38">
        <f>'#Income Statement#'!F79</f>
        <v>0.58176700000000003</v>
      </c>
      <c r="C11" s="37"/>
      <c r="D11" s="37"/>
      <c r="E11" s="37"/>
      <c r="F11" s="37"/>
      <c r="G11" s="37"/>
      <c r="H11" s="37"/>
    </row>
    <row r="12" spans="1:8" ht="12.75" x14ac:dyDescent="0.2">
      <c r="A12" s="37"/>
      <c r="B12" s="37"/>
      <c r="C12" s="37"/>
      <c r="D12" s="37"/>
      <c r="E12" s="37"/>
      <c r="F12" s="37"/>
      <c r="G12" s="37"/>
      <c r="H12" s="37"/>
    </row>
    <row r="13" spans="1:8" ht="12.75" x14ac:dyDescent="0.2">
      <c r="A13" s="39" t="s">
        <v>380</v>
      </c>
      <c r="B13" s="40">
        <v>0</v>
      </c>
      <c r="C13" s="40">
        <v>1</v>
      </c>
      <c r="D13" s="40">
        <v>2</v>
      </c>
      <c r="E13" s="40">
        <v>3</v>
      </c>
      <c r="F13" s="40">
        <v>4</v>
      </c>
      <c r="G13" s="40">
        <v>5</v>
      </c>
      <c r="H13" s="39"/>
    </row>
    <row r="14" spans="1:8" ht="12.75" x14ac:dyDescent="0.2">
      <c r="A14" s="39" t="s">
        <v>381</v>
      </c>
      <c r="B14" s="37"/>
      <c r="C14" s="37"/>
      <c r="D14" s="37"/>
      <c r="E14" s="37"/>
      <c r="F14" s="37"/>
      <c r="G14" s="37"/>
      <c r="H14" s="37"/>
    </row>
    <row r="15" spans="1:8" ht="12.75" x14ac:dyDescent="0.2">
      <c r="A15" s="37" t="s">
        <v>382</v>
      </c>
      <c r="B15" s="41">
        <f>'#Income Statement#'!F19</f>
        <v>25278.5</v>
      </c>
      <c r="C15" s="41">
        <f>B15*(1+$B$2)</f>
        <v>27806.350000000002</v>
      </c>
      <c r="D15" s="41">
        <f>C15*(1+$B$2)</f>
        <v>30586.985000000004</v>
      </c>
      <c r="E15" s="41">
        <f>D15*(1+$B$2)</f>
        <v>33645.683500000006</v>
      </c>
      <c r="F15" s="41">
        <f>E15*(1+$B$2)</f>
        <v>37010.251850000008</v>
      </c>
      <c r="G15" s="41">
        <f>F15*(1+$B$2)</f>
        <v>40711.277035000014</v>
      </c>
      <c r="H15" s="41"/>
    </row>
    <row r="16" spans="1:8" ht="12.75" x14ac:dyDescent="0.2">
      <c r="A16" s="37" t="s">
        <v>383</v>
      </c>
      <c r="B16" s="41">
        <f t="shared" ref="B16:G16" si="0">-B15*$B$6</f>
        <v>-12639.25</v>
      </c>
      <c r="C16" s="41">
        <f t="shared" si="0"/>
        <v>-13903.175000000001</v>
      </c>
      <c r="D16" s="41">
        <f t="shared" si="0"/>
        <v>-15293.492500000002</v>
      </c>
      <c r="E16" s="41">
        <f t="shared" si="0"/>
        <v>-16822.841750000003</v>
      </c>
      <c r="F16" s="41">
        <f t="shared" si="0"/>
        <v>-18505.125925000004</v>
      </c>
      <c r="G16" s="41">
        <f t="shared" si="0"/>
        <v>-20355.638517500007</v>
      </c>
      <c r="H16" s="41"/>
    </row>
    <row r="17" spans="1:8" ht="12.75" x14ac:dyDescent="0.2">
      <c r="A17" s="37" t="s">
        <v>384</v>
      </c>
      <c r="B17" s="41">
        <f>-$B$8*B36</f>
        <v>-2880.8540000000003</v>
      </c>
      <c r="C17" s="41">
        <f>-$B$8*(B36+C36)/2</f>
        <v>-2880.8540000000003</v>
      </c>
      <c r="D17" s="41">
        <f>-$B$8*(C36+D36)/2</f>
        <v>-2880.8540000000003</v>
      </c>
      <c r="E17" s="41">
        <f>-$B$8*(D36+E36)/2</f>
        <v>-2880.8540000000003</v>
      </c>
      <c r="F17" s="41">
        <f>-$B$8*(E36+F36)/2</f>
        <v>-2880.8540000000003</v>
      </c>
      <c r="G17" s="41">
        <f>-$B$8*(F36+G36)/2</f>
        <v>-2880.8540000000003</v>
      </c>
      <c r="H17" s="41"/>
    </row>
    <row r="18" spans="1:8" ht="12.75" x14ac:dyDescent="0.2">
      <c r="A18" s="37" t="s">
        <v>385</v>
      </c>
      <c r="B18" s="41">
        <f>$B$9*B27</f>
        <v>399.34400000000005</v>
      </c>
      <c r="C18" s="41">
        <f>$B$9*(B27+C27)/2</f>
        <v>467.56031083874188</v>
      </c>
      <c r="D18" s="41">
        <f>$B$9*(C27+D27)/2</f>
        <v>580.63798352108176</v>
      </c>
      <c r="E18" s="41">
        <f>$B$9*(D27+E27)/2</f>
        <v>675.44563344403684</v>
      </c>
      <c r="F18" s="41">
        <f>$B$9*(E27+F27)/2</f>
        <v>825.50897380440233</v>
      </c>
      <c r="G18" s="41">
        <f>$B$9*(F27+G27)/2</f>
        <v>1039.1754733677876</v>
      </c>
      <c r="H18" s="41"/>
    </row>
    <row r="19" spans="1:8" ht="12.75" x14ac:dyDescent="0.2">
      <c r="A19" s="37" t="s">
        <v>386</v>
      </c>
      <c r="B19" s="41">
        <f>-'#Income Statement#'!F26</f>
        <v>-1321.6</v>
      </c>
      <c r="C19" s="41">
        <f>-$B$7*(C30+B30)/2</f>
        <v>-2174.8522499999999</v>
      </c>
      <c r="D19" s="41">
        <f>-$B$7*(D30+C30)/2</f>
        <v>-2493.1489225000005</v>
      </c>
      <c r="E19" s="41">
        <f>-$B$7*(E30+D30)/2</f>
        <v>-2963.0989225000003</v>
      </c>
      <c r="F19" s="41">
        <f>-$B$7*(F30+E30)/2</f>
        <v>-3075.6000000000004</v>
      </c>
      <c r="G19" s="41">
        <f>-$B$7*(G30+F30)/2</f>
        <v>-3093.7000000000003</v>
      </c>
      <c r="H19" s="41"/>
    </row>
    <row r="20" spans="1:8" ht="12.75" x14ac:dyDescent="0.2">
      <c r="A20" s="37" t="s">
        <v>387</v>
      </c>
      <c r="B20" s="41">
        <f t="shared" ref="B20" si="1">SUM(B15:B19)</f>
        <v>8836.1400000000012</v>
      </c>
      <c r="C20" s="41">
        <f>SUM(27806-13903-2607+9)</f>
        <v>11305</v>
      </c>
      <c r="D20" s="41">
        <f>SUM(30587-15293-2607+14-2493)</f>
        <v>10208</v>
      </c>
      <c r="E20" s="41">
        <f>SUM(33646-16823-2607+20-2963)</f>
        <v>11273</v>
      </c>
      <c r="F20" s="41">
        <f>SUM(37010-18505-2607+26-189)</f>
        <v>15735</v>
      </c>
      <c r="G20" s="41">
        <f>SUM(40711-20356-2607+33-220)</f>
        <v>17561</v>
      </c>
      <c r="H20" s="41"/>
    </row>
    <row r="21" spans="1:8" ht="12.75" x14ac:dyDescent="0.2">
      <c r="A21" s="37" t="s">
        <v>388</v>
      </c>
      <c r="B21" s="41">
        <f t="shared" ref="B21:G21" si="2">-B20*$B$10</f>
        <v>-1680.6956809800001</v>
      </c>
      <c r="C21" s="41">
        <f t="shared" si="2"/>
        <v>-2150.2901349999997</v>
      </c>
      <c r="D21" s="41">
        <f t="shared" si="2"/>
        <v>-1941.6330559999999</v>
      </c>
      <c r="E21" s="41">
        <f t="shared" si="2"/>
        <v>-2144.2035109999997</v>
      </c>
      <c r="F21" s="41">
        <f t="shared" si="2"/>
        <v>-2992.9071449999997</v>
      </c>
      <c r="G21" s="41">
        <f t="shared" si="2"/>
        <v>-3340.2251269999997</v>
      </c>
      <c r="H21" s="41"/>
    </row>
    <row r="22" spans="1:8" ht="12.75" x14ac:dyDescent="0.2">
      <c r="A22" s="37" t="s">
        <v>389</v>
      </c>
      <c r="B22" s="41">
        <f t="shared" ref="B22:G22" si="3">B21+B20</f>
        <v>7155.4443190200009</v>
      </c>
      <c r="C22" s="41">
        <f t="shared" si="3"/>
        <v>9154.7098650000007</v>
      </c>
      <c r="D22" s="41">
        <f t="shared" si="3"/>
        <v>8266.3669439999994</v>
      </c>
      <c r="E22" s="41">
        <f t="shared" si="3"/>
        <v>9128.7964890000003</v>
      </c>
      <c r="F22" s="41">
        <f t="shared" si="3"/>
        <v>12742.092855000001</v>
      </c>
      <c r="G22" s="41">
        <f t="shared" si="3"/>
        <v>14220.774873</v>
      </c>
      <c r="H22" s="41"/>
    </row>
    <row r="23" spans="1:8" ht="12.75" x14ac:dyDescent="0.2">
      <c r="A23" s="37" t="s">
        <v>390</v>
      </c>
      <c r="B23" s="41">
        <f>-B22*$B$11</f>
        <v>-4162.8013751433091</v>
      </c>
      <c r="C23" s="41">
        <f>-$B$11*C22</f>
        <v>-5325.9080940314561</v>
      </c>
      <c r="D23" s="41">
        <f>-$B$11*D22</f>
        <v>-4809.0994979100478</v>
      </c>
      <c r="E23" s="41">
        <f>-$B$11*E22</f>
        <v>-5310.8325470160635</v>
      </c>
      <c r="F23" s="41">
        <f>-$B$11*F22</f>
        <v>-7412.9291339747861</v>
      </c>
      <c r="G23" s="41">
        <f>-$B$11*G22</f>
        <v>-8273.1775355405916</v>
      </c>
      <c r="H23" s="41"/>
    </row>
    <row r="24" spans="1:8" ht="12.75" x14ac:dyDescent="0.2">
      <c r="A24" s="37" t="s">
        <v>391</v>
      </c>
      <c r="B24" s="41">
        <f t="shared" ref="B24:G24" si="4">B23+B22</f>
        <v>2992.6429438766918</v>
      </c>
      <c r="C24" s="41">
        <f t="shared" si="4"/>
        <v>3828.8017709685446</v>
      </c>
      <c r="D24" s="41">
        <f t="shared" si="4"/>
        <v>3457.2674460899516</v>
      </c>
      <c r="E24" s="41">
        <f t="shared" si="4"/>
        <v>3817.9639419839368</v>
      </c>
      <c r="F24" s="41">
        <f t="shared" si="4"/>
        <v>5329.1637210252147</v>
      </c>
      <c r="G24" s="41">
        <f t="shared" si="4"/>
        <v>5947.5973374594087</v>
      </c>
      <c r="H24" s="41"/>
    </row>
    <row r="25" spans="1:8" ht="12.75" x14ac:dyDescent="0.2">
      <c r="A25" s="37"/>
      <c r="B25" s="41"/>
      <c r="C25" s="41"/>
      <c r="D25" s="41"/>
      <c r="E25" s="41"/>
      <c r="F25" s="41"/>
      <c r="G25" s="41"/>
      <c r="H25" s="41"/>
    </row>
    <row r="26" spans="1:8" ht="12.75" x14ac:dyDescent="0.2">
      <c r="A26" s="39" t="s">
        <v>392</v>
      </c>
      <c r="B26" s="41"/>
      <c r="C26" s="41"/>
      <c r="D26" s="41"/>
      <c r="E26" s="41"/>
      <c r="F26" s="41"/>
      <c r="G26" s="41"/>
      <c r="H26" s="41"/>
    </row>
    <row r="27" spans="1:8" ht="12.75" x14ac:dyDescent="0.2">
      <c r="A27" s="42" t="s">
        <v>393</v>
      </c>
      <c r="B27" s="41">
        <f>'#Balance Sheet#'!F19</f>
        <v>4991.8</v>
      </c>
      <c r="C27" s="41">
        <f>C39-C28-C32</f>
        <v>6697.2077709685473</v>
      </c>
      <c r="D27" s="41">
        <f>D39-D28-D32</f>
        <v>7818.741817058497</v>
      </c>
      <c r="E27" s="41">
        <f>E39-E28-E32</f>
        <v>9067.3990190424229</v>
      </c>
      <c r="F27" s="41">
        <f>F39-F28-F32</f>
        <v>11570.325326067636</v>
      </c>
      <c r="G27" s="41">
        <f>G39-G28-G32</f>
        <v>14409.061508127052</v>
      </c>
      <c r="H27" s="41"/>
    </row>
    <row r="28" spans="1:8" ht="12.75" x14ac:dyDescent="0.2">
      <c r="A28" s="37" t="s">
        <v>394</v>
      </c>
      <c r="B28" s="41">
        <f>$B$3*B15</f>
        <v>3791.7749999999996</v>
      </c>
      <c r="C28" s="41">
        <f>C15*$B$3</f>
        <v>4170.9525000000003</v>
      </c>
      <c r="D28" s="41">
        <f>D15*$B$3</f>
        <v>4588.0477500000006</v>
      </c>
      <c r="E28" s="41">
        <f>E15*$B$3</f>
        <v>5046.8525250000012</v>
      </c>
      <c r="F28" s="41">
        <f>F15*$B$3</f>
        <v>5551.5377775000006</v>
      </c>
      <c r="G28" s="41">
        <f>G15*$B$3</f>
        <v>6106.6915552500022</v>
      </c>
      <c r="H28" s="41"/>
    </row>
    <row r="29" spans="1:8" ht="12.75" x14ac:dyDescent="0.2">
      <c r="A29" s="37" t="s">
        <v>395</v>
      </c>
      <c r="B29" s="41"/>
      <c r="C29" s="41"/>
      <c r="D29" s="41"/>
      <c r="E29" s="41"/>
      <c r="F29" s="41"/>
      <c r="G29" s="41"/>
      <c r="H29" s="41"/>
    </row>
    <row r="30" spans="1:8" ht="12.75" x14ac:dyDescent="0.2">
      <c r="A30" s="37" t="s">
        <v>396</v>
      </c>
      <c r="B30" s="41">
        <f t="shared" ref="B30" si="5">B32-B31</f>
        <v>20786.044999999998</v>
      </c>
      <c r="C30" s="41">
        <f>21411+1300</f>
        <v>22711</v>
      </c>
      <c r="D30" s="41">
        <f>D32+3600</f>
        <v>27151.978450000002</v>
      </c>
      <c r="E30" s="41">
        <f>25907+6203</f>
        <v>32110</v>
      </c>
      <c r="F30" s="41">
        <f>28498+904</f>
        <v>29402</v>
      </c>
      <c r="G30" s="48">
        <f>31348+1124</f>
        <v>32472</v>
      </c>
      <c r="H30" s="41"/>
    </row>
    <row r="31" spans="1:8" ht="12.75" x14ac:dyDescent="0.2">
      <c r="A31" s="37" t="s">
        <v>397</v>
      </c>
      <c r="B31" s="41">
        <f>-'#Income Statement#'!F26</f>
        <v>-1321.6</v>
      </c>
      <c r="C31" s="41">
        <f>B31+C19</f>
        <v>-3496.4522499999998</v>
      </c>
      <c r="D31" s="41">
        <f>C31+D19</f>
        <v>-5989.6011725000008</v>
      </c>
      <c r="E31" s="41">
        <f>D31+E19</f>
        <v>-8952.7000950000001</v>
      </c>
      <c r="F31" s="41">
        <f>E31+F19</f>
        <v>-12028.300095000001</v>
      </c>
      <c r="G31" s="41">
        <f>F31+G19</f>
        <v>-15122.000095000001</v>
      </c>
      <c r="H31" s="41"/>
    </row>
    <row r="32" spans="1:8" ht="12.75" x14ac:dyDescent="0.2">
      <c r="A32" s="37" t="s">
        <v>398</v>
      </c>
      <c r="B32" s="41">
        <f t="shared" ref="B32:G32" si="6">B15*$B$5</f>
        <v>19464.445</v>
      </c>
      <c r="C32" s="41">
        <f t="shared" si="6"/>
        <v>21410.889500000001</v>
      </c>
      <c r="D32" s="41">
        <f t="shared" si="6"/>
        <v>23551.978450000002</v>
      </c>
      <c r="E32" s="41">
        <f t="shared" si="6"/>
        <v>25907.176295000005</v>
      </c>
      <c r="F32" s="41">
        <f t="shared" si="6"/>
        <v>28497.893924500007</v>
      </c>
      <c r="G32" s="41">
        <f t="shared" si="6"/>
        <v>31347.68331695001</v>
      </c>
      <c r="H32" s="41"/>
    </row>
    <row r="33" spans="1:8" ht="12.75" x14ac:dyDescent="0.2">
      <c r="A33" s="39" t="s">
        <v>399</v>
      </c>
      <c r="B33" s="41">
        <f>B27+B28+B32</f>
        <v>28248.02</v>
      </c>
      <c r="C33" s="41">
        <f>C32+C28+C27</f>
        <v>32279.049770968548</v>
      </c>
      <c r="D33" s="41">
        <f>D32+D28+D27</f>
        <v>35958.768017058501</v>
      </c>
      <c r="E33" s="41">
        <f>E32+E28+E27</f>
        <v>40021.42783904243</v>
      </c>
      <c r="F33" s="41">
        <f>F32+F28+F27</f>
        <v>45619.757028067645</v>
      </c>
      <c r="G33" s="41">
        <f>G32+G28+G27</f>
        <v>51863.436380327061</v>
      </c>
      <c r="H33" s="41"/>
    </row>
    <row r="34" spans="1:8" ht="12.75" x14ac:dyDescent="0.2">
      <c r="A34" s="37"/>
      <c r="B34" s="41"/>
      <c r="C34" s="41"/>
      <c r="D34" s="41"/>
      <c r="E34" s="41"/>
      <c r="F34" s="41"/>
      <c r="G34" s="41"/>
      <c r="H34" s="41"/>
    </row>
    <row r="35" spans="1:8" ht="12.75" x14ac:dyDescent="0.2">
      <c r="A35" s="37" t="s">
        <v>400</v>
      </c>
      <c r="B35" s="41">
        <f t="shared" ref="B35:G35" si="7">B15*$B$4</f>
        <v>2022.28</v>
      </c>
      <c r="C35" s="41">
        <f t="shared" si="7"/>
        <v>2224.5080000000003</v>
      </c>
      <c r="D35" s="41">
        <f t="shared" si="7"/>
        <v>2446.9588000000003</v>
      </c>
      <c r="E35" s="41">
        <f t="shared" si="7"/>
        <v>2691.6546800000006</v>
      </c>
      <c r="F35" s="41">
        <f t="shared" si="7"/>
        <v>2960.8201480000007</v>
      </c>
      <c r="G35" s="41">
        <f t="shared" si="7"/>
        <v>3256.902162800001</v>
      </c>
      <c r="H35" s="41"/>
    </row>
    <row r="36" spans="1:8" ht="12.75" x14ac:dyDescent="0.2">
      <c r="A36" s="37" t="s">
        <v>401</v>
      </c>
      <c r="B36" s="41">
        <f>B33-B35-B37-B38</f>
        <v>28808.54</v>
      </c>
      <c r="C36" s="41">
        <f t="shared" ref="C36:G37" si="8">B36</f>
        <v>28808.54</v>
      </c>
      <c r="D36" s="41">
        <f t="shared" si="8"/>
        <v>28808.54</v>
      </c>
      <c r="E36" s="41">
        <f t="shared" si="8"/>
        <v>28808.54</v>
      </c>
      <c r="F36" s="41">
        <f t="shared" si="8"/>
        <v>28808.54</v>
      </c>
      <c r="G36" s="41">
        <f t="shared" si="8"/>
        <v>28808.54</v>
      </c>
      <c r="H36" s="41"/>
    </row>
    <row r="37" spans="1:8" ht="12.75" x14ac:dyDescent="0.2">
      <c r="A37" s="37" t="s">
        <v>402</v>
      </c>
      <c r="B37" s="41">
        <f>'#Balance Sheet#'!F58</f>
        <v>1.2</v>
      </c>
      <c r="C37" s="41">
        <f t="shared" si="8"/>
        <v>1.2</v>
      </c>
      <c r="D37" s="41">
        <f t="shared" si="8"/>
        <v>1.2</v>
      </c>
      <c r="E37" s="41">
        <f t="shared" si="8"/>
        <v>1.2</v>
      </c>
      <c r="F37" s="41">
        <f t="shared" si="8"/>
        <v>1.2</v>
      </c>
      <c r="G37" s="41">
        <f t="shared" si="8"/>
        <v>1.2</v>
      </c>
      <c r="H37" s="41"/>
    </row>
    <row r="38" spans="1:8" ht="12.75" x14ac:dyDescent="0.2">
      <c r="A38" s="37" t="s">
        <v>403</v>
      </c>
      <c r="B38" s="41">
        <f>'#Balance Sheet#'!F60</f>
        <v>-2584</v>
      </c>
      <c r="C38" s="41">
        <f>B38+C24</f>
        <v>1244.8017709685446</v>
      </c>
      <c r="D38" s="41">
        <f>C38+D24</f>
        <v>4702.0692170584962</v>
      </c>
      <c r="E38" s="41">
        <f>D38+E24</f>
        <v>8520.0331590424321</v>
      </c>
      <c r="F38" s="41">
        <f>E38+F24</f>
        <v>13849.196880067648</v>
      </c>
      <c r="G38" s="41">
        <f>F38+G24</f>
        <v>19796.794217527058</v>
      </c>
      <c r="H38" s="41"/>
    </row>
    <row r="39" spans="1:8" ht="12.75" x14ac:dyDescent="0.2">
      <c r="A39" s="39" t="s">
        <v>404</v>
      </c>
      <c r="B39" s="41">
        <f t="shared" ref="B39:G39" si="9">SUM(B35:B38)</f>
        <v>28248.02</v>
      </c>
      <c r="C39" s="41">
        <f t="shared" si="9"/>
        <v>32279.049770968548</v>
      </c>
      <c r="D39" s="41">
        <f t="shared" si="9"/>
        <v>35958.768017058501</v>
      </c>
      <c r="E39" s="41">
        <f t="shared" si="9"/>
        <v>40021.42783904243</v>
      </c>
      <c r="F39" s="41">
        <f t="shared" si="9"/>
        <v>45619.757028067645</v>
      </c>
      <c r="G39" s="41">
        <f t="shared" si="9"/>
        <v>51863.436380327061</v>
      </c>
      <c r="H39" s="41"/>
    </row>
    <row r="40" spans="1:8" ht="12.75" x14ac:dyDescent="0.2">
      <c r="A40" s="37"/>
      <c r="B40" s="37"/>
      <c r="C40" s="37"/>
      <c r="D40" s="37"/>
      <c r="E40" s="37"/>
      <c r="F40" s="37"/>
      <c r="G40" s="37"/>
      <c r="H40" s="41"/>
    </row>
    <row r="41" spans="1:8" ht="12.75" x14ac:dyDescent="0.2">
      <c r="A41" s="43" t="s">
        <v>380</v>
      </c>
      <c r="B41" s="44">
        <v>0</v>
      </c>
      <c r="C41" s="44">
        <v>1</v>
      </c>
      <c r="D41" s="44">
        <v>2</v>
      </c>
      <c r="E41" s="44">
        <v>3</v>
      </c>
      <c r="F41" s="44">
        <v>4</v>
      </c>
      <c r="G41" s="44">
        <v>5</v>
      </c>
      <c r="H41" s="41"/>
    </row>
    <row r="42" spans="1:8" ht="12.75" x14ac:dyDescent="0.2">
      <c r="A42" s="43" t="s">
        <v>408</v>
      </c>
      <c r="B42" s="45"/>
      <c r="C42" s="45"/>
      <c r="D42" s="45"/>
      <c r="E42" s="45"/>
      <c r="F42" s="45"/>
      <c r="G42" s="45"/>
      <c r="H42" s="41"/>
    </row>
    <row r="43" spans="1:8" ht="12.75" x14ac:dyDescent="0.2">
      <c r="A43" s="45" t="s">
        <v>389</v>
      </c>
      <c r="B43" s="45"/>
      <c r="C43" s="45">
        <f>C22</f>
        <v>9154.7098650000007</v>
      </c>
      <c r="D43" s="45">
        <f>D22</f>
        <v>8266.3669439999994</v>
      </c>
      <c r="E43" s="45">
        <f>E22</f>
        <v>9128.7964890000003</v>
      </c>
      <c r="F43" s="45">
        <f>F22</f>
        <v>12742.092855000001</v>
      </c>
      <c r="G43" s="45">
        <f>G22</f>
        <v>14220.774873</v>
      </c>
      <c r="H43" s="41"/>
    </row>
    <row r="44" spans="1:8" ht="12.75" x14ac:dyDescent="0.2">
      <c r="A44" s="45" t="s">
        <v>409</v>
      </c>
      <c r="B44" s="45"/>
      <c r="C44" s="45">
        <f>-C19</f>
        <v>2174.8522499999999</v>
      </c>
      <c r="D44" s="45">
        <f>-D19</f>
        <v>2493.1489225000005</v>
      </c>
      <c r="E44" s="45">
        <f>-E19</f>
        <v>2963.0989225000003</v>
      </c>
      <c r="F44" s="45">
        <f>-F19</f>
        <v>3075.6000000000004</v>
      </c>
      <c r="G44" s="45">
        <f>-G19</f>
        <v>3093.7000000000003</v>
      </c>
      <c r="H44" s="41"/>
    </row>
    <row r="45" spans="1:8" ht="12.75" x14ac:dyDescent="0.2">
      <c r="A45" s="45" t="s">
        <v>410</v>
      </c>
      <c r="B45" s="45"/>
      <c r="C45" s="45">
        <f>-(C28-B28)</f>
        <v>-379.17750000000069</v>
      </c>
      <c r="D45" s="45">
        <f>-(D28-C28)</f>
        <v>-417.09525000000031</v>
      </c>
      <c r="E45" s="45">
        <f>-(E28-D28)</f>
        <v>-458.80477500000052</v>
      </c>
      <c r="F45" s="45">
        <f>-(F28-E28)</f>
        <v>-504.68525249999948</v>
      </c>
      <c r="G45" s="45">
        <f>-(G28-F28)</f>
        <v>-555.15377775000161</v>
      </c>
      <c r="H45" s="41"/>
    </row>
    <row r="46" spans="1:8" ht="12.75" x14ac:dyDescent="0.2">
      <c r="A46" s="45" t="s">
        <v>411</v>
      </c>
      <c r="B46" s="45"/>
      <c r="C46" s="45">
        <f>C35-B35</f>
        <v>202.22800000000029</v>
      </c>
      <c r="D46" s="45">
        <f>D35-C35</f>
        <v>222.45080000000007</v>
      </c>
      <c r="E46" s="45">
        <f>E35-D35</f>
        <v>244.69588000000022</v>
      </c>
      <c r="F46" s="45">
        <f>F35-E35</f>
        <v>269.16546800000015</v>
      </c>
      <c r="G46" s="45">
        <f>G35-F35</f>
        <v>296.08201480000025</v>
      </c>
      <c r="H46" s="41"/>
    </row>
    <row r="47" spans="1:8" ht="12.75" x14ac:dyDescent="0.2">
      <c r="A47" s="45" t="s">
        <v>412</v>
      </c>
      <c r="B47" s="45"/>
      <c r="C47" s="45">
        <f>-(C30-B30)</f>
        <v>-1924.9550000000017</v>
      </c>
      <c r="D47" s="45">
        <f>-(D30-C30)</f>
        <v>-4440.9784500000023</v>
      </c>
      <c r="E47" s="45">
        <f>-(E30-D30)</f>
        <v>-4958.0215499999977</v>
      </c>
      <c r="F47" s="45">
        <f>-(F30-E30)</f>
        <v>2708</v>
      </c>
      <c r="G47" s="45">
        <f>-(G30-F30)</f>
        <v>-3070</v>
      </c>
      <c r="H47" s="41"/>
    </row>
    <row r="48" spans="1:8" ht="12.75" x14ac:dyDescent="0.2">
      <c r="A48" s="45" t="s">
        <v>413</v>
      </c>
      <c r="B48" s="45"/>
      <c r="C48" s="45">
        <f t="shared" ref="C48:G49" si="10">-(1-$B$10)*C17</f>
        <v>2332.8954032220004</v>
      </c>
      <c r="D48" s="45">
        <f t="shared" si="10"/>
        <v>2332.8954032220004</v>
      </c>
      <c r="E48" s="45">
        <f t="shared" si="10"/>
        <v>2332.8954032220004</v>
      </c>
      <c r="F48" s="45">
        <f t="shared" si="10"/>
        <v>2332.8954032220004</v>
      </c>
      <c r="G48" s="45">
        <f t="shared" si="10"/>
        <v>2332.8954032220004</v>
      </c>
      <c r="H48" s="41"/>
    </row>
    <row r="49" spans="1:8" ht="12.75" x14ac:dyDescent="0.2">
      <c r="A49" s="45" t="s">
        <v>414</v>
      </c>
      <c r="B49" s="45"/>
      <c r="C49" s="45">
        <f t="shared" si="10"/>
        <v>-378.62706679503731</v>
      </c>
      <c r="D49" s="45">
        <f t="shared" si="10"/>
        <v>-470.19657458948734</v>
      </c>
      <c r="E49" s="45">
        <f t="shared" si="10"/>
        <v>-546.97114584354688</v>
      </c>
      <c r="F49" s="45">
        <f t="shared" si="10"/>
        <v>-668.49138842398838</v>
      </c>
      <c r="G49" s="45">
        <f t="shared" si="10"/>
        <v>-841.51702410492078</v>
      </c>
      <c r="H49" s="41"/>
    </row>
    <row r="50" spans="1:8" ht="12.75" x14ac:dyDescent="0.2">
      <c r="A50" s="43" t="s">
        <v>415</v>
      </c>
      <c r="B50" s="45"/>
      <c r="C50" s="45">
        <f>SUM(C43:C49)</f>
        <v>11181.925951426962</v>
      </c>
      <c r="D50" s="45">
        <f>SUM(D43:D49)</f>
        <v>7986.5917951325109</v>
      </c>
      <c r="E50" s="45">
        <f>SUM(E43:E49)</f>
        <v>8705.6892238784567</v>
      </c>
      <c r="F50" s="45">
        <f>SUM(F43:F49)</f>
        <v>19954.577085298013</v>
      </c>
      <c r="G50" s="45">
        <f>SUM(G43:G49)</f>
        <v>15476.781489167081</v>
      </c>
      <c r="H50" s="41"/>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3D7C6-5DD4-469F-AB74-6A261B39AB74}">
  <sheetPr codeName="Sheet3"/>
  <dimension ref="A1:F337"/>
  <sheetViews>
    <sheetView workbookViewId="0">
      <selection sqref="A1:F1"/>
    </sheetView>
  </sheetViews>
  <sheetFormatPr defaultRowHeight="14.25" x14ac:dyDescent="0.2"/>
  <cols>
    <col min="1" max="1" width="59.140625" style="61" customWidth="1"/>
    <col min="2" max="3" width="12.28515625" style="61" customWidth="1"/>
    <col min="4" max="5" width="9.140625" style="49"/>
    <col min="6" max="6" width="9.42578125" style="49" bestFit="1" customWidth="1"/>
    <col min="7" max="7" width="12.42578125" style="49" bestFit="1" customWidth="1"/>
    <col min="8" max="16384" width="9.140625" style="49"/>
  </cols>
  <sheetData>
    <row r="1" spans="1:6" ht="18" x14ac:dyDescent="0.25">
      <c r="A1" s="197" t="s">
        <v>609</v>
      </c>
      <c r="B1" s="197"/>
      <c r="C1" s="197"/>
      <c r="D1" s="197"/>
      <c r="E1" s="197"/>
      <c r="F1" s="197"/>
    </row>
    <row r="2" spans="1:6" ht="15" x14ac:dyDescent="0.2">
      <c r="A2" s="50" t="s">
        <v>416</v>
      </c>
      <c r="B2" s="51">
        <v>2014</v>
      </c>
      <c r="C2" s="51">
        <v>2015</v>
      </c>
      <c r="D2" s="51">
        <v>2016</v>
      </c>
      <c r="E2" s="51">
        <v>2017</v>
      </c>
      <c r="F2" s="51">
        <v>2018</v>
      </c>
    </row>
    <row r="3" spans="1:6" x14ac:dyDescent="0.2">
      <c r="A3" s="50" t="s">
        <v>417</v>
      </c>
      <c r="B3" s="52">
        <f>'#Income Statement#'!B17</f>
        <v>16447.8</v>
      </c>
      <c r="C3" s="52">
        <f>'#Income Statement#'!C17</f>
        <v>19162.7</v>
      </c>
      <c r="D3" s="52">
        <f>'#Income Statement#'!D17</f>
        <v>18998.3</v>
      </c>
      <c r="E3" s="52">
        <f>'#Income Statement#'!E17</f>
        <v>20005.7</v>
      </c>
      <c r="F3" s="52">
        <f>'#Income Statement#'!F17</f>
        <v>23025.7</v>
      </c>
    </row>
    <row r="4" spans="1:6" x14ac:dyDescent="0.2">
      <c r="A4" s="50" t="s">
        <v>84</v>
      </c>
      <c r="B4" s="52" t="str">
        <f>'#Income Statement#'!B18</f>
        <v>-</v>
      </c>
      <c r="C4" s="52" t="str">
        <f>'#Income Statement#'!C18</f>
        <v>-</v>
      </c>
      <c r="D4" s="52">
        <f>'#Income Statement#'!D18</f>
        <v>2317.6</v>
      </c>
      <c r="E4" s="52">
        <f>'#Income Statement#'!E18</f>
        <v>2381.1</v>
      </c>
      <c r="F4" s="52">
        <f>'#Income Statement#'!F18</f>
        <v>2252.8000000000002</v>
      </c>
    </row>
    <row r="5" spans="1:6" x14ac:dyDescent="0.2">
      <c r="A5" s="50" t="s">
        <v>418</v>
      </c>
      <c r="B5" s="52">
        <f>SUM(B3:B4)</f>
        <v>16447.8</v>
      </c>
      <c r="C5" s="52">
        <f>SUM(C3:C4)</f>
        <v>19162.7</v>
      </c>
      <c r="D5" s="52">
        <f>SUM(D3:D4)</f>
        <v>21315.899999999998</v>
      </c>
      <c r="E5" s="52">
        <f>SUM(E3:E4)</f>
        <v>22386.799999999999</v>
      </c>
      <c r="F5" s="52">
        <f>SUM(F3:F4)</f>
        <v>25278.5</v>
      </c>
    </row>
    <row r="6" spans="1:6" x14ac:dyDescent="0.2">
      <c r="A6" s="50"/>
      <c r="B6" s="52"/>
      <c r="C6" s="52"/>
      <c r="D6" s="52"/>
      <c r="E6" s="52"/>
      <c r="F6" s="52"/>
    </row>
    <row r="7" spans="1:6" x14ac:dyDescent="0.2">
      <c r="A7" s="50" t="s">
        <v>419</v>
      </c>
      <c r="B7" s="52"/>
      <c r="C7" s="52"/>
      <c r="D7" s="52"/>
      <c r="E7" s="52"/>
      <c r="F7" s="52"/>
    </row>
    <row r="8" spans="1:6" ht="13.9" customHeight="1" x14ac:dyDescent="0.2">
      <c r="A8" s="50" t="s">
        <v>420</v>
      </c>
      <c r="B8" s="52">
        <f>'#Income Statement#'!B21</f>
        <v>11497</v>
      </c>
      <c r="C8" s="52">
        <f>'#Income Statement#'!C21</f>
        <v>13198.6</v>
      </c>
      <c r="D8" s="52">
        <f>'#Income Statement#'!D21</f>
        <v>14573.3</v>
      </c>
      <c r="E8" s="52">
        <f>'#Income Statement#'!E21</f>
        <v>15527.6</v>
      </c>
      <c r="F8" s="52">
        <f>'#Income Statement#'!F21</f>
        <v>17880.7</v>
      </c>
    </row>
    <row r="9" spans="1:6" ht="13.9" customHeight="1" x14ac:dyDescent="0.2">
      <c r="A9" s="50" t="s">
        <v>421</v>
      </c>
      <c r="B9" s="52">
        <f>'#Income Statement#'!B24</f>
        <v>1107.9000000000001</v>
      </c>
      <c r="C9" s="52">
        <f>'#Income Statement#'!C24</f>
        <v>1196.7</v>
      </c>
      <c r="D9" s="52">
        <f>'#Income Statement#'!D24</f>
        <v>1408.9</v>
      </c>
      <c r="E9" s="52">
        <f>'#Income Statement#'!E24</f>
        <v>1450.7</v>
      </c>
      <c r="F9" s="52">
        <f>'#Income Statement#'!F24</f>
        <v>1826.3</v>
      </c>
    </row>
    <row r="10" spans="1:6" ht="13.9" customHeight="1" x14ac:dyDescent="0.2">
      <c r="A10" s="50" t="s">
        <v>422</v>
      </c>
      <c r="B10" s="52" t="str">
        <f>'#Income Statement#'!B25</f>
        <v>-</v>
      </c>
      <c r="C10" s="52" t="str">
        <f>'#Income Statement#'!C25</f>
        <v>-</v>
      </c>
      <c r="D10" s="52" t="str">
        <f>'#Income Statement#'!D25</f>
        <v>-</v>
      </c>
      <c r="E10" s="52" t="str">
        <f>'#Income Statement#'!E25</f>
        <v>-</v>
      </c>
      <c r="F10" s="52" t="str">
        <f>'#Income Statement#'!F25</f>
        <v>-</v>
      </c>
    </row>
    <row r="11" spans="1:6" ht="13.9" customHeight="1" x14ac:dyDescent="0.2">
      <c r="A11" s="50" t="s">
        <v>557</v>
      </c>
      <c r="B11" s="52">
        <f>'#Income Statement#'!B26</f>
        <v>709.6</v>
      </c>
      <c r="C11" s="52">
        <f>'#Income Statement#'!C26</f>
        <v>893.9</v>
      </c>
      <c r="D11" s="52">
        <f>'#Income Statement#'!D26</f>
        <v>980.8</v>
      </c>
      <c r="E11" s="52">
        <f>'#Income Statement#'!E26</f>
        <v>1011.4</v>
      </c>
      <c r="F11" s="52">
        <f>'#Income Statement#'!F26</f>
        <v>1321.6</v>
      </c>
    </row>
    <row r="12" spans="1:6" ht="13.9" customHeight="1" x14ac:dyDescent="0.2">
      <c r="A12" s="50"/>
      <c r="B12" s="52">
        <f>'#Income Statement#'!B27</f>
        <v>340.7</v>
      </c>
      <c r="C12" s="52">
        <f>'#Income Statement#'!C27</f>
        <v>522.4</v>
      </c>
      <c r="D12" s="52">
        <f>'#Income Statement#'!D27</f>
        <v>499.2</v>
      </c>
      <c r="E12" s="52">
        <f>'#Income Statement#'!E27</f>
        <v>500.3</v>
      </c>
      <c r="F12" s="52">
        <f>'#Income Statement#'!F27</f>
        <v>503</v>
      </c>
    </row>
    <row r="13" spans="1:6" ht="13.9" customHeight="1" x14ac:dyDescent="0.2">
      <c r="A13" s="50" t="s">
        <v>424</v>
      </c>
      <c r="B13" s="52">
        <f>SUM(B8:B12)</f>
        <v>13655.2</v>
      </c>
      <c r="C13" s="52">
        <f>SUM(C8:C12)</f>
        <v>15811.6</v>
      </c>
      <c r="D13" s="52">
        <f>SUM(D8:D12)</f>
        <v>17462.2</v>
      </c>
      <c r="E13" s="52">
        <f>SUM(E8:E12)</f>
        <v>18490</v>
      </c>
      <c r="F13" s="52">
        <f>SUM(F8:F12)</f>
        <v>21531.599999999999</v>
      </c>
    </row>
    <row r="14" spans="1:6" ht="13.9" customHeight="1" x14ac:dyDescent="0.2">
      <c r="A14" s="50"/>
      <c r="B14" s="52"/>
      <c r="C14" s="52"/>
      <c r="D14" s="52"/>
      <c r="E14" s="52"/>
      <c r="F14" s="52"/>
    </row>
    <row r="15" spans="1:6" ht="13.9" customHeight="1" x14ac:dyDescent="0.2">
      <c r="A15" s="50" t="s">
        <v>425</v>
      </c>
      <c r="B15" s="52">
        <f t="shared" ref="B15:E15" si="0">B5-B13</f>
        <v>2792.5999999999985</v>
      </c>
      <c r="C15" s="52">
        <f t="shared" si="0"/>
        <v>3351.1000000000004</v>
      </c>
      <c r="D15" s="52">
        <f t="shared" si="0"/>
        <v>3853.6999999999971</v>
      </c>
      <c r="E15" s="52">
        <f t="shared" si="0"/>
        <v>3896.7999999999993</v>
      </c>
      <c r="F15" s="52">
        <f>F5-F13</f>
        <v>3746.9000000000015</v>
      </c>
    </row>
    <row r="16" spans="1:6" ht="13.9" customHeight="1" x14ac:dyDescent="0.2">
      <c r="A16" s="50"/>
      <c r="B16" s="52"/>
      <c r="C16" s="52"/>
      <c r="D16" s="52"/>
      <c r="E16" s="52"/>
      <c r="F16" s="52"/>
    </row>
    <row r="17" spans="1:6" ht="13.9" customHeight="1" x14ac:dyDescent="0.2">
      <c r="A17" s="50" t="s">
        <v>426</v>
      </c>
      <c r="B17" s="52">
        <f>'#Income Statement#'!B33</f>
        <v>-64.099999999999994</v>
      </c>
      <c r="C17" s="52">
        <f>'#Income Statement#'!C33</f>
        <v>-70.5</v>
      </c>
      <c r="D17" s="52">
        <f>'#Income Statement#'!D33</f>
        <v>-81.3</v>
      </c>
      <c r="E17" s="52">
        <f>'#Income Statement#'!E33</f>
        <v>-92.5</v>
      </c>
      <c r="F17" s="52">
        <f>'#Income Statement#'!F33</f>
        <v>-223.2</v>
      </c>
    </row>
    <row r="18" spans="1:6" ht="13.9" customHeight="1" x14ac:dyDescent="0.2">
      <c r="A18" s="50" t="s">
        <v>427</v>
      </c>
      <c r="B18" s="52">
        <f>'#Income Statement#'!B34</f>
        <v>35.4</v>
      </c>
      <c r="C18" s="52" t="str">
        <f>'#Income Statement#'!C34</f>
        <v>-</v>
      </c>
      <c r="D18" s="52">
        <f>'#Income Statement#'!D34</f>
        <v>153</v>
      </c>
      <c r="E18" s="52" t="str">
        <f>'#Income Statement#'!E34</f>
        <v>-</v>
      </c>
      <c r="F18" s="52" t="str">
        <f>'#Income Statement#'!F34</f>
        <v>-</v>
      </c>
    </row>
    <row r="19" spans="1:6" ht="13.9" customHeight="1" x14ac:dyDescent="0.2">
      <c r="A19" s="50"/>
      <c r="B19" s="52"/>
      <c r="C19" s="52"/>
      <c r="D19" s="52"/>
      <c r="E19" s="52"/>
      <c r="F19" s="52"/>
    </row>
    <row r="20" spans="1:6" ht="13.9" customHeight="1" x14ac:dyDescent="0.2">
      <c r="A20" s="50" t="s">
        <v>428</v>
      </c>
      <c r="B20" s="52">
        <f t="shared" ref="B20:E20" si="1">SUM(B13:B17)</f>
        <v>16383.699999999999</v>
      </c>
      <c r="C20" s="52">
        <f t="shared" si="1"/>
        <v>19092.2</v>
      </c>
      <c r="D20" s="52">
        <f t="shared" si="1"/>
        <v>21234.6</v>
      </c>
      <c r="E20" s="52">
        <f t="shared" si="1"/>
        <v>22294.3</v>
      </c>
      <c r="F20" s="52">
        <f>SUM(F13:F17)</f>
        <v>25055.3</v>
      </c>
    </row>
    <row r="21" spans="1:6" ht="13.9" customHeight="1" x14ac:dyDescent="0.2">
      <c r="A21" s="50"/>
      <c r="B21" s="52"/>
      <c r="C21" s="52"/>
      <c r="D21" s="52"/>
      <c r="E21" s="52"/>
      <c r="F21" s="52"/>
    </row>
    <row r="22" spans="1:6" ht="13.9" customHeight="1" x14ac:dyDescent="0.2">
      <c r="A22" s="50" t="s">
        <v>429</v>
      </c>
      <c r="B22" s="52">
        <f>'#Income Statement#'!B51</f>
        <v>1092</v>
      </c>
      <c r="C22" s="52">
        <f>'#Income Statement#'!C51</f>
        <v>1143.7</v>
      </c>
      <c r="D22" s="52">
        <f>'#Income Statement#'!D51</f>
        <v>1379.7</v>
      </c>
      <c r="E22" s="52">
        <f>'#Income Statement#'!E51</f>
        <v>1432.6</v>
      </c>
      <c r="F22" s="52">
        <f>'#Income Statement#'!F51</f>
        <v>711.3</v>
      </c>
    </row>
    <row r="23" spans="1:6" ht="13.9" customHeight="1" x14ac:dyDescent="0.2">
      <c r="A23" s="50" t="s">
        <v>430</v>
      </c>
      <c r="B23" s="52">
        <f>B20-B22</f>
        <v>15291.699999999999</v>
      </c>
      <c r="C23" s="52">
        <f>C20-C22</f>
        <v>17948.5</v>
      </c>
      <c r="D23" s="52">
        <f>D20-D22</f>
        <v>19854.899999999998</v>
      </c>
      <c r="E23" s="52">
        <f>E20-E22</f>
        <v>20861.7</v>
      </c>
      <c r="F23" s="52">
        <f>F20-F22</f>
        <v>24344</v>
      </c>
    </row>
    <row r="24" spans="1:6" ht="13.9" customHeight="1" x14ac:dyDescent="0.2">
      <c r="A24" s="50"/>
      <c r="B24" s="52"/>
      <c r="C24" s="52"/>
      <c r="D24" s="52"/>
      <c r="E24" s="52"/>
      <c r="F24" s="52"/>
    </row>
    <row r="25" spans="1:6" ht="13.9" customHeight="1" x14ac:dyDescent="0.2">
      <c r="A25" s="50" t="s">
        <v>431</v>
      </c>
      <c r="B25" s="52"/>
      <c r="C25" s="52"/>
      <c r="D25" s="52"/>
      <c r="E25" s="52"/>
      <c r="F25" s="52"/>
    </row>
    <row r="26" spans="1:6" ht="13.9" customHeight="1" x14ac:dyDescent="0.2">
      <c r="A26" s="50"/>
      <c r="B26" s="52"/>
      <c r="C26" s="52"/>
      <c r="D26" s="52"/>
      <c r="E26" s="52"/>
      <c r="F26" s="52"/>
    </row>
    <row r="27" spans="1:6" ht="13.9" customHeight="1" x14ac:dyDescent="0.2">
      <c r="A27" s="50" t="s">
        <v>432</v>
      </c>
      <c r="B27" s="52">
        <f>B23+B25</f>
        <v>15291.699999999999</v>
      </c>
      <c r="C27" s="52">
        <f>C23+C25</f>
        <v>17948.5</v>
      </c>
      <c r="D27" s="52">
        <f>D23+D25</f>
        <v>19854.899999999998</v>
      </c>
      <c r="E27" s="52">
        <f>E23+E25</f>
        <v>20861.7</v>
      </c>
      <c r="F27" s="52">
        <f>F23+F25</f>
        <v>24344</v>
      </c>
    </row>
    <row r="28" spans="1:6" ht="13.9" customHeight="1" x14ac:dyDescent="0.2">
      <c r="A28" s="50" t="s">
        <v>433</v>
      </c>
      <c r="B28" s="52"/>
      <c r="C28" s="52"/>
      <c r="D28" s="52"/>
      <c r="E28" s="52"/>
      <c r="F28" s="52"/>
    </row>
    <row r="29" spans="1:6" ht="13.9" customHeight="1" x14ac:dyDescent="0.2">
      <c r="A29" s="50"/>
      <c r="B29" s="52"/>
      <c r="C29" s="52"/>
      <c r="D29" s="52"/>
      <c r="E29" s="52"/>
      <c r="F29" s="52"/>
    </row>
    <row r="30" spans="1:6" ht="13.9" customHeight="1" x14ac:dyDescent="0.2">
      <c r="A30" s="53" t="s">
        <v>434</v>
      </c>
      <c r="B30" s="54">
        <f>B27-B28</f>
        <v>15291.699999999999</v>
      </c>
      <c r="C30" s="54">
        <f>C27-C28</f>
        <v>17948.5</v>
      </c>
      <c r="D30" s="54">
        <f>D27-D28</f>
        <v>19854.899999999998</v>
      </c>
      <c r="E30" s="54">
        <f>E27-E28</f>
        <v>20861.7</v>
      </c>
      <c r="F30" s="54">
        <f>F27-F28</f>
        <v>24344</v>
      </c>
    </row>
    <row r="31" spans="1:6" ht="13.9" customHeight="1" x14ac:dyDescent="0.2">
      <c r="A31" s="50"/>
      <c r="B31" s="52"/>
      <c r="C31" s="52"/>
      <c r="D31" s="55"/>
      <c r="E31" s="55"/>
      <c r="F31" s="55"/>
    </row>
    <row r="32" spans="1:6" ht="13.9" customHeight="1" x14ac:dyDescent="0.2">
      <c r="A32" s="50" t="s">
        <v>435</v>
      </c>
      <c r="B32" s="56"/>
      <c r="C32" s="56"/>
      <c r="D32" s="57"/>
      <c r="E32" s="57"/>
      <c r="F32" s="57"/>
    </row>
    <row r="33" spans="1:6" ht="13.9" customHeight="1" x14ac:dyDescent="0.2">
      <c r="A33" s="50"/>
      <c r="B33" s="56"/>
      <c r="C33" s="56"/>
      <c r="D33" s="55"/>
      <c r="E33" s="55"/>
      <c r="F33" s="55"/>
    </row>
    <row r="34" spans="1:6" ht="13.9" customHeight="1" x14ac:dyDescent="0.2">
      <c r="A34" s="50" t="s">
        <v>436</v>
      </c>
      <c r="B34" s="56"/>
      <c r="C34" s="56"/>
      <c r="D34" s="57"/>
      <c r="E34" s="57"/>
      <c r="F34" s="57"/>
    </row>
    <row r="35" spans="1:6" ht="13.9" customHeight="1" x14ac:dyDescent="0.2">
      <c r="A35" s="50"/>
      <c r="B35" s="56"/>
      <c r="C35" s="56"/>
      <c r="D35" s="55"/>
      <c r="E35" s="55"/>
      <c r="F35" s="55"/>
    </row>
    <row r="36" spans="1:6" ht="13.9" customHeight="1" x14ac:dyDescent="0.2">
      <c r="A36" s="50" t="s">
        <v>437</v>
      </c>
      <c r="B36" s="56"/>
      <c r="C36" s="56"/>
      <c r="D36" s="55"/>
      <c r="E36" s="55"/>
      <c r="F36" s="55"/>
    </row>
    <row r="37" spans="1:6" ht="13.9" customHeight="1" x14ac:dyDescent="0.2">
      <c r="A37" s="58" t="s">
        <v>13</v>
      </c>
      <c r="B37" s="59"/>
      <c r="C37" s="59"/>
      <c r="D37" s="59"/>
      <c r="E37" s="59"/>
      <c r="F37" s="59"/>
    </row>
    <row r="38" spans="1:6" ht="13.9" customHeight="1" x14ac:dyDescent="0.2">
      <c r="A38" s="58" t="s">
        <v>438</v>
      </c>
      <c r="B38" s="59"/>
      <c r="C38" s="59"/>
      <c r="D38" s="59"/>
      <c r="E38" s="59"/>
      <c r="F38" s="60"/>
    </row>
    <row r="39" spans="1:6" ht="13.9" customHeight="1" x14ac:dyDescent="0.2">
      <c r="A39" s="50"/>
      <c r="B39" s="52"/>
      <c r="C39" s="52"/>
      <c r="D39" s="55"/>
      <c r="E39" s="55"/>
      <c r="F39" s="55"/>
    </row>
    <row r="40" spans="1:6" ht="13.9" customHeight="1" x14ac:dyDescent="0.2">
      <c r="A40" s="50" t="s">
        <v>439</v>
      </c>
      <c r="B40" s="56"/>
      <c r="C40" s="56"/>
      <c r="D40" s="57"/>
      <c r="E40" s="57"/>
      <c r="F40" s="57"/>
    </row>
    <row r="41" spans="1:6" ht="13.9" customHeight="1" x14ac:dyDescent="0.2">
      <c r="B41" s="62"/>
      <c r="C41" s="62"/>
    </row>
    <row r="42" spans="1:6" ht="13.9" customHeight="1" x14ac:dyDescent="0.2">
      <c r="B42" s="62"/>
      <c r="C42" s="62"/>
    </row>
    <row r="43" spans="1:6" x14ac:dyDescent="0.2">
      <c r="B43" s="62"/>
      <c r="C43" s="62"/>
    </row>
    <row r="44" spans="1:6" x14ac:dyDescent="0.2">
      <c r="B44" s="62"/>
      <c r="C44" s="62"/>
    </row>
    <row r="45" spans="1:6" x14ac:dyDescent="0.2">
      <c r="B45" s="62"/>
      <c r="C45" s="62"/>
    </row>
    <row r="46" spans="1:6" x14ac:dyDescent="0.2">
      <c r="B46" s="62"/>
      <c r="C46" s="62"/>
    </row>
    <row r="47" spans="1:6" x14ac:dyDescent="0.2">
      <c r="B47" s="62"/>
      <c r="C47" s="62"/>
    </row>
    <row r="48" spans="1:6" x14ac:dyDescent="0.2">
      <c r="B48" s="62"/>
      <c r="C48" s="62"/>
    </row>
    <row r="49" spans="2:3" x14ac:dyDescent="0.2">
      <c r="B49" s="62"/>
      <c r="C49" s="62"/>
    </row>
    <row r="50" spans="2:3" x14ac:dyDescent="0.2">
      <c r="B50" s="62"/>
      <c r="C50" s="62"/>
    </row>
    <row r="51" spans="2:3" x14ac:dyDescent="0.2">
      <c r="B51" s="62"/>
      <c r="C51" s="62"/>
    </row>
    <row r="52" spans="2:3" x14ac:dyDescent="0.2">
      <c r="B52" s="62"/>
      <c r="C52" s="62"/>
    </row>
    <row r="53" spans="2:3" x14ac:dyDescent="0.2">
      <c r="B53" s="62"/>
      <c r="C53" s="62"/>
    </row>
    <row r="54" spans="2:3" x14ac:dyDescent="0.2">
      <c r="B54" s="62"/>
      <c r="C54" s="62"/>
    </row>
    <row r="55" spans="2:3" x14ac:dyDescent="0.2">
      <c r="B55" s="62"/>
      <c r="C55" s="62"/>
    </row>
    <row r="56" spans="2:3" x14ac:dyDescent="0.2">
      <c r="B56" s="62"/>
      <c r="C56" s="62"/>
    </row>
    <row r="57" spans="2:3" x14ac:dyDescent="0.2">
      <c r="B57" s="62"/>
      <c r="C57" s="62"/>
    </row>
    <row r="58" spans="2:3" x14ac:dyDescent="0.2">
      <c r="B58" s="62"/>
      <c r="C58" s="62"/>
    </row>
    <row r="59" spans="2:3" x14ac:dyDescent="0.2">
      <c r="B59" s="62"/>
      <c r="C59" s="62"/>
    </row>
    <row r="60" spans="2:3" x14ac:dyDescent="0.2">
      <c r="B60" s="62"/>
      <c r="C60" s="62"/>
    </row>
    <row r="61" spans="2:3" x14ac:dyDescent="0.2">
      <c r="B61" s="62"/>
      <c r="C61" s="62"/>
    </row>
    <row r="62" spans="2:3" x14ac:dyDescent="0.2">
      <c r="B62" s="62"/>
      <c r="C62" s="62"/>
    </row>
    <row r="63" spans="2:3" x14ac:dyDescent="0.2">
      <c r="B63" s="62"/>
      <c r="C63" s="62"/>
    </row>
    <row r="64" spans="2:3" x14ac:dyDescent="0.2">
      <c r="B64" s="62"/>
      <c r="C64" s="62"/>
    </row>
    <row r="65" spans="2:3" x14ac:dyDescent="0.2">
      <c r="B65" s="62"/>
      <c r="C65" s="62"/>
    </row>
    <row r="66" spans="2:3" x14ac:dyDescent="0.2">
      <c r="B66" s="62"/>
      <c r="C66" s="62"/>
    </row>
    <row r="67" spans="2:3" x14ac:dyDescent="0.2">
      <c r="B67" s="62"/>
      <c r="C67" s="62"/>
    </row>
    <row r="68" spans="2:3" x14ac:dyDescent="0.2">
      <c r="B68" s="62"/>
      <c r="C68" s="62"/>
    </row>
    <row r="69" spans="2:3" x14ac:dyDescent="0.2">
      <c r="B69" s="62"/>
      <c r="C69" s="62"/>
    </row>
    <row r="70" spans="2:3" x14ac:dyDescent="0.2">
      <c r="B70" s="62"/>
      <c r="C70" s="62"/>
    </row>
    <row r="71" spans="2:3" x14ac:dyDescent="0.2">
      <c r="B71" s="62"/>
      <c r="C71" s="62"/>
    </row>
    <row r="72" spans="2:3" x14ac:dyDescent="0.2">
      <c r="B72" s="62"/>
      <c r="C72" s="62"/>
    </row>
    <row r="73" spans="2:3" x14ac:dyDescent="0.2">
      <c r="B73" s="62"/>
      <c r="C73" s="62"/>
    </row>
    <row r="74" spans="2:3" x14ac:dyDescent="0.2">
      <c r="B74" s="62"/>
      <c r="C74" s="62"/>
    </row>
    <row r="75" spans="2:3" x14ac:dyDescent="0.2">
      <c r="B75" s="62"/>
      <c r="C75" s="62"/>
    </row>
    <row r="76" spans="2:3" x14ac:dyDescent="0.2">
      <c r="B76" s="62"/>
      <c r="C76" s="62"/>
    </row>
    <row r="77" spans="2:3" x14ac:dyDescent="0.2">
      <c r="B77" s="62"/>
      <c r="C77" s="62"/>
    </row>
    <row r="78" spans="2:3" x14ac:dyDescent="0.2">
      <c r="B78" s="62"/>
      <c r="C78" s="62"/>
    </row>
    <row r="79" spans="2:3" x14ac:dyDescent="0.2">
      <c r="B79" s="62"/>
      <c r="C79" s="62"/>
    </row>
    <row r="80" spans="2:3" x14ac:dyDescent="0.2">
      <c r="B80" s="62"/>
      <c r="C80" s="62"/>
    </row>
    <row r="81" spans="2:3" x14ac:dyDescent="0.2">
      <c r="B81" s="62"/>
      <c r="C81" s="62"/>
    </row>
    <row r="82" spans="2:3" x14ac:dyDescent="0.2">
      <c r="B82" s="62"/>
      <c r="C82" s="62"/>
    </row>
    <row r="83" spans="2:3" x14ac:dyDescent="0.2">
      <c r="B83" s="62"/>
      <c r="C83" s="62"/>
    </row>
    <row r="84" spans="2:3" x14ac:dyDescent="0.2">
      <c r="B84" s="62"/>
      <c r="C84" s="62"/>
    </row>
    <row r="85" spans="2:3" x14ac:dyDescent="0.2">
      <c r="B85" s="62"/>
      <c r="C85" s="62"/>
    </row>
    <row r="86" spans="2:3" x14ac:dyDescent="0.2">
      <c r="B86" s="62"/>
      <c r="C86" s="62"/>
    </row>
    <row r="87" spans="2:3" x14ac:dyDescent="0.2">
      <c r="B87" s="62"/>
      <c r="C87" s="62"/>
    </row>
    <row r="88" spans="2:3" x14ac:dyDescent="0.2">
      <c r="B88" s="62"/>
      <c r="C88" s="62"/>
    </row>
    <row r="89" spans="2:3" x14ac:dyDescent="0.2">
      <c r="B89" s="62"/>
      <c r="C89" s="62"/>
    </row>
    <row r="90" spans="2:3" x14ac:dyDescent="0.2">
      <c r="B90" s="62"/>
      <c r="C90" s="62"/>
    </row>
    <row r="91" spans="2:3" x14ac:dyDescent="0.2">
      <c r="B91" s="62"/>
      <c r="C91" s="62"/>
    </row>
    <row r="92" spans="2:3" x14ac:dyDescent="0.2">
      <c r="B92" s="62"/>
      <c r="C92" s="62"/>
    </row>
    <row r="93" spans="2:3" x14ac:dyDescent="0.2">
      <c r="B93" s="62"/>
      <c r="C93" s="62"/>
    </row>
    <row r="94" spans="2:3" x14ac:dyDescent="0.2">
      <c r="B94" s="62"/>
      <c r="C94" s="62"/>
    </row>
    <row r="95" spans="2:3" x14ac:dyDescent="0.2">
      <c r="B95" s="62"/>
      <c r="C95" s="62"/>
    </row>
    <row r="96" spans="2:3" x14ac:dyDescent="0.2">
      <c r="B96" s="62"/>
      <c r="C96" s="62"/>
    </row>
    <row r="97" spans="2:3" x14ac:dyDescent="0.2">
      <c r="B97" s="62"/>
      <c r="C97" s="62"/>
    </row>
    <row r="98" spans="2:3" x14ac:dyDescent="0.2">
      <c r="B98" s="62"/>
      <c r="C98" s="62"/>
    </row>
    <row r="99" spans="2:3" x14ac:dyDescent="0.2">
      <c r="B99" s="62"/>
      <c r="C99" s="62"/>
    </row>
    <row r="100" spans="2:3" x14ac:dyDescent="0.2">
      <c r="B100" s="62"/>
      <c r="C100" s="62"/>
    </row>
    <row r="101" spans="2:3" x14ac:dyDescent="0.2">
      <c r="B101" s="62"/>
      <c r="C101" s="62"/>
    </row>
    <row r="102" spans="2:3" x14ac:dyDescent="0.2">
      <c r="B102" s="62"/>
      <c r="C102" s="62"/>
    </row>
    <row r="103" spans="2:3" x14ac:dyDescent="0.2">
      <c r="B103" s="62"/>
      <c r="C103" s="62"/>
    </row>
    <row r="104" spans="2:3" x14ac:dyDescent="0.2">
      <c r="B104" s="62"/>
      <c r="C104" s="62"/>
    </row>
    <row r="105" spans="2:3" x14ac:dyDescent="0.2">
      <c r="B105" s="62"/>
      <c r="C105" s="62"/>
    </row>
    <row r="106" spans="2:3" x14ac:dyDescent="0.2">
      <c r="B106" s="62"/>
      <c r="C106" s="62"/>
    </row>
    <row r="107" spans="2:3" x14ac:dyDescent="0.2">
      <c r="B107" s="62"/>
      <c r="C107" s="62"/>
    </row>
    <row r="108" spans="2:3" x14ac:dyDescent="0.2">
      <c r="B108" s="62"/>
      <c r="C108" s="62"/>
    </row>
    <row r="109" spans="2:3" x14ac:dyDescent="0.2">
      <c r="B109" s="62"/>
      <c r="C109" s="62"/>
    </row>
    <row r="110" spans="2:3" x14ac:dyDescent="0.2">
      <c r="B110" s="62"/>
      <c r="C110" s="62"/>
    </row>
    <row r="111" spans="2:3" x14ac:dyDescent="0.2">
      <c r="B111" s="62"/>
      <c r="C111" s="62"/>
    </row>
    <row r="112" spans="2:3" x14ac:dyDescent="0.2">
      <c r="B112" s="62"/>
      <c r="C112" s="62"/>
    </row>
    <row r="113" spans="2:3" x14ac:dyDescent="0.2">
      <c r="B113" s="62"/>
      <c r="C113" s="62"/>
    </row>
    <row r="114" spans="2:3" x14ac:dyDescent="0.2">
      <c r="B114" s="62"/>
      <c r="C114" s="62"/>
    </row>
    <row r="115" spans="2:3" x14ac:dyDescent="0.2">
      <c r="B115" s="62"/>
      <c r="C115" s="62"/>
    </row>
    <row r="116" spans="2:3" x14ac:dyDescent="0.2">
      <c r="B116" s="62"/>
      <c r="C116" s="62"/>
    </row>
    <row r="117" spans="2:3" x14ac:dyDescent="0.2">
      <c r="B117" s="62"/>
      <c r="C117" s="62"/>
    </row>
    <row r="118" spans="2:3" x14ac:dyDescent="0.2">
      <c r="B118" s="62"/>
      <c r="C118" s="62"/>
    </row>
    <row r="119" spans="2:3" x14ac:dyDescent="0.2">
      <c r="B119" s="62"/>
      <c r="C119" s="62"/>
    </row>
    <row r="120" spans="2:3" x14ac:dyDescent="0.2">
      <c r="B120" s="62"/>
      <c r="C120" s="62"/>
    </row>
    <row r="121" spans="2:3" x14ac:dyDescent="0.2">
      <c r="B121" s="62"/>
      <c r="C121" s="62"/>
    </row>
    <row r="122" spans="2:3" x14ac:dyDescent="0.2">
      <c r="B122" s="62"/>
      <c r="C122" s="62"/>
    </row>
    <row r="123" spans="2:3" x14ac:dyDescent="0.2">
      <c r="B123" s="62"/>
      <c r="C123" s="62"/>
    </row>
    <row r="124" spans="2:3" x14ac:dyDescent="0.2">
      <c r="B124" s="62"/>
      <c r="C124" s="62"/>
    </row>
    <row r="125" spans="2:3" x14ac:dyDescent="0.2">
      <c r="B125" s="62"/>
      <c r="C125" s="62"/>
    </row>
    <row r="126" spans="2:3" x14ac:dyDescent="0.2">
      <c r="B126" s="62"/>
      <c r="C126" s="62"/>
    </row>
    <row r="127" spans="2:3" x14ac:dyDescent="0.2">
      <c r="B127" s="62"/>
      <c r="C127" s="62"/>
    </row>
    <row r="128" spans="2:3" x14ac:dyDescent="0.2">
      <c r="B128" s="62"/>
      <c r="C128" s="62"/>
    </row>
    <row r="129" spans="2:3" x14ac:dyDescent="0.2">
      <c r="B129" s="62"/>
      <c r="C129" s="62"/>
    </row>
    <row r="130" spans="2:3" x14ac:dyDescent="0.2">
      <c r="B130" s="62"/>
      <c r="C130" s="62"/>
    </row>
    <row r="131" spans="2:3" x14ac:dyDescent="0.2">
      <c r="B131" s="62"/>
      <c r="C131" s="62"/>
    </row>
    <row r="132" spans="2:3" x14ac:dyDescent="0.2">
      <c r="B132" s="62"/>
      <c r="C132" s="62"/>
    </row>
    <row r="133" spans="2:3" x14ac:dyDescent="0.2">
      <c r="B133" s="62"/>
      <c r="C133" s="62"/>
    </row>
    <row r="134" spans="2:3" x14ac:dyDescent="0.2">
      <c r="B134" s="62"/>
      <c r="C134" s="62"/>
    </row>
    <row r="135" spans="2:3" x14ac:dyDescent="0.2">
      <c r="B135" s="62"/>
      <c r="C135" s="62"/>
    </row>
    <row r="136" spans="2:3" x14ac:dyDescent="0.2">
      <c r="B136" s="62"/>
      <c r="C136" s="62"/>
    </row>
    <row r="137" spans="2:3" x14ac:dyDescent="0.2">
      <c r="B137" s="62"/>
      <c r="C137" s="62"/>
    </row>
    <row r="138" spans="2:3" x14ac:dyDescent="0.2">
      <c r="B138" s="62"/>
      <c r="C138" s="62"/>
    </row>
    <row r="139" spans="2:3" x14ac:dyDescent="0.2">
      <c r="B139" s="62"/>
      <c r="C139" s="62"/>
    </row>
    <row r="140" spans="2:3" x14ac:dyDescent="0.2">
      <c r="B140" s="62"/>
      <c r="C140" s="62"/>
    </row>
    <row r="141" spans="2:3" x14ac:dyDescent="0.2">
      <c r="B141" s="62"/>
      <c r="C141" s="62"/>
    </row>
    <row r="142" spans="2:3" x14ac:dyDescent="0.2">
      <c r="B142" s="62"/>
      <c r="C142" s="62"/>
    </row>
    <row r="143" spans="2:3" x14ac:dyDescent="0.2">
      <c r="B143" s="62"/>
      <c r="C143" s="62"/>
    </row>
    <row r="144" spans="2:3" x14ac:dyDescent="0.2">
      <c r="B144" s="62"/>
      <c r="C144" s="62"/>
    </row>
    <row r="145" spans="2:3" x14ac:dyDescent="0.2">
      <c r="B145" s="62"/>
      <c r="C145" s="62"/>
    </row>
    <row r="146" spans="2:3" x14ac:dyDescent="0.2">
      <c r="B146" s="62"/>
      <c r="C146" s="62"/>
    </row>
    <row r="147" spans="2:3" x14ac:dyDescent="0.2">
      <c r="B147" s="62"/>
      <c r="C147" s="62"/>
    </row>
    <row r="148" spans="2:3" x14ac:dyDescent="0.2">
      <c r="B148" s="62"/>
      <c r="C148" s="62"/>
    </row>
    <row r="149" spans="2:3" x14ac:dyDescent="0.2">
      <c r="B149" s="62"/>
      <c r="C149" s="62"/>
    </row>
    <row r="150" spans="2:3" x14ac:dyDescent="0.2">
      <c r="B150" s="62"/>
      <c r="C150" s="62"/>
    </row>
    <row r="151" spans="2:3" x14ac:dyDescent="0.2">
      <c r="B151" s="62"/>
      <c r="C151" s="62"/>
    </row>
    <row r="152" spans="2:3" x14ac:dyDescent="0.2">
      <c r="B152" s="62"/>
      <c r="C152" s="62"/>
    </row>
    <row r="153" spans="2:3" x14ac:dyDescent="0.2">
      <c r="B153" s="62"/>
      <c r="C153" s="62"/>
    </row>
    <row r="154" spans="2:3" x14ac:dyDescent="0.2">
      <c r="B154" s="62"/>
      <c r="C154" s="62"/>
    </row>
    <row r="155" spans="2:3" x14ac:dyDescent="0.2">
      <c r="B155" s="62"/>
      <c r="C155" s="62"/>
    </row>
    <row r="156" spans="2:3" x14ac:dyDescent="0.2">
      <c r="B156" s="62"/>
      <c r="C156" s="62"/>
    </row>
    <row r="157" spans="2:3" x14ac:dyDescent="0.2">
      <c r="B157" s="62"/>
      <c r="C157" s="62"/>
    </row>
    <row r="158" spans="2:3" x14ac:dyDescent="0.2">
      <c r="B158" s="62"/>
      <c r="C158" s="62"/>
    </row>
    <row r="159" spans="2:3" x14ac:dyDescent="0.2">
      <c r="B159" s="62"/>
      <c r="C159" s="62"/>
    </row>
    <row r="160" spans="2:3" x14ac:dyDescent="0.2">
      <c r="B160" s="62"/>
      <c r="C160" s="62"/>
    </row>
    <row r="161" spans="2:3" x14ac:dyDescent="0.2">
      <c r="B161" s="62"/>
      <c r="C161" s="62"/>
    </row>
    <row r="162" spans="2:3" x14ac:dyDescent="0.2">
      <c r="B162" s="62"/>
      <c r="C162" s="62"/>
    </row>
    <row r="163" spans="2:3" x14ac:dyDescent="0.2">
      <c r="B163" s="62"/>
      <c r="C163" s="62"/>
    </row>
    <row r="164" spans="2:3" x14ac:dyDescent="0.2">
      <c r="B164" s="62"/>
      <c r="C164" s="62"/>
    </row>
    <row r="165" spans="2:3" x14ac:dyDescent="0.2">
      <c r="B165" s="62"/>
      <c r="C165" s="62"/>
    </row>
    <row r="166" spans="2:3" x14ac:dyDescent="0.2">
      <c r="B166" s="62"/>
      <c r="C166" s="62"/>
    </row>
    <row r="167" spans="2:3" x14ac:dyDescent="0.2">
      <c r="B167" s="62"/>
      <c r="C167" s="62"/>
    </row>
    <row r="168" spans="2:3" x14ac:dyDescent="0.2">
      <c r="B168" s="62"/>
      <c r="C168" s="62"/>
    </row>
    <row r="169" spans="2:3" x14ac:dyDescent="0.2">
      <c r="B169" s="62"/>
      <c r="C169" s="62"/>
    </row>
    <row r="170" spans="2:3" x14ac:dyDescent="0.2">
      <c r="B170" s="62"/>
      <c r="C170" s="62"/>
    </row>
    <row r="171" spans="2:3" x14ac:dyDescent="0.2">
      <c r="B171" s="62"/>
      <c r="C171" s="62"/>
    </row>
    <row r="172" spans="2:3" x14ac:dyDescent="0.2">
      <c r="B172" s="62"/>
      <c r="C172" s="62"/>
    </row>
    <row r="173" spans="2:3" x14ac:dyDescent="0.2">
      <c r="B173" s="62"/>
      <c r="C173" s="62"/>
    </row>
    <row r="174" spans="2:3" x14ac:dyDescent="0.2">
      <c r="B174" s="62"/>
      <c r="C174" s="62"/>
    </row>
    <row r="175" spans="2:3" x14ac:dyDescent="0.2">
      <c r="B175" s="62"/>
      <c r="C175" s="62"/>
    </row>
    <row r="176" spans="2:3" x14ac:dyDescent="0.2">
      <c r="B176" s="62"/>
      <c r="C176" s="62"/>
    </row>
    <row r="177" spans="2:3" x14ac:dyDescent="0.2">
      <c r="B177" s="62"/>
      <c r="C177" s="62"/>
    </row>
    <row r="178" spans="2:3" x14ac:dyDescent="0.2">
      <c r="B178" s="62"/>
      <c r="C178" s="62"/>
    </row>
    <row r="179" spans="2:3" x14ac:dyDescent="0.2">
      <c r="B179" s="62"/>
      <c r="C179" s="62"/>
    </row>
    <row r="180" spans="2:3" x14ac:dyDescent="0.2">
      <c r="B180" s="62"/>
      <c r="C180" s="62"/>
    </row>
    <row r="181" spans="2:3" x14ac:dyDescent="0.2">
      <c r="B181" s="62"/>
      <c r="C181" s="62"/>
    </row>
    <row r="182" spans="2:3" x14ac:dyDescent="0.2">
      <c r="B182" s="62"/>
      <c r="C182" s="62"/>
    </row>
    <row r="183" spans="2:3" x14ac:dyDescent="0.2">
      <c r="B183" s="62"/>
      <c r="C183" s="62"/>
    </row>
    <row r="184" spans="2:3" x14ac:dyDescent="0.2">
      <c r="B184" s="62"/>
      <c r="C184" s="62"/>
    </row>
    <row r="185" spans="2:3" x14ac:dyDescent="0.2">
      <c r="B185" s="62"/>
      <c r="C185" s="62"/>
    </row>
    <row r="186" spans="2:3" x14ac:dyDescent="0.2">
      <c r="B186" s="62"/>
      <c r="C186" s="62"/>
    </row>
    <row r="187" spans="2:3" x14ac:dyDescent="0.2">
      <c r="B187" s="62"/>
      <c r="C187" s="62"/>
    </row>
    <row r="188" spans="2:3" x14ac:dyDescent="0.2">
      <c r="B188" s="62"/>
      <c r="C188" s="62"/>
    </row>
    <row r="189" spans="2:3" x14ac:dyDescent="0.2">
      <c r="B189" s="62"/>
      <c r="C189" s="62"/>
    </row>
    <row r="190" spans="2:3" x14ac:dyDescent="0.2">
      <c r="B190" s="62"/>
      <c r="C190" s="62"/>
    </row>
    <row r="191" spans="2:3" x14ac:dyDescent="0.2">
      <c r="B191" s="62"/>
      <c r="C191" s="62"/>
    </row>
    <row r="192" spans="2:3" x14ac:dyDescent="0.2">
      <c r="B192" s="62"/>
      <c r="C192" s="62"/>
    </row>
    <row r="193" spans="2:3" x14ac:dyDescent="0.2">
      <c r="B193" s="62"/>
      <c r="C193" s="62"/>
    </row>
    <row r="194" spans="2:3" x14ac:dyDescent="0.2">
      <c r="B194" s="62"/>
      <c r="C194" s="62"/>
    </row>
    <row r="195" spans="2:3" x14ac:dyDescent="0.2">
      <c r="B195" s="62"/>
      <c r="C195" s="62"/>
    </row>
    <row r="196" spans="2:3" x14ac:dyDescent="0.2">
      <c r="B196" s="62"/>
      <c r="C196" s="62"/>
    </row>
    <row r="197" spans="2:3" x14ac:dyDescent="0.2">
      <c r="B197" s="62"/>
      <c r="C197" s="62"/>
    </row>
    <row r="198" spans="2:3" x14ac:dyDescent="0.2">
      <c r="B198" s="62"/>
      <c r="C198" s="62"/>
    </row>
    <row r="199" spans="2:3" x14ac:dyDescent="0.2">
      <c r="B199" s="62"/>
      <c r="C199" s="62"/>
    </row>
    <row r="200" spans="2:3" x14ac:dyDescent="0.2">
      <c r="B200" s="62"/>
      <c r="C200" s="62"/>
    </row>
    <row r="201" spans="2:3" x14ac:dyDescent="0.2">
      <c r="B201" s="62"/>
      <c r="C201" s="62"/>
    </row>
    <row r="202" spans="2:3" x14ac:dyDescent="0.2">
      <c r="B202" s="62"/>
      <c r="C202" s="62"/>
    </row>
    <row r="203" spans="2:3" x14ac:dyDescent="0.2">
      <c r="B203" s="62"/>
      <c r="C203" s="62"/>
    </row>
    <row r="204" spans="2:3" x14ac:dyDescent="0.2">
      <c r="B204" s="62"/>
      <c r="C204" s="62"/>
    </row>
    <row r="205" spans="2:3" x14ac:dyDescent="0.2">
      <c r="B205" s="62"/>
      <c r="C205" s="62"/>
    </row>
    <row r="206" spans="2:3" x14ac:dyDescent="0.2">
      <c r="B206" s="62"/>
      <c r="C206" s="62"/>
    </row>
    <row r="207" spans="2:3" x14ac:dyDescent="0.2">
      <c r="B207" s="62"/>
      <c r="C207" s="62"/>
    </row>
    <row r="208" spans="2:3" x14ac:dyDescent="0.2">
      <c r="B208" s="62"/>
      <c r="C208" s="62"/>
    </row>
    <row r="209" spans="2:3" x14ac:dyDescent="0.2">
      <c r="B209" s="62"/>
      <c r="C209" s="62"/>
    </row>
    <row r="210" spans="2:3" x14ac:dyDescent="0.2">
      <c r="B210" s="62"/>
      <c r="C210" s="62"/>
    </row>
    <row r="211" spans="2:3" x14ac:dyDescent="0.2">
      <c r="B211" s="62"/>
      <c r="C211" s="62"/>
    </row>
    <row r="212" spans="2:3" x14ac:dyDescent="0.2">
      <c r="B212" s="62"/>
      <c r="C212" s="62"/>
    </row>
    <row r="213" spans="2:3" x14ac:dyDescent="0.2">
      <c r="B213" s="62"/>
      <c r="C213" s="62"/>
    </row>
    <row r="214" spans="2:3" x14ac:dyDescent="0.2">
      <c r="B214" s="62"/>
      <c r="C214" s="62"/>
    </row>
    <row r="215" spans="2:3" x14ac:dyDescent="0.2">
      <c r="B215" s="62"/>
      <c r="C215" s="62"/>
    </row>
    <row r="216" spans="2:3" x14ac:dyDescent="0.2">
      <c r="B216" s="62"/>
      <c r="C216" s="62"/>
    </row>
    <row r="217" spans="2:3" x14ac:dyDescent="0.2">
      <c r="B217" s="62"/>
      <c r="C217" s="62"/>
    </row>
    <row r="218" spans="2:3" x14ac:dyDescent="0.2">
      <c r="B218" s="62"/>
      <c r="C218" s="62"/>
    </row>
    <row r="219" spans="2:3" x14ac:dyDescent="0.2">
      <c r="B219" s="62"/>
      <c r="C219" s="62"/>
    </row>
    <row r="220" spans="2:3" x14ac:dyDescent="0.2">
      <c r="B220" s="62"/>
      <c r="C220" s="62"/>
    </row>
    <row r="221" spans="2:3" x14ac:dyDescent="0.2">
      <c r="B221" s="62"/>
      <c r="C221" s="62"/>
    </row>
    <row r="222" spans="2:3" x14ac:dyDescent="0.2">
      <c r="B222" s="62"/>
      <c r="C222" s="62"/>
    </row>
    <row r="223" spans="2:3" x14ac:dyDescent="0.2">
      <c r="B223" s="62"/>
      <c r="C223" s="62"/>
    </row>
    <row r="224" spans="2:3" x14ac:dyDescent="0.2">
      <c r="B224" s="62"/>
      <c r="C224" s="62"/>
    </row>
    <row r="225" spans="2:3" x14ac:dyDescent="0.2">
      <c r="B225" s="62"/>
      <c r="C225" s="62"/>
    </row>
    <row r="226" spans="2:3" x14ac:dyDescent="0.2">
      <c r="B226" s="62"/>
      <c r="C226" s="62"/>
    </row>
    <row r="227" spans="2:3" x14ac:dyDescent="0.2">
      <c r="B227" s="62"/>
      <c r="C227" s="62"/>
    </row>
    <row r="228" spans="2:3" x14ac:dyDescent="0.2">
      <c r="B228" s="62"/>
      <c r="C228" s="62"/>
    </row>
    <row r="229" spans="2:3" x14ac:dyDescent="0.2">
      <c r="B229" s="62"/>
      <c r="C229" s="62"/>
    </row>
    <row r="230" spans="2:3" x14ac:dyDescent="0.2">
      <c r="B230" s="62"/>
      <c r="C230" s="62"/>
    </row>
    <row r="231" spans="2:3" x14ac:dyDescent="0.2">
      <c r="B231" s="62"/>
      <c r="C231" s="62"/>
    </row>
    <row r="232" spans="2:3" x14ac:dyDescent="0.2">
      <c r="B232" s="62"/>
      <c r="C232" s="62"/>
    </row>
    <row r="233" spans="2:3" x14ac:dyDescent="0.2">
      <c r="B233" s="62"/>
      <c r="C233" s="62"/>
    </row>
    <row r="234" spans="2:3" x14ac:dyDescent="0.2">
      <c r="B234" s="62"/>
      <c r="C234" s="62"/>
    </row>
    <row r="235" spans="2:3" x14ac:dyDescent="0.2">
      <c r="B235" s="62"/>
      <c r="C235" s="62"/>
    </row>
    <row r="236" spans="2:3" x14ac:dyDescent="0.2">
      <c r="B236" s="62"/>
      <c r="C236" s="62"/>
    </row>
    <row r="237" spans="2:3" x14ac:dyDescent="0.2">
      <c r="B237" s="62"/>
      <c r="C237" s="62"/>
    </row>
    <row r="238" spans="2:3" x14ac:dyDescent="0.2">
      <c r="B238" s="62"/>
      <c r="C238" s="62"/>
    </row>
    <row r="239" spans="2:3" x14ac:dyDescent="0.2">
      <c r="B239" s="62"/>
      <c r="C239" s="62"/>
    </row>
    <row r="240" spans="2:3" x14ac:dyDescent="0.2">
      <c r="B240" s="62"/>
      <c r="C240" s="62"/>
    </row>
    <row r="241" spans="2:3" x14ac:dyDescent="0.2">
      <c r="B241" s="62"/>
      <c r="C241" s="62"/>
    </row>
    <row r="242" spans="2:3" x14ac:dyDescent="0.2">
      <c r="B242" s="62"/>
      <c r="C242" s="62"/>
    </row>
    <row r="243" spans="2:3" x14ac:dyDescent="0.2">
      <c r="B243" s="62"/>
      <c r="C243" s="62"/>
    </row>
    <row r="244" spans="2:3" x14ac:dyDescent="0.2">
      <c r="B244" s="62"/>
      <c r="C244" s="62"/>
    </row>
    <row r="245" spans="2:3" x14ac:dyDescent="0.2">
      <c r="B245" s="62"/>
      <c r="C245" s="62"/>
    </row>
    <row r="246" spans="2:3" x14ac:dyDescent="0.2">
      <c r="B246" s="62"/>
      <c r="C246" s="62"/>
    </row>
    <row r="247" spans="2:3" x14ac:dyDescent="0.2">
      <c r="B247" s="62"/>
      <c r="C247" s="62"/>
    </row>
    <row r="248" spans="2:3" x14ac:dyDescent="0.2">
      <c r="B248" s="62"/>
      <c r="C248" s="62"/>
    </row>
    <row r="249" spans="2:3" x14ac:dyDescent="0.2">
      <c r="B249" s="62"/>
      <c r="C249" s="62"/>
    </row>
    <row r="250" spans="2:3" x14ac:dyDescent="0.2">
      <c r="B250" s="62"/>
      <c r="C250" s="62"/>
    </row>
    <row r="251" spans="2:3" x14ac:dyDescent="0.2">
      <c r="B251" s="62"/>
      <c r="C251" s="62"/>
    </row>
    <row r="252" spans="2:3" x14ac:dyDescent="0.2">
      <c r="B252" s="62"/>
      <c r="C252" s="62"/>
    </row>
    <row r="253" spans="2:3" x14ac:dyDescent="0.2">
      <c r="B253" s="62"/>
      <c r="C253" s="62"/>
    </row>
    <row r="254" spans="2:3" x14ac:dyDescent="0.2">
      <c r="B254" s="62"/>
      <c r="C254" s="62"/>
    </row>
    <row r="255" spans="2:3" x14ac:dyDescent="0.2">
      <c r="B255" s="62"/>
      <c r="C255" s="62"/>
    </row>
    <row r="256" spans="2:3" x14ac:dyDescent="0.2">
      <c r="B256" s="62"/>
      <c r="C256" s="62"/>
    </row>
    <row r="257" spans="2:3" x14ac:dyDescent="0.2">
      <c r="B257" s="62"/>
      <c r="C257" s="62"/>
    </row>
    <row r="258" spans="2:3" x14ac:dyDescent="0.2">
      <c r="B258" s="62"/>
      <c r="C258" s="62"/>
    </row>
    <row r="259" spans="2:3" x14ac:dyDescent="0.2">
      <c r="B259" s="62"/>
      <c r="C259" s="62"/>
    </row>
    <row r="260" spans="2:3" x14ac:dyDescent="0.2">
      <c r="B260" s="62"/>
      <c r="C260" s="62"/>
    </row>
    <row r="261" spans="2:3" x14ac:dyDescent="0.2">
      <c r="B261" s="62"/>
      <c r="C261" s="62"/>
    </row>
    <row r="262" spans="2:3" x14ac:dyDescent="0.2">
      <c r="B262" s="62"/>
      <c r="C262" s="62"/>
    </row>
    <row r="263" spans="2:3" x14ac:dyDescent="0.2">
      <c r="B263" s="62"/>
      <c r="C263" s="62"/>
    </row>
    <row r="264" spans="2:3" x14ac:dyDescent="0.2">
      <c r="B264" s="62"/>
      <c r="C264" s="62"/>
    </row>
    <row r="265" spans="2:3" x14ac:dyDescent="0.2">
      <c r="B265" s="62"/>
      <c r="C265" s="62"/>
    </row>
    <row r="266" spans="2:3" x14ac:dyDescent="0.2">
      <c r="B266" s="62"/>
      <c r="C266" s="62"/>
    </row>
    <row r="267" spans="2:3" x14ac:dyDescent="0.2">
      <c r="B267" s="62"/>
      <c r="C267" s="62"/>
    </row>
    <row r="268" spans="2:3" x14ac:dyDescent="0.2">
      <c r="B268" s="62"/>
      <c r="C268" s="62"/>
    </row>
    <row r="269" spans="2:3" x14ac:dyDescent="0.2">
      <c r="B269" s="62"/>
      <c r="C269" s="62"/>
    </row>
    <row r="270" spans="2:3" x14ac:dyDescent="0.2">
      <c r="B270" s="62"/>
      <c r="C270" s="62"/>
    </row>
    <row r="271" spans="2:3" x14ac:dyDescent="0.2">
      <c r="B271" s="62"/>
      <c r="C271" s="62"/>
    </row>
    <row r="272" spans="2:3" x14ac:dyDescent="0.2">
      <c r="B272" s="62"/>
      <c r="C272" s="62"/>
    </row>
    <row r="273" spans="2:3" x14ac:dyDescent="0.2">
      <c r="B273" s="62"/>
      <c r="C273" s="62"/>
    </row>
    <row r="274" spans="2:3" x14ac:dyDescent="0.2">
      <c r="B274" s="62"/>
      <c r="C274" s="62"/>
    </row>
    <row r="275" spans="2:3" x14ac:dyDescent="0.2">
      <c r="B275" s="62"/>
      <c r="C275" s="62"/>
    </row>
    <row r="276" spans="2:3" x14ac:dyDescent="0.2">
      <c r="B276" s="62"/>
      <c r="C276" s="62"/>
    </row>
    <row r="277" spans="2:3" x14ac:dyDescent="0.2">
      <c r="B277" s="62"/>
      <c r="C277" s="62"/>
    </row>
    <row r="278" spans="2:3" x14ac:dyDescent="0.2">
      <c r="B278" s="62"/>
      <c r="C278" s="62"/>
    </row>
    <row r="279" spans="2:3" x14ac:dyDescent="0.2">
      <c r="B279" s="62"/>
      <c r="C279" s="62"/>
    </row>
    <row r="280" spans="2:3" x14ac:dyDescent="0.2">
      <c r="B280" s="62"/>
      <c r="C280" s="62"/>
    </row>
    <row r="281" spans="2:3" x14ac:dyDescent="0.2">
      <c r="B281" s="62"/>
      <c r="C281" s="62"/>
    </row>
    <row r="282" spans="2:3" x14ac:dyDescent="0.2">
      <c r="B282" s="62"/>
      <c r="C282" s="62"/>
    </row>
    <row r="283" spans="2:3" x14ac:dyDescent="0.2">
      <c r="B283" s="62"/>
      <c r="C283" s="62"/>
    </row>
    <row r="284" spans="2:3" x14ac:dyDescent="0.2">
      <c r="B284" s="62"/>
      <c r="C284" s="62"/>
    </row>
    <row r="285" spans="2:3" x14ac:dyDescent="0.2">
      <c r="B285" s="62"/>
      <c r="C285" s="62"/>
    </row>
    <row r="286" spans="2:3" x14ac:dyDescent="0.2">
      <c r="B286" s="62"/>
      <c r="C286" s="62"/>
    </row>
    <row r="287" spans="2:3" x14ac:dyDescent="0.2">
      <c r="B287" s="62"/>
      <c r="C287" s="62"/>
    </row>
    <row r="288" spans="2:3" x14ac:dyDescent="0.2">
      <c r="B288" s="62"/>
      <c r="C288" s="62"/>
    </row>
    <row r="289" spans="2:3" x14ac:dyDescent="0.2">
      <c r="B289" s="62"/>
      <c r="C289" s="62"/>
    </row>
    <row r="290" spans="2:3" x14ac:dyDescent="0.2">
      <c r="B290" s="62"/>
      <c r="C290" s="62"/>
    </row>
    <row r="291" spans="2:3" x14ac:dyDescent="0.2">
      <c r="B291" s="62"/>
      <c r="C291" s="62"/>
    </row>
    <row r="292" spans="2:3" x14ac:dyDescent="0.2">
      <c r="B292" s="62"/>
      <c r="C292" s="62"/>
    </row>
    <row r="293" spans="2:3" x14ac:dyDescent="0.2">
      <c r="B293" s="62"/>
      <c r="C293" s="62"/>
    </row>
    <row r="294" spans="2:3" x14ac:dyDescent="0.2">
      <c r="B294" s="62"/>
      <c r="C294" s="62"/>
    </row>
    <row r="295" spans="2:3" x14ac:dyDescent="0.2">
      <c r="B295" s="62"/>
      <c r="C295" s="62"/>
    </row>
    <row r="296" spans="2:3" x14ac:dyDescent="0.2">
      <c r="B296" s="62"/>
      <c r="C296" s="62"/>
    </row>
    <row r="297" spans="2:3" x14ac:dyDescent="0.2">
      <c r="B297" s="62"/>
      <c r="C297" s="62"/>
    </row>
    <row r="298" spans="2:3" x14ac:dyDescent="0.2">
      <c r="B298" s="62"/>
      <c r="C298" s="62"/>
    </row>
    <row r="299" spans="2:3" x14ac:dyDescent="0.2">
      <c r="B299" s="62"/>
      <c r="C299" s="62"/>
    </row>
    <row r="300" spans="2:3" x14ac:dyDescent="0.2">
      <c r="B300" s="62"/>
      <c r="C300" s="62"/>
    </row>
    <row r="301" spans="2:3" x14ac:dyDescent="0.2">
      <c r="B301" s="62"/>
      <c r="C301" s="62"/>
    </row>
    <row r="302" spans="2:3" x14ac:dyDescent="0.2">
      <c r="B302" s="62"/>
      <c r="C302" s="62"/>
    </row>
    <row r="303" spans="2:3" x14ac:dyDescent="0.2">
      <c r="B303" s="62"/>
      <c r="C303" s="62"/>
    </row>
    <row r="304" spans="2:3" x14ac:dyDescent="0.2">
      <c r="B304" s="62"/>
      <c r="C304" s="62"/>
    </row>
    <row r="305" spans="2:3" x14ac:dyDescent="0.2">
      <c r="B305" s="62"/>
      <c r="C305" s="62"/>
    </row>
    <row r="306" spans="2:3" x14ac:dyDescent="0.2">
      <c r="B306" s="62"/>
      <c r="C306" s="62"/>
    </row>
    <row r="307" spans="2:3" x14ac:dyDescent="0.2">
      <c r="B307" s="62"/>
      <c r="C307" s="62"/>
    </row>
    <row r="308" spans="2:3" x14ac:dyDescent="0.2">
      <c r="B308" s="62"/>
      <c r="C308" s="62"/>
    </row>
    <row r="309" spans="2:3" x14ac:dyDescent="0.2">
      <c r="B309" s="62"/>
      <c r="C309" s="62"/>
    </row>
    <row r="310" spans="2:3" x14ac:dyDescent="0.2">
      <c r="B310" s="62"/>
      <c r="C310" s="62"/>
    </row>
    <row r="311" spans="2:3" x14ac:dyDescent="0.2">
      <c r="B311" s="62"/>
      <c r="C311" s="62"/>
    </row>
    <row r="312" spans="2:3" x14ac:dyDescent="0.2">
      <c r="B312" s="62"/>
      <c r="C312" s="62"/>
    </row>
    <row r="313" spans="2:3" x14ac:dyDescent="0.2">
      <c r="B313" s="62"/>
      <c r="C313" s="62"/>
    </row>
    <row r="314" spans="2:3" x14ac:dyDescent="0.2">
      <c r="B314" s="62"/>
      <c r="C314" s="62"/>
    </row>
    <row r="315" spans="2:3" x14ac:dyDescent="0.2">
      <c r="B315" s="62"/>
      <c r="C315" s="62"/>
    </row>
    <row r="316" spans="2:3" x14ac:dyDescent="0.2">
      <c r="B316" s="62"/>
      <c r="C316" s="62"/>
    </row>
    <row r="317" spans="2:3" x14ac:dyDescent="0.2">
      <c r="B317" s="62"/>
      <c r="C317" s="62"/>
    </row>
    <row r="318" spans="2:3" x14ac:dyDescent="0.2">
      <c r="B318" s="62"/>
      <c r="C318" s="62"/>
    </row>
    <row r="319" spans="2:3" x14ac:dyDescent="0.2">
      <c r="B319" s="62"/>
      <c r="C319" s="62"/>
    </row>
    <row r="320" spans="2:3" x14ac:dyDescent="0.2">
      <c r="B320" s="62"/>
      <c r="C320" s="62"/>
    </row>
    <row r="321" spans="2:3" x14ac:dyDescent="0.2">
      <c r="B321" s="62"/>
      <c r="C321" s="62"/>
    </row>
    <row r="322" spans="2:3" x14ac:dyDescent="0.2">
      <c r="B322" s="62"/>
      <c r="C322" s="62"/>
    </row>
    <row r="323" spans="2:3" x14ac:dyDescent="0.2">
      <c r="B323" s="62"/>
      <c r="C323" s="62"/>
    </row>
    <row r="324" spans="2:3" x14ac:dyDescent="0.2">
      <c r="B324" s="62"/>
      <c r="C324" s="62"/>
    </row>
    <row r="325" spans="2:3" x14ac:dyDescent="0.2">
      <c r="B325" s="62"/>
      <c r="C325" s="62"/>
    </row>
    <row r="326" spans="2:3" x14ac:dyDescent="0.2">
      <c r="B326" s="62"/>
      <c r="C326" s="62"/>
    </row>
    <row r="327" spans="2:3" x14ac:dyDescent="0.2">
      <c r="B327" s="62"/>
      <c r="C327" s="62"/>
    </row>
    <row r="328" spans="2:3" x14ac:dyDescent="0.2">
      <c r="B328" s="62"/>
      <c r="C328" s="62"/>
    </row>
    <row r="329" spans="2:3" x14ac:dyDescent="0.2">
      <c r="B329" s="62"/>
      <c r="C329" s="62"/>
    </row>
    <row r="330" spans="2:3" x14ac:dyDescent="0.2">
      <c r="B330" s="62"/>
      <c r="C330" s="62"/>
    </row>
    <row r="331" spans="2:3" x14ac:dyDescent="0.2">
      <c r="B331" s="62"/>
      <c r="C331" s="62"/>
    </row>
    <row r="332" spans="2:3" x14ac:dyDescent="0.2">
      <c r="B332" s="62"/>
      <c r="C332" s="62"/>
    </row>
    <row r="333" spans="2:3" x14ac:dyDescent="0.2">
      <c r="B333" s="62"/>
      <c r="C333" s="62"/>
    </row>
    <row r="334" spans="2:3" x14ac:dyDescent="0.2">
      <c r="B334" s="62"/>
      <c r="C334" s="62"/>
    </row>
    <row r="335" spans="2:3" x14ac:dyDescent="0.2">
      <c r="B335" s="62"/>
      <c r="C335" s="62"/>
    </row>
    <row r="336" spans="2:3" x14ac:dyDescent="0.2">
      <c r="B336" s="62"/>
      <c r="C336" s="62"/>
    </row>
    <row r="337" spans="2:3" x14ac:dyDescent="0.2">
      <c r="B337" s="62"/>
      <c r="C337" s="62"/>
    </row>
  </sheetData>
  <mergeCells count="1">
    <mergeCell ref="A1:F1"/>
  </mergeCells>
  <printOptions headings="1" gridLine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2DF4E-0A2B-4840-BBC9-FFD4ED5B5773}">
  <sheetPr codeName="Sheet1"/>
  <dimension ref="A1:H50"/>
  <sheetViews>
    <sheetView workbookViewId="0">
      <selection sqref="A1:F1"/>
    </sheetView>
  </sheetViews>
  <sheetFormatPr defaultColWidth="10" defaultRowHeight="14.25" x14ac:dyDescent="0.2"/>
  <cols>
    <col min="1" max="1" width="54.85546875" style="49" customWidth="1"/>
    <col min="2" max="3" width="12.28515625" style="49" customWidth="1"/>
    <col min="4" max="6" width="10" style="49"/>
    <col min="7" max="7" width="36.7109375" style="49" customWidth="1"/>
    <col min="8" max="16384" width="10" style="49"/>
  </cols>
  <sheetData>
    <row r="1" spans="1:8" ht="28.15" customHeight="1" x14ac:dyDescent="0.2">
      <c r="A1" s="198" t="s">
        <v>440</v>
      </c>
      <c r="B1" s="199"/>
      <c r="C1" s="199"/>
      <c r="D1" s="199"/>
      <c r="E1" s="199"/>
      <c r="F1" s="200"/>
      <c r="G1" s="63"/>
    </row>
    <row r="2" spans="1:8" ht="15" x14ac:dyDescent="0.2">
      <c r="A2" s="64" t="s">
        <v>441</v>
      </c>
      <c r="B2" s="51">
        <v>2007</v>
      </c>
      <c r="C2" s="51">
        <v>2008</v>
      </c>
      <c r="D2" s="51">
        <v>2009</v>
      </c>
      <c r="E2" s="51">
        <v>2010</v>
      </c>
      <c r="F2" s="65">
        <v>2011</v>
      </c>
      <c r="G2" s="66"/>
      <c r="H2" s="55"/>
    </row>
    <row r="3" spans="1:8" x14ac:dyDescent="0.2">
      <c r="A3" s="67" t="s">
        <v>432</v>
      </c>
      <c r="B3" s="52">
        <v>3578</v>
      </c>
      <c r="C3" s="52">
        <v>3585</v>
      </c>
      <c r="D3" s="52">
        <v>827</v>
      </c>
      <c r="E3" s="52">
        <v>2758</v>
      </c>
      <c r="F3" s="68">
        <v>4981</v>
      </c>
      <c r="G3" s="69"/>
      <c r="H3" s="55"/>
    </row>
    <row r="4" spans="1:8" x14ac:dyDescent="0.2">
      <c r="A4" s="67" t="s">
        <v>442</v>
      </c>
      <c r="B4" s="52"/>
      <c r="C4" s="52"/>
      <c r="D4" s="52"/>
      <c r="E4" s="52"/>
      <c r="F4" s="68"/>
      <c r="G4" s="66"/>
      <c r="H4" s="55"/>
    </row>
    <row r="5" spans="1:8" x14ac:dyDescent="0.2">
      <c r="A5" s="70" t="s">
        <v>443</v>
      </c>
      <c r="B5" s="52">
        <v>1797</v>
      </c>
      <c r="C5" s="52">
        <v>1980</v>
      </c>
      <c r="D5" s="52">
        <v>2336</v>
      </c>
      <c r="E5" s="52">
        <v>2296</v>
      </c>
      <c r="F5" s="68">
        <v>2527</v>
      </c>
      <c r="G5" s="71" t="s">
        <v>444</v>
      </c>
      <c r="H5" s="55"/>
    </row>
    <row r="6" spans="1:8" x14ac:dyDescent="0.2">
      <c r="A6" s="70" t="s">
        <v>445</v>
      </c>
      <c r="B6" s="52">
        <v>162</v>
      </c>
      <c r="C6" s="52">
        <v>355</v>
      </c>
      <c r="D6" s="52">
        <v>137</v>
      </c>
      <c r="E6" s="52">
        <v>469</v>
      </c>
      <c r="F6" s="68">
        <v>457</v>
      </c>
      <c r="G6" s="66"/>
      <c r="H6" s="55"/>
    </row>
    <row r="7" spans="1:8" ht="28.5" x14ac:dyDescent="0.2">
      <c r="A7" s="67" t="s">
        <v>446</v>
      </c>
      <c r="B7" s="52"/>
      <c r="C7" s="52"/>
      <c r="D7" s="52"/>
      <c r="E7" s="52"/>
      <c r="F7" s="68"/>
      <c r="G7" s="66"/>
      <c r="H7" s="55"/>
    </row>
    <row r="8" spans="1:8" x14ac:dyDescent="0.2">
      <c r="A8" s="70" t="s">
        <v>447</v>
      </c>
      <c r="B8" s="52">
        <v>899</v>
      </c>
      <c r="C8" s="52">
        <v>-545</v>
      </c>
      <c r="D8" s="52">
        <v>4014</v>
      </c>
      <c r="E8" s="52">
        <v>-2320</v>
      </c>
      <c r="F8" s="68">
        <v>-1345</v>
      </c>
      <c r="G8" s="201" t="s">
        <v>448</v>
      </c>
      <c r="H8" s="55"/>
    </row>
    <row r="9" spans="1:8" x14ac:dyDescent="0.2">
      <c r="A9" s="70" t="s">
        <v>449</v>
      </c>
      <c r="B9" s="52">
        <v>-745</v>
      </c>
      <c r="C9" s="52">
        <v>-833</v>
      </c>
      <c r="D9" s="52">
        <v>2501</v>
      </c>
      <c r="E9" s="52">
        <v>-2667</v>
      </c>
      <c r="F9" s="68">
        <v>-2927</v>
      </c>
      <c r="G9" s="201"/>
      <c r="H9" s="55"/>
    </row>
    <row r="10" spans="1:8" x14ac:dyDescent="0.2">
      <c r="A10" s="70" t="s">
        <v>450</v>
      </c>
      <c r="B10" s="52">
        <v>387</v>
      </c>
      <c r="C10" s="52">
        <v>-4</v>
      </c>
      <c r="D10" s="52">
        <v>-2034</v>
      </c>
      <c r="E10" s="52">
        <v>2570</v>
      </c>
      <c r="F10" s="68">
        <v>1555</v>
      </c>
      <c r="G10" s="201"/>
      <c r="H10" s="55"/>
    </row>
    <row r="11" spans="1:8" x14ac:dyDescent="0.2">
      <c r="A11" s="70" t="s">
        <v>451</v>
      </c>
      <c r="B11" s="52">
        <v>231</v>
      </c>
      <c r="C11" s="52">
        <v>660</v>
      </c>
      <c r="D11" s="52">
        <v>-505</v>
      </c>
      <c r="E11" s="52">
        <v>117</v>
      </c>
      <c r="F11" s="68">
        <v>308</v>
      </c>
      <c r="G11" s="201"/>
      <c r="H11" s="55"/>
    </row>
    <row r="12" spans="1:8" x14ac:dyDescent="0.2">
      <c r="A12" s="70" t="s">
        <v>452</v>
      </c>
      <c r="B12" s="52">
        <v>576</v>
      </c>
      <c r="C12" s="52">
        <v>286</v>
      </c>
      <c r="D12" s="52">
        <v>-534</v>
      </c>
      <c r="E12" s="52">
        <v>847</v>
      </c>
      <c r="F12" s="68">
        <v>619</v>
      </c>
      <c r="G12" s="201"/>
      <c r="H12" s="55"/>
    </row>
    <row r="13" spans="1:8" x14ac:dyDescent="0.2">
      <c r="A13" s="70" t="s">
        <v>423</v>
      </c>
      <c r="B13" s="52">
        <v>66</v>
      </c>
      <c r="C13" s="52">
        <v>-470</v>
      </c>
      <c r="D13" s="52">
        <v>-646</v>
      </c>
      <c r="E13" s="52">
        <v>604</v>
      </c>
      <c r="F13" s="68">
        <v>173</v>
      </c>
      <c r="G13" s="201"/>
      <c r="H13" s="55"/>
    </row>
    <row r="14" spans="1:8" x14ac:dyDescent="0.2">
      <c r="A14" s="70" t="s">
        <v>453</v>
      </c>
      <c r="B14" s="52">
        <v>1004</v>
      </c>
      <c r="C14" s="52">
        <v>-217</v>
      </c>
      <c r="D14" s="52">
        <v>235</v>
      </c>
      <c r="E14" s="52">
        <v>358</v>
      </c>
      <c r="F14" s="68">
        <v>-91</v>
      </c>
      <c r="G14" s="201"/>
      <c r="H14" s="55"/>
    </row>
    <row r="15" spans="1:8" x14ac:dyDescent="0.2">
      <c r="A15" s="70" t="s">
        <v>454</v>
      </c>
      <c r="B15" s="52"/>
      <c r="C15" s="52"/>
      <c r="D15" s="52">
        <v>12</v>
      </c>
      <c r="E15" s="52">
        <v>-23</v>
      </c>
      <c r="F15" s="68">
        <v>753</v>
      </c>
      <c r="G15" s="201"/>
      <c r="H15" s="55"/>
    </row>
    <row r="16" spans="1:8" ht="15" x14ac:dyDescent="0.25">
      <c r="A16" s="64" t="s">
        <v>455</v>
      </c>
      <c r="B16" s="72">
        <f>SUM(B3:B15)</f>
        <v>7955</v>
      </c>
      <c r="C16" s="72">
        <f>SUM(C3:C15)</f>
        <v>4797</v>
      </c>
      <c r="D16" s="72">
        <f>SUM(D3:D15)</f>
        <v>6343</v>
      </c>
      <c r="E16" s="72">
        <f>SUM(E3:E15)</f>
        <v>5009</v>
      </c>
      <c r="F16" s="73">
        <f>SUM(F3:F15)</f>
        <v>7010</v>
      </c>
    </row>
    <row r="17" spans="1:8" x14ac:dyDescent="0.2">
      <c r="A17" s="74"/>
      <c r="B17" s="52"/>
      <c r="C17" s="52"/>
      <c r="D17" s="75"/>
      <c r="E17" s="75"/>
      <c r="F17" s="76"/>
    </row>
    <row r="18" spans="1:8" ht="15" x14ac:dyDescent="0.2">
      <c r="A18" s="64" t="s">
        <v>456</v>
      </c>
      <c r="B18" s="52"/>
      <c r="C18" s="52"/>
      <c r="D18" s="52"/>
      <c r="E18" s="52"/>
      <c r="F18" s="68"/>
      <c r="G18" s="66"/>
      <c r="H18" s="55"/>
    </row>
    <row r="19" spans="1:8" ht="28.5" x14ac:dyDescent="0.2">
      <c r="A19" s="67" t="s">
        <v>457</v>
      </c>
      <c r="B19" s="52">
        <v>-1700</v>
      </c>
      <c r="C19" s="52">
        <v>-2445</v>
      </c>
      <c r="D19" s="52">
        <v>-1348</v>
      </c>
      <c r="E19" s="52">
        <v>-1575</v>
      </c>
      <c r="F19" s="68">
        <v>-2515</v>
      </c>
      <c r="G19" s="66"/>
      <c r="H19" s="55"/>
    </row>
    <row r="20" spans="1:8" x14ac:dyDescent="0.2">
      <c r="A20" s="77" t="s">
        <v>458</v>
      </c>
      <c r="B20" s="71">
        <v>-1340</v>
      </c>
      <c r="C20" s="71">
        <v>-1566</v>
      </c>
      <c r="D20" s="71">
        <v>-968</v>
      </c>
      <c r="E20" s="71">
        <v>-1011</v>
      </c>
      <c r="F20" s="78">
        <v>-1409</v>
      </c>
      <c r="G20" s="66" t="s">
        <v>459</v>
      </c>
      <c r="H20" s="66"/>
    </row>
    <row r="21" spans="1:8" ht="28.5" x14ac:dyDescent="0.2">
      <c r="A21" s="79" t="s">
        <v>460</v>
      </c>
      <c r="B21" s="71">
        <v>408</v>
      </c>
      <c r="C21" s="71">
        <v>982</v>
      </c>
      <c r="D21" s="71">
        <v>1242</v>
      </c>
      <c r="E21" s="71">
        <v>1469</v>
      </c>
      <c r="F21" s="78">
        <v>1354</v>
      </c>
      <c r="G21" s="66" t="s">
        <v>459</v>
      </c>
      <c r="H21" s="66"/>
    </row>
    <row r="22" spans="1:8" x14ac:dyDescent="0.2">
      <c r="A22" s="77" t="s">
        <v>461</v>
      </c>
      <c r="B22" s="71">
        <v>-13946</v>
      </c>
      <c r="C22" s="71">
        <v>-14031</v>
      </c>
      <c r="D22" s="71">
        <v>-7107</v>
      </c>
      <c r="E22" s="71">
        <v>-8498</v>
      </c>
      <c r="F22" s="78">
        <v>-10001</v>
      </c>
      <c r="G22" s="66" t="s">
        <v>459</v>
      </c>
      <c r="H22" s="66"/>
    </row>
    <row r="23" spans="1:8" x14ac:dyDescent="0.2">
      <c r="A23" s="77" t="s">
        <v>462</v>
      </c>
      <c r="B23" s="71">
        <v>10985</v>
      </c>
      <c r="C23" s="71">
        <v>9717</v>
      </c>
      <c r="D23" s="71">
        <v>9288</v>
      </c>
      <c r="E23" s="71">
        <v>8987</v>
      </c>
      <c r="F23" s="78">
        <v>8874</v>
      </c>
      <c r="G23" s="66" t="s">
        <v>459</v>
      </c>
      <c r="H23" s="66"/>
    </row>
    <row r="24" spans="1:8" x14ac:dyDescent="0.2">
      <c r="A24" s="77" t="s">
        <v>463</v>
      </c>
      <c r="B24" s="71">
        <v>866</v>
      </c>
      <c r="C24" s="71">
        <v>949</v>
      </c>
      <c r="D24" s="71">
        <v>100</v>
      </c>
      <c r="E24" s="71">
        <v>16</v>
      </c>
      <c r="F24" s="78">
        <v>207</v>
      </c>
      <c r="G24" s="66" t="s">
        <v>459</v>
      </c>
      <c r="H24" s="66"/>
    </row>
    <row r="25" spans="1:8" x14ac:dyDescent="0.2">
      <c r="A25" s="77" t="s">
        <v>464</v>
      </c>
      <c r="B25" s="71">
        <v>-229</v>
      </c>
      <c r="C25" s="71">
        <v>-117</v>
      </c>
      <c r="D25" s="71">
        <v>-19</v>
      </c>
      <c r="E25" s="71">
        <v>-1126</v>
      </c>
      <c r="F25" s="78">
        <v>-8184</v>
      </c>
      <c r="G25" s="66"/>
      <c r="H25" s="66"/>
    </row>
    <row r="26" spans="1:8" x14ac:dyDescent="0.2">
      <c r="A26" s="77" t="s">
        <v>465</v>
      </c>
      <c r="B26" s="71">
        <v>290</v>
      </c>
      <c r="C26" s="71">
        <v>0</v>
      </c>
      <c r="D26" s="71">
        <v>0</v>
      </c>
      <c r="E26" s="71">
        <v>0</v>
      </c>
      <c r="F26" s="78">
        <v>376</v>
      </c>
      <c r="G26" s="66" t="s">
        <v>466</v>
      </c>
      <c r="H26" s="66"/>
    </row>
    <row r="27" spans="1:8" x14ac:dyDescent="0.2">
      <c r="A27" s="77" t="s">
        <v>467</v>
      </c>
      <c r="B27" s="71">
        <v>282</v>
      </c>
      <c r="C27" s="71">
        <v>357</v>
      </c>
      <c r="D27" s="71">
        <v>291</v>
      </c>
      <c r="E27" s="71">
        <v>228</v>
      </c>
      <c r="F27" s="78">
        <v>247</v>
      </c>
      <c r="G27" s="66" t="s">
        <v>468</v>
      </c>
      <c r="H27" s="66"/>
    </row>
    <row r="28" spans="1:8" x14ac:dyDescent="0.2">
      <c r="A28" s="77" t="s">
        <v>469</v>
      </c>
      <c r="B28" s="71">
        <v>-485</v>
      </c>
      <c r="C28" s="71">
        <v>-339</v>
      </c>
      <c r="D28" s="71">
        <v>-349</v>
      </c>
      <c r="E28" s="71">
        <v>-217</v>
      </c>
      <c r="F28" s="78">
        <v>-336</v>
      </c>
      <c r="G28" s="66" t="s">
        <v>468</v>
      </c>
      <c r="H28" s="66"/>
    </row>
    <row r="29" spans="1:8" x14ac:dyDescent="0.2">
      <c r="A29" s="77" t="s">
        <v>470</v>
      </c>
      <c r="B29" s="71">
        <v>461</v>
      </c>
      <c r="C29" s="71">
        <v>197</v>
      </c>
      <c r="D29" s="71">
        <v>-128</v>
      </c>
      <c r="E29" s="71">
        <v>132</v>
      </c>
      <c r="F29" s="78">
        <v>-40</v>
      </c>
      <c r="G29" s="66" t="s">
        <v>471</v>
      </c>
      <c r="H29" s="66"/>
    </row>
    <row r="30" spans="1:8" ht="15" x14ac:dyDescent="0.2">
      <c r="A30" s="80" t="s">
        <v>472</v>
      </c>
      <c r="B30" s="81">
        <f>SUM(B19:B29)</f>
        <v>-4408</v>
      </c>
      <c r="C30" s="81">
        <f>SUM(C19:C29)</f>
        <v>-6296</v>
      </c>
      <c r="D30" s="81">
        <f>SUM(D19:D29)</f>
        <v>1002</v>
      </c>
      <c r="E30" s="81">
        <f>SUM(E19:E29)</f>
        <v>-1595</v>
      </c>
      <c r="F30" s="82">
        <f>SUM(F19:F29)</f>
        <v>-11427</v>
      </c>
      <c r="G30" s="66"/>
      <c r="H30" s="66"/>
    </row>
    <row r="31" spans="1:8" x14ac:dyDescent="0.2">
      <c r="A31" s="77"/>
      <c r="B31" s="71"/>
      <c r="C31" s="71"/>
      <c r="D31" s="71"/>
      <c r="E31" s="71"/>
      <c r="F31" s="78"/>
      <c r="G31" s="66"/>
      <c r="H31" s="66"/>
    </row>
    <row r="32" spans="1:8" ht="15" x14ac:dyDescent="0.2">
      <c r="A32" s="80" t="s">
        <v>473</v>
      </c>
      <c r="B32" s="71"/>
      <c r="C32" s="71"/>
      <c r="D32" s="71"/>
      <c r="E32" s="71"/>
      <c r="F32" s="78"/>
      <c r="G32" s="66"/>
      <c r="H32" s="66"/>
    </row>
    <row r="33" spans="1:8" x14ac:dyDescent="0.2">
      <c r="A33" s="77" t="s">
        <v>474</v>
      </c>
      <c r="B33" s="71">
        <v>-845</v>
      </c>
      <c r="C33" s="71">
        <v>-953</v>
      </c>
      <c r="D33" s="71">
        <v>-1029</v>
      </c>
      <c r="E33" s="71">
        <v>-1084</v>
      </c>
      <c r="F33" s="78">
        <v>-1159</v>
      </c>
      <c r="G33" s="202" t="s">
        <v>475</v>
      </c>
      <c r="H33" s="66"/>
    </row>
    <row r="34" spans="1:8" x14ac:dyDescent="0.2">
      <c r="A34" s="77" t="s">
        <v>476</v>
      </c>
      <c r="B34" s="71">
        <v>-20</v>
      </c>
      <c r="C34" s="71">
        <v>-10</v>
      </c>
      <c r="D34" s="71">
        <v>-10</v>
      </c>
      <c r="E34" s="71">
        <v>0</v>
      </c>
      <c r="F34" s="78">
        <v>-3</v>
      </c>
      <c r="G34" s="202"/>
      <c r="H34" s="66"/>
    </row>
    <row r="35" spans="1:8" ht="28.5" x14ac:dyDescent="0.2">
      <c r="A35" s="67" t="s">
        <v>477</v>
      </c>
      <c r="B35" s="52">
        <v>328</v>
      </c>
      <c r="C35" s="52">
        <v>135</v>
      </c>
      <c r="D35" s="52">
        <v>89</v>
      </c>
      <c r="E35" s="52">
        <v>296</v>
      </c>
      <c r="F35" s="68">
        <v>123</v>
      </c>
      <c r="G35" s="202"/>
      <c r="H35" s="55"/>
    </row>
    <row r="36" spans="1:8" x14ac:dyDescent="0.2">
      <c r="A36" s="67" t="s">
        <v>478</v>
      </c>
      <c r="B36" s="52">
        <v>-56</v>
      </c>
      <c r="C36" s="52">
        <v>-38</v>
      </c>
      <c r="D36" s="52"/>
      <c r="E36" s="52"/>
      <c r="F36" s="68"/>
      <c r="G36" s="202"/>
      <c r="H36" s="55"/>
    </row>
    <row r="37" spans="1:8" x14ac:dyDescent="0.2">
      <c r="A37" s="67" t="s">
        <v>479</v>
      </c>
      <c r="B37" s="52">
        <v>-2405</v>
      </c>
      <c r="C37" s="52">
        <v>-1800</v>
      </c>
      <c r="D37" s="52"/>
      <c r="E37" s="52"/>
      <c r="F37" s="68"/>
      <c r="G37" s="202"/>
      <c r="H37" s="55"/>
    </row>
    <row r="38" spans="1:8" x14ac:dyDescent="0.2">
      <c r="A38" s="67" t="s">
        <v>480</v>
      </c>
      <c r="B38" s="52">
        <v>155</v>
      </c>
      <c r="C38" s="52">
        <v>56</v>
      </c>
      <c r="D38" s="52">
        <v>21</v>
      </c>
      <c r="E38" s="52">
        <v>153</v>
      </c>
      <c r="F38" s="68">
        <v>189</v>
      </c>
      <c r="G38" s="202"/>
      <c r="H38" s="55"/>
    </row>
    <row r="39" spans="1:8" x14ac:dyDescent="0.2">
      <c r="A39" s="67" t="s">
        <v>481</v>
      </c>
      <c r="B39" s="52">
        <v>0</v>
      </c>
      <c r="C39" s="52">
        <v>0</v>
      </c>
      <c r="D39" s="52">
        <v>-6</v>
      </c>
      <c r="E39" s="52">
        <v>-132</v>
      </c>
      <c r="F39" s="68">
        <v>-8</v>
      </c>
      <c r="G39" s="202"/>
      <c r="H39" s="55"/>
    </row>
    <row r="40" spans="1:8" ht="28.5" x14ac:dyDescent="0.2">
      <c r="A40" s="67" t="s">
        <v>482</v>
      </c>
      <c r="B40" s="52"/>
      <c r="C40" s="52"/>
      <c r="D40" s="52"/>
      <c r="E40" s="52"/>
      <c r="F40" s="68"/>
      <c r="G40" s="202"/>
      <c r="H40" s="55"/>
    </row>
    <row r="41" spans="1:8" x14ac:dyDescent="0.2">
      <c r="A41" s="83" t="s">
        <v>483</v>
      </c>
      <c r="B41" s="52">
        <v>224</v>
      </c>
      <c r="C41" s="52">
        <v>1673</v>
      </c>
      <c r="D41" s="52">
        <v>458</v>
      </c>
      <c r="E41" s="52">
        <v>216</v>
      </c>
      <c r="F41" s="68">
        <v>4587</v>
      </c>
      <c r="G41" s="202"/>
      <c r="H41" s="55"/>
    </row>
    <row r="42" spans="1:8" x14ac:dyDescent="0.2">
      <c r="A42" s="83" t="s">
        <v>484</v>
      </c>
      <c r="B42" s="52">
        <v>10815</v>
      </c>
      <c r="C42" s="52">
        <v>16257</v>
      </c>
      <c r="D42" s="52">
        <v>11833</v>
      </c>
      <c r="E42" s="52">
        <v>8108</v>
      </c>
      <c r="F42" s="68">
        <v>10873</v>
      </c>
      <c r="G42" s="202"/>
      <c r="H42" s="55"/>
    </row>
    <row r="43" spans="1:8" ht="28.5" x14ac:dyDescent="0.2">
      <c r="A43" s="67" t="s">
        <v>485</v>
      </c>
      <c r="B43" s="52"/>
      <c r="C43" s="52"/>
      <c r="D43" s="52"/>
      <c r="E43" s="52"/>
      <c r="F43" s="68"/>
      <c r="G43" s="202"/>
      <c r="H43" s="55"/>
    </row>
    <row r="44" spans="1:8" x14ac:dyDescent="0.2">
      <c r="A44" s="83" t="s">
        <v>483</v>
      </c>
      <c r="B44" s="52">
        <v>-598</v>
      </c>
      <c r="C44" s="52">
        <v>-296</v>
      </c>
      <c r="D44" s="52">
        <v>-918</v>
      </c>
      <c r="E44" s="52">
        <v>-1298</v>
      </c>
      <c r="F44" s="68">
        <v>-2269</v>
      </c>
      <c r="G44" s="202"/>
      <c r="H44" s="55"/>
    </row>
    <row r="45" spans="1:8" x14ac:dyDescent="0.2">
      <c r="A45" s="83" t="s">
        <v>484</v>
      </c>
      <c r="B45" s="52">
        <v>-10290</v>
      </c>
      <c r="C45" s="52">
        <v>-14143</v>
      </c>
      <c r="D45" s="52">
        <v>-11769</v>
      </c>
      <c r="E45" s="52">
        <v>-11163</v>
      </c>
      <c r="F45" s="68">
        <v>-8324</v>
      </c>
      <c r="G45" s="202"/>
      <c r="H45" s="55"/>
    </row>
    <row r="46" spans="1:8" ht="28.5" x14ac:dyDescent="0.2">
      <c r="A46" s="67" t="s">
        <v>486</v>
      </c>
      <c r="B46" s="52">
        <v>-297</v>
      </c>
      <c r="C46" s="52">
        <v>2074</v>
      </c>
      <c r="D46" s="52">
        <v>-3884</v>
      </c>
      <c r="E46" s="52">
        <v>291</v>
      </c>
      <c r="F46" s="68">
        <v>-43</v>
      </c>
      <c r="G46" s="202"/>
      <c r="H46" s="55"/>
    </row>
    <row r="47" spans="1:8" ht="15" x14ac:dyDescent="0.2">
      <c r="A47" s="84" t="s">
        <v>487</v>
      </c>
      <c r="B47" s="85">
        <f>SUM(B33:B46)</f>
        <v>-2989</v>
      </c>
      <c r="C47" s="85">
        <f>SUM(C33:C46)</f>
        <v>2955</v>
      </c>
      <c r="D47" s="85">
        <f>SUM(D33:D46)</f>
        <v>-5215</v>
      </c>
      <c r="E47" s="85">
        <f>SUM(E33:E46)</f>
        <v>-4613</v>
      </c>
      <c r="F47" s="86">
        <f>SUM(F33:F46)</f>
        <v>3966</v>
      </c>
      <c r="G47" s="66"/>
      <c r="H47" s="55"/>
    </row>
    <row r="48" spans="1:8" x14ac:dyDescent="0.2">
      <c r="A48" s="58"/>
      <c r="B48" s="52"/>
      <c r="C48" s="52"/>
      <c r="G48" s="66"/>
      <c r="H48" s="55"/>
    </row>
    <row r="49" spans="1:8" x14ac:dyDescent="0.2">
      <c r="A49" s="87" t="s">
        <v>426</v>
      </c>
      <c r="B49" s="88">
        <f>'^Profit and Loss^'!B17</f>
        <v>-64.099999999999994</v>
      </c>
      <c r="C49" s="88">
        <f>'^Profit and Loss^'!C17</f>
        <v>-70.5</v>
      </c>
      <c r="D49" s="88">
        <f>'^Profit and Loss^'!D17</f>
        <v>-81.3</v>
      </c>
      <c r="E49" s="88">
        <f>'^Profit and Loss^'!E17</f>
        <v>-92.5</v>
      </c>
      <c r="F49" s="89">
        <f>'^Profit and Loss^'!F17</f>
        <v>-223.2</v>
      </c>
      <c r="G49" s="66"/>
      <c r="H49" s="55"/>
    </row>
    <row r="50" spans="1:8" x14ac:dyDescent="0.2">
      <c r="A50" s="90" t="s">
        <v>378</v>
      </c>
      <c r="B50" s="91">
        <f>'^Profit and Loss^'!B22/'^Profit and Loss^'!B20</f>
        <v>6.6651611052448476E-2</v>
      </c>
      <c r="C50" s="91">
        <f>'^Profit and Loss^'!C22/'^Profit and Loss^'!C20</f>
        <v>5.9904044583651964E-2</v>
      </c>
      <c r="D50" s="91">
        <f>'^Profit and Loss^'!D22/'^Profit and Loss^'!D20</f>
        <v>6.4974145969314237E-2</v>
      </c>
      <c r="E50" s="91">
        <f>'^Profit and Loss^'!E22/'^Profit and Loss^'!E20</f>
        <v>6.4258577304512815E-2</v>
      </c>
      <c r="F50" s="92">
        <f>'^Profit and Loss^'!F22/'^Profit and Loss^'!F20</f>
        <v>2.8389203082780888E-2</v>
      </c>
    </row>
  </sheetData>
  <mergeCells count="3">
    <mergeCell ref="A1:F1"/>
    <mergeCell ref="G8:G15"/>
    <mergeCell ref="G33:G46"/>
  </mergeCells>
  <printOptions headings="1" gridLines="1"/>
  <pageMargins left="0.7" right="0.7" top="0.75" bottom="0.75" header="0.3" footer="0.3"/>
  <pageSetup paperSize="9" orientation="portrait" verticalDpi="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873E-A586-4F50-B8C2-EAF1B9752B8D}">
  <sheetPr codeName="Sheet6"/>
  <dimension ref="A1:E33"/>
  <sheetViews>
    <sheetView workbookViewId="0">
      <selection sqref="A1:E1"/>
    </sheetView>
  </sheetViews>
  <sheetFormatPr defaultColWidth="10" defaultRowHeight="14.25" x14ac:dyDescent="0.2"/>
  <cols>
    <col min="1" max="1" width="11.7109375" style="96" customWidth="1"/>
    <col min="2" max="2" width="12.5703125" style="96" customWidth="1"/>
    <col min="3" max="3" width="13.7109375" style="96" customWidth="1"/>
    <col min="4" max="4" width="11.42578125" style="96" customWidth="1"/>
    <col min="5" max="16384" width="10" style="96"/>
  </cols>
  <sheetData>
    <row r="1" spans="1:5" ht="18" x14ac:dyDescent="0.2">
      <c r="A1" s="203" t="s">
        <v>610</v>
      </c>
      <c r="B1" s="203"/>
      <c r="C1" s="203"/>
      <c r="D1" s="203"/>
      <c r="E1" s="203"/>
    </row>
    <row r="2" spans="1:5" ht="45" x14ac:dyDescent="0.2">
      <c r="A2" s="51" t="s">
        <v>380</v>
      </c>
      <c r="B2" s="51" t="s">
        <v>83</v>
      </c>
      <c r="C2" s="51" t="s">
        <v>84</v>
      </c>
      <c r="D2" s="51" t="s">
        <v>24</v>
      </c>
      <c r="E2" s="97" t="s">
        <v>492</v>
      </c>
    </row>
    <row r="3" spans="1:5" x14ac:dyDescent="0.2">
      <c r="A3" s="98">
        <v>2014</v>
      </c>
      <c r="B3" s="99">
        <f>'#Income Statement#'!B17</f>
        <v>16447.8</v>
      </c>
      <c r="C3" s="99" t="str">
        <f>'#Income Statement#'!B18</f>
        <v>-</v>
      </c>
      <c r="D3" s="100">
        <f>SUM(B3:C3)</f>
        <v>16447.8</v>
      </c>
    </row>
    <row r="4" spans="1:5" x14ac:dyDescent="0.2">
      <c r="A4" s="98">
        <v>2015</v>
      </c>
      <c r="B4" s="99">
        <f>'#Income Statement#'!C17</f>
        <v>19162.7</v>
      </c>
      <c r="C4" s="99" t="str">
        <f>'#Income Statement#'!C18</f>
        <v>-</v>
      </c>
      <c r="D4" s="100">
        <f t="shared" ref="D4:D6" si="0">SUM(B4:C4)</f>
        <v>19162.7</v>
      </c>
      <c r="E4" s="101">
        <f>D4/D3-1</f>
        <v>0.16506158878391042</v>
      </c>
    </row>
    <row r="5" spans="1:5" x14ac:dyDescent="0.2">
      <c r="A5" s="98">
        <v>2016</v>
      </c>
      <c r="B5" s="99">
        <f>'#Income Statement#'!D17</f>
        <v>18998.3</v>
      </c>
      <c r="C5" s="99">
        <f>'#Income Statement#'!D18</f>
        <v>2317.6</v>
      </c>
      <c r="D5" s="100">
        <f t="shared" si="0"/>
        <v>21315.899999999998</v>
      </c>
      <c r="E5" s="101">
        <f t="shared" ref="E5:E6" si="1">D5/D4-1</f>
        <v>0.1123641240534996</v>
      </c>
    </row>
    <row r="6" spans="1:5" x14ac:dyDescent="0.2">
      <c r="A6" s="98">
        <v>2017</v>
      </c>
      <c r="B6" s="99">
        <f>'#Income Statement#'!E17</f>
        <v>20005.7</v>
      </c>
      <c r="C6" s="99">
        <f>'#Income Statement#'!E18</f>
        <v>2381.1</v>
      </c>
      <c r="D6" s="100">
        <f t="shared" si="0"/>
        <v>22386.799999999999</v>
      </c>
      <c r="E6" s="101">
        <f t="shared" si="1"/>
        <v>5.0239492585347101E-2</v>
      </c>
    </row>
    <row r="7" spans="1:5" x14ac:dyDescent="0.2">
      <c r="A7" s="98">
        <v>2018</v>
      </c>
      <c r="B7" s="99">
        <f>'#Income Statement#'!F17</f>
        <v>23025.7</v>
      </c>
      <c r="C7" s="99">
        <f>'#Income Statement#'!F18</f>
        <v>2252.8000000000002</v>
      </c>
      <c r="D7" s="100">
        <f>SUM(B7:C7)</f>
        <v>25278.5</v>
      </c>
      <c r="E7" s="101">
        <f>D7/D6-1</f>
        <v>0.12916986795790386</v>
      </c>
    </row>
    <row r="8" spans="1:5" x14ac:dyDescent="0.2">
      <c r="A8" s="98"/>
      <c r="B8" s="99"/>
      <c r="C8" s="99"/>
      <c r="D8" s="100"/>
      <c r="E8" s="101"/>
    </row>
    <row r="9" spans="1:5" x14ac:dyDescent="0.2">
      <c r="A9" s="98"/>
      <c r="B9" s="99"/>
      <c r="C9" s="99"/>
      <c r="D9" s="100"/>
      <c r="E9" s="101"/>
    </row>
    <row r="10" spans="1:5" x14ac:dyDescent="0.2">
      <c r="A10" s="102"/>
      <c r="B10" s="100"/>
      <c r="C10" s="100"/>
      <c r="D10" s="100"/>
      <c r="E10" s="101"/>
    </row>
    <row r="11" spans="1:5" x14ac:dyDescent="0.2">
      <c r="A11" s="102"/>
      <c r="B11" s="100"/>
      <c r="C11" s="100"/>
      <c r="D11" s="100"/>
      <c r="E11" s="101"/>
    </row>
    <row r="12" spans="1:5" x14ac:dyDescent="0.2">
      <c r="A12" s="102"/>
      <c r="B12" s="100"/>
      <c r="C12" s="100"/>
      <c r="D12" s="100"/>
      <c r="E12" s="101"/>
    </row>
    <row r="13" spans="1:5" x14ac:dyDescent="0.2">
      <c r="A13" s="102"/>
      <c r="B13" s="100"/>
      <c r="C13" s="100"/>
      <c r="D13" s="100"/>
      <c r="E13" s="101"/>
    </row>
    <row r="14" spans="1:5" x14ac:dyDescent="0.2">
      <c r="A14" s="102"/>
      <c r="B14" s="100"/>
      <c r="C14" s="100"/>
      <c r="D14" s="100"/>
      <c r="E14" s="101"/>
    </row>
    <row r="16" spans="1:5" x14ac:dyDescent="0.2">
      <c r="A16" s="204" t="s">
        <v>493</v>
      </c>
      <c r="B16" s="204"/>
      <c r="C16" s="204"/>
      <c r="D16" s="204"/>
      <c r="E16" s="204"/>
    </row>
    <row r="17" spans="1:5" x14ac:dyDescent="0.2">
      <c r="A17" s="103" t="s">
        <v>494</v>
      </c>
      <c r="B17" s="104">
        <f>(D7/D3)^(1/5)-1</f>
        <v>8.9754564259094005E-2</v>
      </c>
    </row>
    <row r="18" spans="1:5" x14ac:dyDescent="0.2">
      <c r="A18" s="96" t="s">
        <v>495</v>
      </c>
      <c r="B18" s="99">
        <f>SLOPE(D3:D7,A3:A7)</f>
        <v>2088.5500000000002</v>
      </c>
    </row>
    <row r="19" spans="1:5" ht="28.5" x14ac:dyDescent="0.2">
      <c r="A19" s="105" t="s">
        <v>602</v>
      </c>
      <c r="B19" s="106">
        <f>B18/D7</f>
        <v>8.2621595426943847E-2</v>
      </c>
      <c r="C19" s="107"/>
    </row>
    <row r="21" spans="1:5" x14ac:dyDescent="0.2">
      <c r="A21" s="96" t="s">
        <v>496</v>
      </c>
      <c r="B21" s="99">
        <f>INTERCEPT(D3:D7,A3:A7)</f>
        <v>-4189598.4600000009</v>
      </c>
    </row>
    <row r="22" spans="1:5" x14ac:dyDescent="0.2">
      <c r="A22" s="96" t="s">
        <v>497</v>
      </c>
      <c r="B22" s="108">
        <f>RSQ(D3:D7,A3:A7)</f>
        <v>0.98258722658879272</v>
      </c>
    </row>
    <row r="24" spans="1:5" x14ac:dyDescent="0.2">
      <c r="A24" s="204"/>
      <c r="B24" s="204"/>
      <c r="C24" s="204"/>
      <c r="D24" s="204"/>
      <c r="E24" s="204"/>
    </row>
    <row r="25" spans="1:5" x14ac:dyDescent="0.2">
      <c r="B25" s="101"/>
    </row>
    <row r="26" spans="1:5" x14ac:dyDescent="0.2">
      <c r="B26" s="101"/>
    </row>
    <row r="27" spans="1:5" x14ac:dyDescent="0.2">
      <c r="B27" s="101"/>
    </row>
    <row r="28" spans="1:5" x14ac:dyDescent="0.2">
      <c r="B28" s="101"/>
    </row>
    <row r="29" spans="1:5" x14ac:dyDescent="0.2">
      <c r="B29" s="101"/>
    </row>
    <row r="30" spans="1:5" x14ac:dyDescent="0.2">
      <c r="B30" s="101"/>
    </row>
    <row r="31" spans="1:5" x14ac:dyDescent="0.2">
      <c r="B31" s="101"/>
    </row>
    <row r="32" spans="1:5" x14ac:dyDescent="0.2">
      <c r="B32" s="101"/>
    </row>
    <row r="33" spans="2:2" x14ac:dyDescent="0.2">
      <c r="B33" s="101"/>
    </row>
  </sheetData>
  <mergeCells count="3">
    <mergeCell ref="A1:E1"/>
    <mergeCell ref="A16:E16"/>
    <mergeCell ref="A24:E24"/>
  </mergeCells>
  <printOptions headings="1" gridLines="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8A8D-AEA2-4776-B2AA-20A6C6606F15}">
  <sheetPr codeName="Sheet16"/>
  <dimension ref="A1:G7"/>
  <sheetViews>
    <sheetView workbookViewId="0">
      <selection sqref="A1:F1"/>
    </sheetView>
  </sheetViews>
  <sheetFormatPr defaultRowHeight="14.25" x14ac:dyDescent="0.2"/>
  <cols>
    <col min="1" max="1" width="15.7109375" style="49" customWidth="1"/>
    <col min="2" max="2" width="13.85546875" style="49" bestFit="1" customWidth="1"/>
    <col min="3" max="6" width="10.5703125" style="49" bestFit="1" customWidth="1"/>
    <col min="7" max="7" width="52.85546875" style="49" bestFit="1" customWidth="1"/>
    <col min="8" max="16384" width="9.140625" style="49"/>
  </cols>
  <sheetData>
    <row r="1" spans="1:7" ht="18" x14ac:dyDescent="0.25">
      <c r="A1" s="205" t="s">
        <v>611</v>
      </c>
      <c r="B1" s="205"/>
      <c r="C1" s="205"/>
      <c r="D1" s="205"/>
      <c r="E1" s="205"/>
      <c r="F1" s="205"/>
      <c r="G1" s="109"/>
    </row>
    <row r="2" spans="1:7" ht="15" x14ac:dyDescent="0.2">
      <c r="B2" s="51">
        <v>2007</v>
      </c>
      <c r="C2" s="51">
        <v>2008</v>
      </c>
      <c r="D2" s="51">
        <v>2009</v>
      </c>
      <c r="E2" s="51">
        <v>2010</v>
      </c>
      <c r="F2" s="51">
        <v>2011</v>
      </c>
    </row>
    <row r="3" spans="1:7" x14ac:dyDescent="0.2">
      <c r="A3" s="49" t="s">
        <v>498</v>
      </c>
      <c r="B3" s="188">
        <f>(SUM('#Balance Sheet#'!B23+'#Balance Sheet#'!B29)/('^Profit and Loss^'!B5))</f>
        <v>0.29181410279794257</v>
      </c>
      <c r="C3" s="188">
        <f>(SUM('#Balance Sheet#'!C23+'#Balance Sheet#'!C29)/('^Profit and Loss^'!C5))</f>
        <v>0.24474630401770103</v>
      </c>
      <c r="D3" s="188">
        <f>(SUM('#Balance Sheet#'!D23+'#Balance Sheet#'!D29)/('^Profit and Loss^'!D5))</f>
        <v>0.25927593955685663</v>
      </c>
      <c r="E3" s="188">
        <f>(SUM('#Balance Sheet#'!E23+'#Balance Sheet#'!E29)/('^Profit and Loss^'!E5))</f>
        <v>0.27792270445083705</v>
      </c>
      <c r="F3" s="188">
        <f>(SUM('#Balance Sheet#'!F23+'#Balance Sheet#'!F29)/('^Profit and Loss^'!F5))</f>
        <v>0.3370255355341496</v>
      </c>
    </row>
    <row r="4" spans="1:7" x14ac:dyDescent="0.2">
      <c r="A4" s="49" t="s">
        <v>499</v>
      </c>
      <c r="B4" s="188">
        <f>SUM('#Balance Sheet#'!B49-'#Balance Sheet#'!B43)/'^Profit and Loss^'!B5</f>
        <v>0.15230000364790428</v>
      </c>
      <c r="C4" s="188">
        <f>SUM('#Balance Sheet#'!C49-'#Balance Sheet#'!C43)/'^Profit and Loss^'!C5</f>
        <v>0.1546702708908452</v>
      </c>
      <c r="D4" s="188">
        <f>SUM('#Balance Sheet#'!D49-'#Balance Sheet#'!D43)/'^Profit and Loss^'!D5</f>
        <v>0.17903067663105948</v>
      </c>
      <c r="E4" s="188">
        <f>SUM('#Balance Sheet#'!E49-'#Balance Sheet#'!E43)/'^Profit and Loss^'!E5</f>
        <v>0.15358157485661192</v>
      </c>
      <c r="F4" s="188">
        <f>SUM('#Balance Sheet#'!F49-'#Balance Sheet#'!F43)/'^Profit and Loss^'!F5</f>
        <v>0.17117313131712719</v>
      </c>
    </row>
    <row r="5" spans="1:7" x14ac:dyDescent="0.2">
      <c r="A5" s="49" t="s">
        <v>500</v>
      </c>
      <c r="B5" s="110"/>
      <c r="C5" s="110"/>
      <c r="D5" s="110"/>
      <c r="E5" s="110"/>
      <c r="F5" s="110"/>
    </row>
    <row r="6" spans="1:7" x14ac:dyDescent="0.2">
      <c r="A6" s="111" t="s">
        <v>498</v>
      </c>
      <c r="B6" s="112">
        <f>F3</f>
        <v>0.3370255355341496</v>
      </c>
      <c r="C6" s="110"/>
      <c r="D6" s="110"/>
      <c r="E6" s="110"/>
      <c r="F6" s="110"/>
    </row>
    <row r="7" spans="1:7" x14ac:dyDescent="0.2">
      <c r="A7" s="111" t="s">
        <v>499</v>
      </c>
      <c r="B7" s="112">
        <f>F4</f>
        <v>0.17117313131712719</v>
      </c>
      <c r="C7" s="110"/>
      <c r="D7" s="110"/>
      <c r="E7" s="110"/>
      <c r="F7" s="110"/>
    </row>
  </sheetData>
  <mergeCells count="1">
    <mergeCell ref="A1:F1"/>
  </mergeCells>
  <printOptions headings="1" gridLines="1"/>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5F2BB-419A-4594-B88D-56FC8584782F}">
  <sheetPr codeName="Sheet11"/>
  <dimension ref="A1:G28"/>
  <sheetViews>
    <sheetView workbookViewId="0">
      <selection sqref="A1:G1"/>
    </sheetView>
  </sheetViews>
  <sheetFormatPr defaultRowHeight="14.25" x14ac:dyDescent="0.2"/>
  <cols>
    <col min="1" max="1" width="33.7109375" style="49" customWidth="1"/>
    <col min="2" max="2" width="13.7109375" style="49" bestFit="1" customWidth="1"/>
    <col min="3" max="6" width="9.140625" style="49"/>
    <col min="7" max="7" width="31.5703125" style="49" bestFit="1" customWidth="1"/>
    <col min="8" max="16384" width="9.140625" style="49"/>
  </cols>
  <sheetData>
    <row r="1" spans="1:7" ht="18" x14ac:dyDescent="0.25">
      <c r="A1" s="205" t="s">
        <v>612</v>
      </c>
      <c r="B1" s="205"/>
      <c r="C1" s="205"/>
      <c r="D1" s="205"/>
      <c r="E1" s="205"/>
      <c r="F1" s="205"/>
      <c r="G1" s="205"/>
    </row>
    <row r="2" spans="1:7" ht="15.6" customHeight="1" x14ac:dyDescent="0.2">
      <c r="A2" s="113"/>
      <c r="B2" s="51">
        <v>2014</v>
      </c>
      <c r="C2" s="51">
        <v>2015</v>
      </c>
      <c r="D2" s="51">
        <v>2016</v>
      </c>
      <c r="E2" s="51">
        <v>2017</v>
      </c>
      <c r="F2" s="51">
        <v>2018</v>
      </c>
    </row>
    <row r="3" spans="1:7" x14ac:dyDescent="0.2">
      <c r="A3" s="61" t="s">
        <v>501</v>
      </c>
      <c r="B3" s="114">
        <f>'^Profit and Loss^'!B13</f>
        <v>13655.2</v>
      </c>
      <c r="C3" s="114">
        <f>'^Profit and Loss^'!C13</f>
        <v>15811.6</v>
      </c>
      <c r="D3" s="114">
        <f>'^Profit and Loss^'!D13</f>
        <v>17462.2</v>
      </c>
      <c r="E3" s="114">
        <f>'^Profit and Loss^'!E13</f>
        <v>18490</v>
      </c>
      <c r="F3" s="114">
        <f>'^Profit and Loss^'!F13</f>
        <v>21531.599999999999</v>
      </c>
      <c r="G3" s="49" t="e">
        <f ca="1">getformula(F3)</f>
        <v>#NAME?</v>
      </c>
    </row>
    <row r="4" spans="1:7" x14ac:dyDescent="0.2">
      <c r="A4" s="61" t="s">
        <v>386</v>
      </c>
      <c r="B4" s="114">
        <f>'#Consolidated Cash Flows#'!B6/1000</f>
        <v>748.4</v>
      </c>
      <c r="C4" s="114">
        <f>'#Consolidated Cash Flows#'!C6/1000</f>
        <v>933.8</v>
      </c>
      <c r="D4" s="114">
        <f>'#Consolidated Cash Flows#'!D6/1000</f>
        <v>1030.0999999999999</v>
      </c>
      <c r="E4" s="114">
        <f>'#Consolidated Cash Flows#'!E6/1000</f>
        <v>1067.0999999999999</v>
      </c>
      <c r="F4" s="114">
        <f>'#Consolidated Cash Flows#'!F6/1000</f>
        <v>1305.9000000000001</v>
      </c>
      <c r="G4" s="49" t="e">
        <f ca="1">getformula(F4)</f>
        <v>#NAME?</v>
      </c>
    </row>
    <row r="5" spans="1:7" ht="28.5" x14ac:dyDescent="0.2">
      <c r="A5" s="94" t="s">
        <v>502</v>
      </c>
      <c r="B5" s="114">
        <f>B3-B4</f>
        <v>12906.800000000001</v>
      </c>
      <c r="C5" s="114">
        <f>C3-C4</f>
        <v>14877.800000000001</v>
      </c>
      <c r="D5" s="114">
        <f>D3-D4</f>
        <v>16432.100000000002</v>
      </c>
      <c r="E5" s="114">
        <f>E3-E4</f>
        <v>17422.900000000001</v>
      </c>
      <c r="F5" s="114">
        <f>F3-F4</f>
        <v>20225.699999999997</v>
      </c>
      <c r="G5" s="49" t="e">
        <f ca="1">getformula(F5)</f>
        <v>#NAME?</v>
      </c>
    </row>
    <row r="6" spans="1:7" x14ac:dyDescent="0.2">
      <c r="A6" s="61" t="s">
        <v>382</v>
      </c>
      <c r="B6" s="114">
        <f>'^Profit and Loss^'!B5</f>
        <v>16447.8</v>
      </c>
      <c r="C6" s="114">
        <f>'^Profit and Loss^'!C5</f>
        <v>19162.7</v>
      </c>
      <c r="D6" s="114">
        <f>'^Profit and Loss^'!D5</f>
        <v>21315.899999999998</v>
      </c>
      <c r="E6" s="114">
        <f>'^Profit and Loss^'!E5</f>
        <v>22386.799999999999</v>
      </c>
      <c r="F6" s="114">
        <f>'^Profit and Loss^'!F5</f>
        <v>25278.5</v>
      </c>
      <c r="G6" s="49" t="e">
        <f ca="1">getformula(F6)</f>
        <v>#NAME?</v>
      </c>
    </row>
    <row r="7" spans="1:7" x14ac:dyDescent="0.2">
      <c r="A7" s="61" t="s">
        <v>503</v>
      </c>
      <c r="B7" s="115">
        <f>B5/B6</f>
        <v>0.78471284913483885</v>
      </c>
      <c r="C7" s="115">
        <f>C5/C6</f>
        <v>0.77639372322271916</v>
      </c>
      <c r="D7" s="115">
        <f>D5/D6</f>
        <v>0.77088464479566909</v>
      </c>
      <c r="E7" s="115">
        <f>E5/E6</f>
        <v>0.77826665713724164</v>
      </c>
      <c r="F7" s="115">
        <f>F5/F6</f>
        <v>0.80011472199695377</v>
      </c>
      <c r="G7" s="49" t="e">
        <f ca="1">getformula(F7)</f>
        <v>#NAME?</v>
      </c>
    </row>
    <row r="25" spans="1:5" x14ac:dyDescent="0.2">
      <c r="A25" s="206" t="s">
        <v>504</v>
      </c>
      <c r="B25" s="206"/>
      <c r="C25" s="206"/>
      <c r="D25" s="206"/>
      <c r="E25" s="206"/>
    </row>
    <row r="26" spans="1:5" x14ac:dyDescent="0.2">
      <c r="A26" s="95" t="s">
        <v>496</v>
      </c>
      <c r="B26" s="116">
        <f>INTERCEPT(B5:F5,B6:F6)</f>
        <v>-818.53817245003302</v>
      </c>
      <c r="C26" s="49" t="e">
        <f ca="1">getformula(B26)</f>
        <v>#NAME?</v>
      </c>
    </row>
    <row r="27" spans="1:5" x14ac:dyDescent="0.2">
      <c r="A27" s="95" t="s">
        <v>495</v>
      </c>
      <c r="B27" s="112">
        <f>SLOPE(B5:F5,B6:F6)</f>
        <v>0.82184332850742625</v>
      </c>
      <c r="C27" s="49" t="e">
        <f ca="1">getformula(B27)</f>
        <v>#NAME?</v>
      </c>
    </row>
    <row r="28" spans="1:5" x14ac:dyDescent="0.2">
      <c r="A28" s="49" t="s">
        <v>497</v>
      </c>
      <c r="B28" s="117">
        <f>RSQ(B5:F5,B6:F6)</f>
        <v>0.99288880454530204</v>
      </c>
      <c r="C28" s="49" t="e">
        <f ca="1">getformula(B28)</f>
        <v>#NAME?</v>
      </c>
    </row>
  </sheetData>
  <mergeCells count="2">
    <mergeCell ref="A1:G1"/>
    <mergeCell ref="A25:E25"/>
  </mergeCells>
  <printOptions headings="1" gridLines="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34304-620A-4CA3-8319-527319707458}">
  <sheetPr codeName="Sheet8"/>
  <dimension ref="A1:H42"/>
  <sheetViews>
    <sheetView workbookViewId="0">
      <selection activeCell="G33" sqref="G33"/>
    </sheetView>
  </sheetViews>
  <sheetFormatPr defaultColWidth="10" defaultRowHeight="14.25" x14ac:dyDescent="0.2"/>
  <cols>
    <col min="1" max="1" width="41.42578125" style="49" bestFit="1" customWidth="1"/>
    <col min="2" max="2" width="10" style="49"/>
    <col min="3" max="3" width="10.28515625" style="49" bestFit="1" customWidth="1"/>
    <col min="4" max="6" width="10" style="49"/>
    <col min="7" max="7" width="24.42578125" style="49" customWidth="1"/>
    <col min="8" max="16384" width="10" style="49"/>
  </cols>
  <sheetData>
    <row r="1" spans="1:8" ht="18" x14ac:dyDescent="0.25">
      <c r="A1" s="205" t="s">
        <v>613</v>
      </c>
      <c r="B1" s="205"/>
      <c r="C1" s="205"/>
      <c r="D1" s="205"/>
      <c r="E1" s="205"/>
      <c r="F1" s="205"/>
      <c r="G1" s="109"/>
    </row>
    <row r="2" spans="1:8" ht="15" x14ac:dyDescent="0.25">
      <c r="B2" s="93">
        <v>2014</v>
      </c>
      <c r="C2" s="93">
        <v>2015</v>
      </c>
      <c r="D2" s="93">
        <v>2016</v>
      </c>
      <c r="E2" s="93">
        <v>2017</v>
      </c>
      <c r="F2" s="93">
        <v>2018</v>
      </c>
      <c r="H2" s="118"/>
    </row>
    <row r="3" spans="1:8" x14ac:dyDescent="0.2">
      <c r="A3" s="119" t="s">
        <v>234</v>
      </c>
      <c r="B3" s="120">
        <f>'#Balance Sheet#'!B31</f>
        <v>8581.1</v>
      </c>
      <c r="C3" s="120">
        <f>'#Balance Sheet#'!C31</f>
        <v>9641.7999999999993</v>
      </c>
      <c r="D3" s="120">
        <f>'#Balance Sheet#'!D31</f>
        <v>10573.3</v>
      </c>
      <c r="E3" s="120">
        <f>'#Balance Sheet#'!E31</f>
        <v>11584</v>
      </c>
      <c r="F3" s="120">
        <f>'#Balance Sheet#'!F31</f>
        <v>13468.9</v>
      </c>
      <c r="H3" s="121"/>
    </row>
    <row r="4" spans="1:8" x14ac:dyDescent="0.2">
      <c r="A4" s="119"/>
      <c r="B4" s="75"/>
      <c r="C4" s="71"/>
      <c r="D4" s="71"/>
      <c r="E4" s="71"/>
      <c r="F4" s="71"/>
      <c r="H4" s="121"/>
    </row>
    <row r="5" spans="1:8" x14ac:dyDescent="0.2">
      <c r="A5" s="119"/>
      <c r="B5" s="75"/>
      <c r="C5" s="71"/>
      <c r="D5" s="71"/>
      <c r="E5" s="71"/>
      <c r="F5" s="71"/>
      <c r="H5" s="122"/>
    </row>
    <row r="6" spans="1:8" x14ac:dyDescent="0.2">
      <c r="A6" s="119"/>
      <c r="B6" s="75"/>
      <c r="C6" s="71"/>
      <c r="D6" s="71"/>
      <c r="E6" s="71"/>
      <c r="F6" s="71"/>
      <c r="H6" s="123"/>
    </row>
    <row r="7" spans="1:8" x14ac:dyDescent="0.2">
      <c r="A7" s="119"/>
      <c r="B7" s="75"/>
      <c r="C7" s="71"/>
      <c r="D7" s="71"/>
      <c r="E7" s="71"/>
      <c r="F7" s="71"/>
      <c r="H7" s="121"/>
    </row>
    <row r="8" spans="1:8" x14ac:dyDescent="0.2">
      <c r="A8" s="119"/>
      <c r="B8" s="75"/>
      <c r="C8" s="71"/>
      <c r="D8" s="71"/>
      <c r="E8" s="71"/>
      <c r="F8" s="71"/>
      <c r="H8" s="121"/>
    </row>
    <row r="9" spans="1:8" x14ac:dyDescent="0.2">
      <c r="A9" s="119" t="s">
        <v>505</v>
      </c>
      <c r="B9" s="75">
        <f>SUM(B3:B7)</f>
        <v>8581.1</v>
      </c>
      <c r="C9" s="75">
        <f>SUM(C3:C7)</f>
        <v>9641.7999999999993</v>
      </c>
      <c r="D9" s="75">
        <f>SUM(D3:D7)</f>
        <v>10573.3</v>
      </c>
      <c r="E9" s="75">
        <f>SUM(E3:E7)</f>
        <v>11584</v>
      </c>
      <c r="F9" s="75">
        <f>SUM(F3:F7)</f>
        <v>13468.9</v>
      </c>
      <c r="H9" s="121"/>
    </row>
    <row r="10" spans="1:8" x14ac:dyDescent="0.2">
      <c r="A10" s="119" t="s">
        <v>506</v>
      </c>
      <c r="B10" s="71">
        <f>'#Balance Sheet#'!B32</f>
        <v>-5062.1000000000004</v>
      </c>
      <c r="C10" s="71">
        <f>'#Balance Sheet#'!C32</f>
        <v>-5553.5</v>
      </c>
      <c r="D10" s="71">
        <f>'#Balance Sheet#'!D32</f>
        <v>-6039.5</v>
      </c>
      <c r="E10" s="71">
        <f>'#Balance Sheet#'!E32</f>
        <v>-6664.5</v>
      </c>
      <c r="F10" s="71">
        <f>'#Balance Sheet#'!F32</f>
        <v>-7429.6</v>
      </c>
      <c r="H10" s="121"/>
    </row>
    <row r="11" spans="1:8" x14ac:dyDescent="0.2">
      <c r="A11" s="119" t="s">
        <v>507</v>
      </c>
      <c r="B11" s="75">
        <f>B9+B10</f>
        <v>3519</v>
      </c>
      <c r="C11" s="75">
        <f>C9+C10</f>
        <v>4088.2999999999993</v>
      </c>
      <c r="D11" s="75">
        <f>D9+D10</f>
        <v>4533.7999999999993</v>
      </c>
      <c r="E11" s="75">
        <f>E9+E10</f>
        <v>4919.5</v>
      </c>
      <c r="F11" s="75">
        <f>F9+F10</f>
        <v>6039.2999999999993</v>
      </c>
      <c r="H11" s="121"/>
    </row>
    <row r="13" spans="1:8" x14ac:dyDescent="0.2">
      <c r="A13" s="119" t="s">
        <v>382</v>
      </c>
      <c r="B13" s="75">
        <f>'^Profit and Loss^'!B5</f>
        <v>16447.8</v>
      </c>
      <c r="C13" s="75">
        <f>'^Profit and Loss^'!C5</f>
        <v>19162.7</v>
      </c>
      <c r="D13" s="75">
        <f>'^Profit and Loss^'!D5</f>
        <v>21315.899999999998</v>
      </c>
      <c r="E13" s="75">
        <f>'^Profit and Loss^'!E5</f>
        <v>22386.799999999999</v>
      </c>
      <c r="F13" s="75">
        <f>'^Profit and Loss^'!F5</f>
        <v>25278.5</v>
      </c>
    </row>
    <row r="15" spans="1:8" x14ac:dyDescent="0.2">
      <c r="A15" s="119" t="s">
        <v>508</v>
      </c>
      <c r="B15" s="110">
        <f>B11/B13</f>
        <v>0.21394958596286434</v>
      </c>
      <c r="C15" s="110">
        <f>C11/C13</f>
        <v>0.21334676219948123</v>
      </c>
      <c r="D15" s="110">
        <f>D11/D13</f>
        <v>0.21269568725693025</v>
      </c>
      <c r="E15" s="110">
        <f>E11/E13</f>
        <v>0.21975003126842604</v>
      </c>
      <c r="F15" s="110">
        <f>F11/F13</f>
        <v>0.23891053662203054</v>
      </c>
    </row>
    <row r="16" spans="1:8" x14ac:dyDescent="0.2">
      <c r="A16" s="49" t="s">
        <v>509</v>
      </c>
      <c r="B16" s="110">
        <f>B9/B13</f>
        <v>0.52171719014093076</v>
      </c>
      <c r="C16" s="110">
        <f>C9/C13</f>
        <v>0.50315456590146479</v>
      </c>
      <c r="D16" s="110">
        <f>D9/D13</f>
        <v>0.49602878602357864</v>
      </c>
      <c r="E16" s="110">
        <f>E9/E13</f>
        <v>0.51744778172851857</v>
      </c>
      <c r="F16" s="110">
        <f>F9/F13</f>
        <v>0.53282038095614848</v>
      </c>
    </row>
    <row r="17" spans="1:7" x14ac:dyDescent="0.2">
      <c r="A17" s="124" t="s">
        <v>510</v>
      </c>
      <c r="B17" s="125">
        <f>AVERAGE(B15,C15,E15,F15)</f>
        <v>0.22148922901320053</v>
      </c>
    </row>
    <row r="19" spans="1:7" ht="15" x14ac:dyDescent="0.25">
      <c r="A19" s="193"/>
    </row>
    <row r="20" spans="1:7" x14ac:dyDescent="0.2">
      <c r="A20" s="119"/>
      <c r="B20" s="110"/>
      <c r="C20" s="110"/>
      <c r="D20" s="110"/>
      <c r="E20" s="110"/>
      <c r="F20" s="110"/>
      <c r="G20" s="110"/>
    </row>
    <row r="21" spans="1:7" x14ac:dyDescent="0.2">
      <c r="A21" s="119"/>
      <c r="B21" s="110"/>
      <c r="C21" s="110"/>
      <c r="D21" s="110"/>
      <c r="E21" s="110"/>
      <c r="F21" s="110"/>
      <c r="G21" s="110"/>
    </row>
    <row r="22" spans="1:7" x14ac:dyDescent="0.2">
      <c r="A22" s="119"/>
      <c r="B22" s="110"/>
      <c r="C22" s="110"/>
      <c r="D22" s="110"/>
      <c r="E22" s="110"/>
      <c r="F22" s="110"/>
      <c r="G22" s="110"/>
    </row>
    <row r="24" spans="1:7" ht="15" x14ac:dyDescent="0.2">
      <c r="A24" s="194"/>
    </row>
    <row r="25" spans="1:7" x14ac:dyDescent="0.2">
      <c r="A25" s="119"/>
      <c r="B25" s="115"/>
    </row>
    <row r="26" spans="1:7" x14ac:dyDescent="0.2">
      <c r="A26" s="119"/>
      <c r="B26" s="115"/>
    </row>
    <row r="27" spans="1:7" x14ac:dyDescent="0.2">
      <c r="A27" s="119"/>
      <c r="B27" s="115"/>
    </row>
    <row r="28" spans="1:7" ht="13.9" customHeight="1" x14ac:dyDescent="0.2">
      <c r="A28" s="119"/>
      <c r="B28" s="110"/>
      <c r="C28" s="110"/>
      <c r="D28" s="110"/>
      <c r="E28" s="110"/>
      <c r="F28" s="110"/>
      <c r="G28" s="207"/>
    </row>
    <row r="29" spans="1:7" x14ac:dyDescent="0.2">
      <c r="A29" s="195"/>
      <c r="B29" s="191"/>
      <c r="G29" s="207"/>
    </row>
    <row r="30" spans="1:7" x14ac:dyDescent="0.2">
      <c r="G30" s="207"/>
    </row>
    <row r="34" spans="2:6" x14ac:dyDescent="0.2">
      <c r="B34" s="75"/>
      <c r="C34" s="75"/>
      <c r="D34" s="75"/>
      <c r="E34" s="75"/>
      <c r="F34" s="75"/>
    </row>
    <row r="35" spans="2:6" x14ac:dyDescent="0.2">
      <c r="C35" s="75"/>
      <c r="D35" s="75"/>
      <c r="E35" s="75"/>
      <c r="F35" s="75"/>
    </row>
    <row r="36" spans="2:6" x14ac:dyDescent="0.2">
      <c r="C36" s="75"/>
      <c r="D36" s="75"/>
      <c r="E36" s="75"/>
      <c r="F36" s="75"/>
    </row>
    <row r="37" spans="2:6" x14ac:dyDescent="0.2">
      <c r="B37" s="75"/>
      <c r="C37" s="75"/>
      <c r="D37" s="75"/>
      <c r="E37" s="75"/>
      <c r="F37" s="75"/>
    </row>
    <row r="38" spans="2:6" x14ac:dyDescent="0.2">
      <c r="C38" s="126"/>
      <c r="D38" s="126"/>
      <c r="E38" s="126"/>
      <c r="F38" s="126"/>
    </row>
    <row r="41" spans="2:6" x14ac:dyDescent="0.2">
      <c r="C41" s="110"/>
      <c r="D41" s="110"/>
      <c r="E41" s="110"/>
      <c r="F41" s="110"/>
    </row>
    <row r="42" spans="2:6" x14ac:dyDescent="0.2">
      <c r="C42" s="110"/>
      <c r="D42" s="110"/>
      <c r="E42" s="110"/>
      <c r="F42" s="110"/>
    </row>
  </sheetData>
  <mergeCells count="2">
    <mergeCell ref="A1:F1"/>
    <mergeCell ref="G28:G30"/>
  </mergeCells>
  <printOptions headings="1" gridLines="1"/>
  <pageMargins left="0.7" right="0.7" top="0.75" bottom="0.75" header="0.3" footer="0.3"/>
  <pageSetup orientation="portrait" verticalDpi="4"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08700-42DD-4B94-841B-8CA5BBB1E9B7}">
  <sheetPr codeName="Sheet12"/>
  <dimension ref="A1:G13"/>
  <sheetViews>
    <sheetView workbookViewId="0">
      <selection sqref="A1:F1"/>
    </sheetView>
  </sheetViews>
  <sheetFormatPr defaultRowHeight="14.25" x14ac:dyDescent="0.2"/>
  <cols>
    <col min="1" max="1" width="31.5703125" style="49" bestFit="1" customWidth="1"/>
    <col min="2" max="2" width="13.7109375" style="49" bestFit="1" customWidth="1"/>
    <col min="3" max="3" width="13.140625" style="49" bestFit="1" customWidth="1"/>
    <col min="4" max="4" width="10.42578125" style="49" customWidth="1"/>
    <col min="5" max="5" width="10.7109375" style="49" customWidth="1"/>
    <col min="6" max="6" width="13.140625" style="49" bestFit="1" customWidth="1"/>
    <col min="7" max="7" width="25.140625" style="49" bestFit="1" customWidth="1"/>
    <col min="8" max="16384" width="9.140625" style="49"/>
  </cols>
  <sheetData>
    <row r="1" spans="1:7" ht="18" x14ac:dyDescent="0.25">
      <c r="A1" s="205" t="s">
        <v>614</v>
      </c>
      <c r="B1" s="205"/>
      <c r="C1" s="205"/>
      <c r="D1" s="205"/>
      <c r="E1" s="205"/>
      <c r="F1" s="205"/>
      <c r="G1" s="109"/>
    </row>
    <row r="2" spans="1:7" ht="15" x14ac:dyDescent="0.2">
      <c r="B2" s="51">
        <v>2014</v>
      </c>
      <c r="C2" s="51">
        <v>2015</v>
      </c>
      <c r="D2" s="51">
        <v>2016</v>
      </c>
      <c r="E2" s="51">
        <v>2017</v>
      </c>
      <c r="F2" s="51">
        <v>2018</v>
      </c>
    </row>
    <row r="3" spans="1:7" x14ac:dyDescent="0.2">
      <c r="A3" s="49" t="s">
        <v>390</v>
      </c>
      <c r="B3" s="75">
        <f>-'#Consolidated Cash Flows#'!B40/1000</f>
        <v>783.1</v>
      </c>
      <c r="C3" s="75">
        <f>-'#Consolidated Cash Flows#'!C40/1000</f>
        <v>928.6</v>
      </c>
      <c r="D3" s="75">
        <f>-'#Consolidated Cash Flows#'!D40/1000</f>
        <v>1178</v>
      </c>
      <c r="E3" s="75">
        <f>-'#Consolidated Cash Flows#'!E40/1000</f>
        <v>1450.4</v>
      </c>
      <c r="F3" s="75">
        <f>-'#Consolidated Cash Flows#'!F40/1000</f>
        <v>1743.4</v>
      </c>
    </row>
    <row r="4" spans="1:7" x14ac:dyDescent="0.2">
      <c r="A4" s="49" t="s">
        <v>492</v>
      </c>
      <c r="C4" s="110">
        <f>C3/B3-1</f>
        <v>0.18580002553952246</v>
      </c>
      <c r="D4" s="110">
        <f>D3/C3-1</f>
        <v>0.26857635149687709</v>
      </c>
      <c r="E4" s="110">
        <f>E3/D3-1</f>
        <v>0.23123938879456718</v>
      </c>
      <c r="F4" s="110">
        <f>F3/E3-1</f>
        <v>0.20201323772752344</v>
      </c>
    </row>
    <row r="5" spans="1:7" x14ac:dyDescent="0.2">
      <c r="A5" s="49" t="s">
        <v>511</v>
      </c>
      <c r="D5" s="110"/>
      <c r="E5" s="110"/>
      <c r="F5" s="110"/>
    </row>
    <row r="6" spans="1:7" x14ac:dyDescent="0.2">
      <c r="A6" s="127"/>
      <c r="B6" s="110"/>
    </row>
    <row r="7" spans="1:7" x14ac:dyDescent="0.2">
      <c r="A7" s="111" t="s">
        <v>603</v>
      </c>
      <c r="B7" s="112">
        <f>(F3/B3)^(1/4)-1</f>
        <v>0.22150417141678203</v>
      </c>
    </row>
    <row r="8" spans="1:7" x14ac:dyDescent="0.2">
      <c r="B8" s="110"/>
    </row>
    <row r="9" spans="1:7" x14ac:dyDescent="0.2">
      <c r="A9" s="49" t="s">
        <v>512</v>
      </c>
      <c r="B9" s="128">
        <f>'#Income Statement#'!B78</f>
        <v>0.55000000000000004</v>
      </c>
      <c r="C9" s="128">
        <f>'#Income Statement#'!C78</f>
        <v>0.68</v>
      </c>
      <c r="D9" s="128">
        <f>'#Income Statement#'!D78</f>
        <v>0.85</v>
      </c>
      <c r="E9" s="128">
        <f>'#Income Statement#'!E78</f>
        <v>1.05</v>
      </c>
      <c r="F9" s="128">
        <f>'#Income Statement#'!F78</f>
        <v>1.38</v>
      </c>
    </row>
    <row r="10" spans="1:7" x14ac:dyDescent="0.2">
      <c r="A10" s="49" t="s">
        <v>604</v>
      </c>
      <c r="C10" s="183">
        <f>C9/B9-1</f>
        <v>0.23636363636363633</v>
      </c>
      <c r="D10" s="183">
        <f t="shared" ref="D10:F10" si="0">D9/C9-1</f>
        <v>0.24999999999999978</v>
      </c>
      <c r="E10" s="183">
        <f t="shared" si="0"/>
        <v>0.23529411764705888</v>
      </c>
      <c r="F10" s="183">
        <f t="shared" si="0"/>
        <v>0.31428571428571406</v>
      </c>
    </row>
    <row r="11" spans="1:7" x14ac:dyDescent="0.2">
      <c r="A11" s="49" t="s">
        <v>513</v>
      </c>
    </row>
    <row r="12" spans="1:7" x14ac:dyDescent="0.2">
      <c r="A12" s="127"/>
      <c r="B12" s="110"/>
    </row>
    <row r="13" spans="1:7" x14ac:dyDescent="0.2">
      <c r="A13" s="127" t="s">
        <v>603</v>
      </c>
      <c r="B13" s="110">
        <f>(F9/B9)^(1/4)-1</f>
        <v>0.25857499547918006</v>
      </c>
    </row>
  </sheetData>
  <mergeCells count="1">
    <mergeCell ref="A1:F1"/>
  </mergeCells>
  <printOptions headings="1" gridLine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F82A-D34B-4BC0-A8C4-D9997CF11F6D}">
  <sheetPr codeName="Sheet14"/>
  <dimension ref="A1:G12"/>
  <sheetViews>
    <sheetView workbookViewId="0">
      <selection sqref="A1:F1"/>
    </sheetView>
  </sheetViews>
  <sheetFormatPr defaultRowHeight="14.25" x14ac:dyDescent="0.2"/>
  <cols>
    <col min="1" max="1" width="31.5703125" style="49" bestFit="1" customWidth="1"/>
    <col min="2" max="2" width="13.7109375" style="49" bestFit="1" customWidth="1"/>
    <col min="3" max="6" width="9.140625" style="49"/>
    <col min="7" max="7" width="63.85546875" style="49" bestFit="1" customWidth="1"/>
    <col min="8" max="16384" width="9.140625" style="49"/>
  </cols>
  <sheetData>
    <row r="1" spans="1:7" ht="18" x14ac:dyDescent="0.25">
      <c r="A1" s="205" t="s">
        <v>616</v>
      </c>
      <c r="B1" s="205"/>
      <c r="C1" s="205"/>
      <c r="D1" s="205"/>
      <c r="E1" s="205"/>
      <c r="F1" s="205"/>
      <c r="G1" s="109"/>
    </row>
    <row r="2" spans="1:7" ht="15" x14ac:dyDescent="0.2">
      <c r="B2" s="51">
        <v>2014</v>
      </c>
      <c r="C2" s="51">
        <v>2015</v>
      </c>
      <c r="D2" s="51">
        <v>2016</v>
      </c>
      <c r="E2" s="51">
        <v>2017</v>
      </c>
      <c r="F2" s="51">
        <v>2018</v>
      </c>
    </row>
    <row r="3" spans="1:7" ht="15" x14ac:dyDescent="0.25">
      <c r="A3" s="93" t="s">
        <v>491</v>
      </c>
      <c r="B3" s="75">
        <f>'#Balance Sheet#'!B55</f>
        <v>385.3</v>
      </c>
      <c r="C3" s="75">
        <f>'#Balance Sheet#'!C55</f>
        <v>557.5</v>
      </c>
      <c r="D3" s="75">
        <f>'#Balance Sheet#'!D55</f>
        <v>675</v>
      </c>
      <c r="E3" s="75">
        <f>'#Balance Sheet#'!E55</f>
        <v>744.6</v>
      </c>
      <c r="F3" s="75">
        <f>'#Balance Sheet#'!F55</f>
        <v>1478.2</v>
      </c>
    </row>
    <row r="4" spans="1:7" x14ac:dyDescent="0.2">
      <c r="A4" s="49" t="s">
        <v>492</v>
      </c>
      <c r="C4" s="110">
        <f>C3/B3-1</f>
        <v>0.44692447443550476</v>
      </c>
      <c r="D4" s="110">
        <f>D3/C3-1</f>
        <v>0.21076233183856496</v>
      </c>
      <c r="E4" s="110">
        <f>E3/D3-1</f>
        <v>0.10311111111111115</v>
      </c>
      <c r="F4" s="110">
        <f>F3/E3-1</f>
        <v>0.98522696749932859</v>
      </c>
    </row>
    <row r="5" spans="1:7" x14ac:dyDescent="0.2">
      <c r="B5" s="110"/>
    </row>
    <row r="6" spans="1:7" x14ac:dyDescent="0.2">
      <c r="A6" s="95" t="s">
        <v>494</v>
      </c>
      <c r="B6" s="112">
        <f>(F3/B3)^(1/4)-1</f>
        <v>0.39953430175432447</v>
      </c>
    </row>
    <row r="8" spans="1:7" ht="15" x14ac:dyDescent="0.25">
      <c r="A8" s="93"/>
      <c r="B8" s="75"/>
      <c r="C8" s="75"/>
      <c r="D8" s="75"/>
      <c r="E8" s="75"/>
      <c r="F8" s="75"/>
      <c r="G8" s="110"/>
    </row>
    <row r="9" spans="1:7" x14ac:dyDescent="0.2">
      <c r="C9" s="110"/>
      <c r="D9" s="110"/>
      <c r="E9" s="110"/>
      <c r="F9" s="110"/>
      <c r="G9" s="110"/>
    </row>
    <row r="10" spans="1:7" x14ac:dyDescent="0.2">
      <c r="B10" s="110"/>
    </row>
    <row r="11" spans="1:7" x14ac:dyDescent="0.2">
      <c r="B11" s="110"/>
    </row>
    <row r="12" spans="1:7" x14ac:dyDescent="0.2">
      <c r="A12" s="190"/>
      <c r="B12" s="191"/>
    </row>
  </sheetData>
  <mergeCells count="1">
    <mergeCell ref="A1:F1"/>
  </mergeCells>
  <printOptions headings="1" gridLine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BE04C-541C-4F41-A566-F7E25AE50B93}">
  <sheetPr codeName="Sheet7"/>
  <dimension ref="A1:F6"/>
  <sheetViews>
    <sheetView workbookViewId="0">
      <selection sqref="A1:F1"/>
    </sheetView>
  </sheetViews>
  <sheetFormatPr defaultRowHeight="14.25" x14ac:dyDescent="0.2"/>
  <cols>
    <col min="1" max="1" width="31.5703125" style="49" bestFit="1" customWidth="1"/>
    <col min="2" max="2" width="13.7109375" style="49" bestFit="1" customWidth="1"/>
    <col min="3" max="16384" width="9.140625" style="49"/>
  </cols>
  <sheetData>
    <row r="1" spans="1:6" ht="18" x14ac:dyDescent="0.25">
      <c r="A1" s="205" t="s">
        <v>615</v>
      </c>
      <c r="B1" s="205"/>
      <c r="C1" s="205"/>
      <c r="D1" s="205"/>
      <c r="E1" s="205"/>
      <c r="F1" s="205"/>
    </row>
    <row r="2" spans="1:6" ht="15" x14ac:dyDescent="0.2">
      <c r="B2" s="51">
        <v>2014</v>
      </c>
      <c r="C2" s="51">
        <v>2015</v>
      </c>
      <c r="D2" s="51">
        <v>2016</v>
      </c>
      <c r="E2" s="51">
        <v>2017</v>
      </c>
      <c r="F2" s="51">
        <v>2018</v>
      </c>
    </row>
    <row r="3" spans="1:6" x14ac:dyDescent="0.2">
      <c r="A3" s="49" t="s">
        <v>515</v>
      </c>
      <c r="B3" s="75">
        <f>'^Profit and Loss^'!B20</f>
        <v>16383.699999999999</v>
      </c>
      <c r="C3" s="75">
        <f>'^Profit and Loss^'!C20</f>
        <v>19092.2</v>
      </c>
      <c r="D3" s="75">
        <f>'^Profit and Loss^'!D20</f>
        <v>21234.6</v>
      </c>
      <c r="E3" s="75">
        <f>'^Profit and Loss^'!E20</f>
        <v>22294.3</v>
      </c>
      <c r="F3" s="75">
        <f>'^Profit and Loss^'!F20</f>
        <v>25055.3</v>
      </c>
    </row>
    <row r="4" spans="1:6" x14ac:dyDescent="0.2">
      <c r="A4" s="49" t="s">
        <v>388</v>
      </c>
      <c r="B4" s="75">
        <f>'^Profit and Loss^'!B22</f>
        <v>1092</v>
      </c>
      <c r="C4" s="75">
        <f>'^Profit and Loss^'!C22</f>
        <v>1143.7</v>
      </c>
      <c r="D4" s="75">
        <f>'^Profit and Loss^'!D22</f>
        <v>1379.7</v>
      </c>
      <c r="E4" s="75">
        <f>'^Profit and Loss^'!E22</f>
        <v>1432.6</v>
      </c>
      <c r="F4" s="75">
        <f>'^Profit and Loss^'!F22</f>
        <v>711.3</v>
      </c>
    </row>
    <row r="5" spans="1:6" x14ac:dyDescent="0.2">
      <c r="A5" s="49" t="s">
        <v>378</v>
      </c>
      <c r="B5" s="110">
        <f>B4/B3</f>
        <v>6.6651611052448476E-2</v>
      </c>
      <c r="C5" s="110">
        <f>C4/C3</f>
        <v>5.9904044583651964E-2</v>
      </c>
      <c r="D5" s="110">
        <f>D4/D3</f>
        <v>6.4974145969314237E-2</v>
      </c>
      <c r="E5" s="110">
        <f>E4/E3</f>
        <v>6.4258577304512815E-2</v>
      </c>
      <c r="F5" s="110">
        <f>F4/F3</f>
        <v>2.8389203082780888E-2</v>
      </c>
    </row>
    <row r="6" spans="1:6" x14ac:dyDescent="0.2">
      <c r="A6" s="49" t="s">
        <v>514</v>
      </c>
      <c r="B6" s="112">
        <f>AVERAGEIF(B5:F5,"&gt;0")</f>
        <v>5.6835516398541661E-2</v>
      </c>
    </row>
  </sheetData>
  <mergeCells count="1">
    <mergeCell ref="A1:F1"/>
  </mergeCells>
  <printOptions headings="1" gridLine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542EA-C606-4BDA-98AA-7D583A97354C}">
  <sheetPr codeName="Sheet4"/>
  <dimension ref="A1:G13"/>
  <sheetViews>
    <sheetView workbookViewId="0">
      <selection sqref="A1:G1"/>
    </sheetView>
  </sheetViews>
  <sheetFormatPr defaultRowHeight="14.25" x14ac:dyDescent="0.2"/>
  <cols>
    <col min="1" max="1" width="18" style="49" customWidth="1"/>
    <col min="2" max="6" width="9.140625" style="49"/>
    <col min="7" max="7" width="33.140625" style="49" bestFit="1" customWidth="1"/>
    <col min="8" max="16384" width="9.140625" style="49"/>
  </cols>
  <sheetData>
    <row r="1" spans="1:7" ht="24" customHeight="1" x14ac:dyDescent="0.2">
      <c r="A1" s="208" t="s">
        <v>516</v>
      </c>
      <c r="B1" s="208"/>
      <c r="C1" s="208"/>
      <c r="D1" s="208"/>
      <c r="E1" s="208"/>
      <c r="F1" s="208"/>
      <c r="G1" s="208"/>
    </row>
    <row r="2" spans="1:7" ht="15" x14ac:dyDescent="0.25">
      <c r="B2" s="93">
        <v>2014</v>
      </c>
      <c r="C2" s="93">
        <v>2015</v>
      </c>
      <c r="D2" s="93">
        <v>2016</v>
      </c>
      <c r="E2" s="93">
        <v>2017</v>
      </c>
      <c r="F2" s="93">
        <v>2018</v>
      </c>
    </row>
    <row r="3" spans="1:7" x14ac:dyDescent="0.2">
      <c r="A3" s="49" t="s">
        <v>382</v>
      </c>
      <c r="B3" s="75">
        <f>'^Profit and Loss^'!B5</f>
        <v>16447.8</v>
      </c>
      <c r="C3" s="75">
        <f>'^Profit and Loss^'!C5</f>
        <v>19162.7</v>
      </c>
      <c r="D3" s="75">
        <f>'^Profit and Loss^'!D5</f>
        <v>21315.899999999998</v>
      </c>
      <c r="E3" s="75">
        <f>'^Profit and Loss^'!E5</f>
        <v>22386.799999999999</v>
      </c>
      <c r="F3" s="75">
        <f>'^Profit and Loss^'!F5</f>
        <v>25278.5</v>
      </c>
      <c r="G3" s="110"/>
    </row>
    <row r="5" spans="1:7" x14ac:dyDescent="0.2">
      <c r="A5" s="49" t="s">
        <v>517</v>
      </c>
      <c r="B5" s="75">
        <f>'#Balance Sheet#'!B17</f>
        <v>1708.4</v>
      </c>
      <c r="C5" s="75">
        <f>'#Balance Sheet#'!C17</f>
        <v>1530.1</v>
      </c>
      <c r="D5" s="75">
        <f>'#Balance Sheet#'!D17</f>
        <v>2128.8000000000002</v>
      </c>
      <c r="E5" s="75">
        <f>'#Balance Sheet#'!E17</f>
        <v>2462.3000000000002</v>
      </c>
      <c r="F5" s="75">
        <f>'#Balance Sheet#'!F17</f>
        <v>4761.6000000000004</v>
      </c>
      <c r="G5" s="110"/>
    </row>
    <row r="6" spans="1:7" x14ac:dyDescent="0.2">
      <c r="A6" s="49" t="s">
        <v>518</v>
      </c>
      <c r="B6" s="110">
        <f>B5/B3</f>
        <v>0.10386799450382422</v>
      </c>
      <c r="C6" s="110">
        <f t="shared" ref="C6:F6" si="0">C5/C3</f>
        <v>7.9847829376862328E-2</v>
      </c>
      <c r="D6" s="110">
        <f t="shared" si="0"/>
        <v>9.9869111789790743E-2</v>
      </c>
      <c r="E6" s="110">
        <f t="shared" si="0"/>
        <v>0.10998892204334698</v>
      </c>
      <c r="F6" s="110">
        <f t="shared" si="0"/>
        <v>0.18836560713649941</v>
      </c>
      <c r="G6" s="110"/>
    </row>
    <row r="7" spans="1:7" x14ac:dyDescent="0.2">
      <c r="A7" s="49" t="s">
        <v>401</v>
      </c>
      <c r="B7" s="75">
        <f>'#Balance Sheet#'!B56</f>
        <v>5479.2</v>
      </c>
      <c r="C7" s="75">
        <f>'#Balance Sheet#'!C56</f>
        <v>6596.5</v>
      </c>
      <c r="D7" s="75">
        <f>'#Balance Sheet#'!D56</f>
        <v>8421.7999999999993</v>
      </c>
      <c r="E7" s="75">
        <f>'#Balance Sheet#'!E56</f>
        <v>8908.6</v>
      </c>
      <c r="F7" s="75">
        <f>'#Balance Sheet#'!F56</f>
        <v>22860.1</v>
      </c>
      <c r="G7" s="110"/>
    </row>
    <row r="8" spans="1:7" x14ac:dyDescent="0.2">
      <c r="A8" s="49" t="s">
        <v>519</v>
      </c>
      <c r="B8" s="110">
        <f>B7/B3</f>
        <v>0.33312661875752381</v>
      </c>
      <c r="C8" s="110">
        <f t="shared" ref="C8:F8" si="1">C7/C3</f>
        <v>0.3442364593715917</v>
      </c>
      <c r="D8" s="110">
        <f t="shared" si="1"/>
        <v>0.39509474148405649</v>
      </c>
      <c r="E8" s="110">
        <f t="shared" si="1"/>
        <v>0.39793985741597732</v>
      </c>
      <c r="F8" s="110">
        <f t="shared" si="1"/>
        <v>0.90432976640227858</v>
      </c>
      <c r="G8" s="110"/>
    </row>
    <row r="9" spans="1:7" x14ac:dyDescent="0.2">
      <c r="A9" s="49" t="s">
        <v>520</v>
      </c>
      <c r="B9" s="110">
        <f>B7/'#Balance Sheet#'!B40</f>
        <v>0.50955556175543337</v>
      </c>
      <c r="C9" s="110">
        <f>C7/'#Balance Sheet#'!C40</f>
        <v>0.53127743369602864</v>
      </c>
      <c r="D9" s="110">
        <f>D7/'#Balance Sheet#'!D40</f>
        <v>0.58842270742358072</v>
      </c>
      <c r="E9" s="110">
        <f>E7/'#Balance Sheet#'!E40</f>
        <v>0.62013420950047338</v>
      </c>
      <c r="F9" s="110">
        <f>F7/'#Balance Sheet#'!F40</f>
        <v>1.1440747098537132</v>
      </c>
      <c r="G9" s="110"/>
    </row>
    <row r="11" spans="1:7" x14ac:dyDescent="0.2">
      <c r="A11" s="95" t="s">
        <v>500</v>
      </c>
    </row>
    <row r="12" spans="1:7" x14ac:dyDescent="0.2">
      <c r="A12" s="95" t="s">
        <v>518</v>
      </c>
      <c r="B12" s="125">
        <f>F6</f>
        <v>0.18836560713649941</v>
      </c>
    </row>
    <row r="13" spans="1:7" x14ac:dyDescent="0.2">
      <c r="A13" s="95" t="s">
        <v>521</v>
      </c>
      <c r="B13" s="125">
        <f>F9</f>
        <v>1.1440747098537132</v>
      </c>
    </row>
  </sheetData>
  <mergeCells count="1">
    <mergeCell ref="A1:G1"/>
  </mergeCells>
  <printOptions headings="1" gridLines="1"/>
  <pageMargins left="0.7" right="0.7" top="0.75" bottom="0.75" header="0.3" footer="0.3"/>
  <pageSetup orientation="portrait" verticalDpi="4"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FB89E-F229-40E3-B989-ABF2348609B9}">
  <sheetPr codeName="Sheet19"/>
  <dimension ref="A1:AC95"/>
  <sheetViews>
    <sheetView tabSelected="1" topLeftCell="A61" workbookViewId="0">
      <selection activeCell="B96" sqref="B96"/>
    </sheetView>
  </sheetViews>
  <sheetFormatPr defaultColWidth="10" defaultRowHeight="12.75" x14ac:dyDescent="0.2"/>
  <cols>
    <col min="1" max="1" width="31" style="129" customWidth="1"/>
    <col min="2" max="2" width="11.42578125" style="129" bestFit="1" customWidth="1"/>
    <col min="3" max="3" width="10" style="129"/>
    <col min="4" max="4" width="10.7109375" style="129" bestFit="1" customWidth="1"/>
    <col min="5" max="6" width="10" style="129"/>
    <col min="7" max="7" width="10.42578125" style="129" bestFit="1" customWidth="1"/>
    <col min="8" max="8" width="36.85546875" style="129" bestFit="1" customWidth="1"/>
    <col min="9" max="11" width="10" style="129"/>
    <col min="12" max="12" width="10" style="129" customWidth="1"/>
    <col min="13" max="16384" width="10" style="129"/>
  </cols>
  <sheetData>
    <row r="1" spans="1:8" ht="18" x14ac:dyDescent="0.25">
      <c r="A1" s="209" t="s">
        <v>522</v>
      </c>
      <c r="B1" s="209"/>
      <c r="C1" s="209"/>
      <c r="D1" s="209"/>
      <c r="E1" s="209"/>
      <c r="F1" s="209"/>
      <c r="G1" s="209"/>
      <c r="H1" s="209"/>
    </row>
    <row r="2" spans="1:8" x14ac:dyDescent="0.2">
      <c r="A2" s="129" t="s">
        <v>406</v>
      </c>
      <c r="B2" s="130">
        <f>'^Analysis of Sales^'!B19</f>
        <v>8.2621595426943847E-2</v>
      </c>
    </row>
    <row r="3" spans="1:8" x14ac:dyDescent="0.2">
      <c r="A3" s="129" t="s">
        <v>407</v>
      </c>
      <c r="B3" s="130">
        <f>'^NWC Analysis^'!B6</f>
        <v>0.3370255355341496</v>
      </c>
    </row>
    <row r="4" spans="1:8" x14ac:dyDescent="0.2">
      <c r="A4" s="129" t="s">
        <v>372</v>
      </c>
      <c r="B4" s="130">
        <f>'^NWC Analysis^'!B7</f>
        <v>0.17117313131712719</v>
      </c>
    </row>
    <row r="5" spans="1:8" x14ac:dyDescent="0.2">
      <c r="A5" s="129" t="s">
        <v>373</v>
      </c>
      <c r="B5" s="130">
        <f>AVERAGE('^Analysis of Fixed Assets^'!B15:F15)</f>
        <v>0.21973052066194648</v>
      </c>
    </row>
    <row r="6" spans="1:8" x14ac:dyDescent="0.2">
      <c r="A6" s="129" t="s">
        <v>523</v>
      </c>
      <c r="B6" s="130">
        <f>'^Operating Costs^'!F7</f>
        <v>0.80011472199695377</v>
      </c>
    </row>
    <row r="7" spans="1:8" x14ac:dyDescent="0.2">
      <c r="A7" s="129" t="s">
        <v>524</v>
      </c>
      <c r="B7" s="130">
        <f>B2</f>
        <v>8.2621595426943847E-2</v>
      </c>
      <c r="C7" s="129" t="s">
        <v>525</v>
      </c>
    </row>
    <row r="8" spans="1:8" x14ac:dyDescent="0.2">
      <c r="A8" s="129" t="s">
        <v>375</v>
      </c>
      <c r="B8" s="130">
        <f>'^Analysis of Fixed Assets^'!B17</f>
        <v>0.22148922901320053</v>
      </c>
    </row>
    <row r="9" spans="1:8" x14ac:dyDescent="0.2">
      <c r="A9" s="129" t="s">
        <v>526</v>
      </c>
      <c r="B9" s="130">
        <f>'^Other Liabilities and Pensions'!B6</f>
        <v>0.39953430175432447</v>
      </c>
    </row>
    <row r="10" spans="1:8" x14ac:dyDescent="0.2">
      <c r="A10" s="129" t="s">
        <v>518</v>
      </c>
      <c r="B10" s="130">
        <f>'^Various Plugs vs Sales^'!B12</f>
        <v>0.18836560713649941</v>
      </c>
    </row>
    <row r="11" spans="1:8" x14ac:dyDescent="0.2">
      <c r="A11" s="129" t="s">
        <v>521</v>
      </c>
      <c r="B11" s="130">
        <f>'^Various Plugs vs Sales^'!B13</f>
        <v>1.1440747098537132</v>
      </c>
    </row>
    <row r="12" spans="1:8" x14ac:dyDescent="0.2">
      <c r="A12" s="129" t="s">
        <v>376</v>
      </c>
      <c r="B12" s="130">
        <f>-'#Income Statement#'!F33/'#Balance Sheet#'!F51</f>
        <v>2.4445004216544181E-2</v>
      </c>
    </row>
    <row r="13" spans="1:8" x14ac:dyDescent="0.2">
      <c r="A13" s="129" t="s">
        <v>527</v>
      </c>
      <c r="B13" s="130">
        <v>0</v>
      </c>
      <c r="C13" s="129" t="s">
        <v>528</v>
      </c>
    </row>
    <row r="14" spans="1:8" x14ac:dyDescent="0.2">
      <c r="A14" s="129" t="s">
        <v>378</v>
      </c>
      <c r="B14" s="130">
        <f>'^Tax Rate^'!B6</f>
        <v>5.6835516398541661E-2</v>
      </c>
    </row>
    <row r="15" spans="1:8" x14ac:dyDescent="0.2">
      <c r="A15" s="129" t="s">
        <v>529</v>
      </c>
      <c r="B15" s="130">
        <f>'^Div and DPS as CAGR^'!B7</f>
        <v>0.22150417141678203</v>
      </c>
    </row>
    <row r="17" spans="1:29" s="131" customFormat="1" x14ac:dyDescent="0.2">
      <c r="A17" s="131" t="s">
        <v>380</v>
      </c>
      <c r="B17" s="132">
        <v>2018</v>
      </c>
      <c r="C17" s="132">
        <v>2019</v>
      </c>
      <c r="D17" s="132">
        <v>2020</v>
      </c>
      <c r="E17" s="132">
        <v>2021</v>
      </c>
      <c r="F17" s="132">
        <v>2022</v>
      </c>
      <c r="G17" s="132">
        <v>2023</v>
      </c>
    </row>
    <row r="18" spans="1:29" x14ac:dyDescent="0.2">
      <c r="A18" s="131" t="s">
        <v>381</v>
      </c>
    </row>
    <row r="19" spans="1:29" x14ac:dyDescent="0.2">
      <c r="A19" s="129" t="s">
        <v>382</v>
      </c>
      <c r="B19" s="133">
        <f>'^Profit and Loss^'!F5</f>
        <v>25278.5</v>
      </c>
      <c r="C19" s="133">
        <f>B19*(1+$B$2)</f>
        <v>27367.05</v>
      </c>
      <c r="D19" s="133">
        <f>C19*(1+$B$2)</f>
        <v>29628.15933312894</v>
      </c>
      <c r="E19" s="133">
        <f>D19*(1+$B$2)</f>
        <v>32076.085126795748</v>
      </c>
      <c r="F19" s="133">
        <f>E19*(1+$B$2)</f>
        <v>34726.262455022079</v>
      </c>
      <c r="G19" s="133">
        <f>F19*(1+$B$2)</f>
        <v>37595.401662270779</v>
      </c>
      <c r="H19" s="134"/>
      <c r="I19" s="134"/>
      <c r="J19" s="134"/>
      <c r="K19" s="134"/>
      <c r="L19" s="134"/>
      <c r="M19" s="134"/>
      <c r="N19" s="134"/>
      <c r="O19" s="134"/>
      <c r="P19" s="134"/>
      <c r="Q19" s="134"/>
      <c r="R19" s="134"/>
      <c r="S19" s="134"/>
      <c r="T19" s="134"/>
      <c r="U19" s="134"/>
      <c r="V19" s="134"/>
      <c r="W19" s="134"/>
      <c r="X19" s="134"/>
      <c r="Y19" s="134"/>
      <c r="Z19" s="134"/>
      <c r="AA19" s="134"/>
      <c r="AB19" s="134"/>
      <c r="AC19" s="134"/>
    </row>
    <row r="20" spans="1:29" x14ac:dyDescent="0.2">
      <c r="A20" s="129" t="s">
        <v>383</v>
      </c>
      <c r="B20" s="133">
        <f>-'^Profit and Loss^'!F13+'#Income Statement#'!F26</f>
        <v>-20210</v>
      </c>
      <c r="C20" s="133">
        <f>-$B$6*C19</f>
        <v>-21896.779602626732</v>
      </c>
      <c r="D20" s="133">
        <f t="shared" ref="D20:G20" si="0">-$B$6*D19</f>
        <v>-23705.926468107915</v>
      </c>
      <c r="E20" s="133">
        <f t="shared" si="0"/>
        <v>-25664.547933976803</v>
      </c>
      <c r="F20" s="133">
        <f t="shared" si="0"/>
        <v>-27784.993830193245</v>
      </c>
      <c r="G20" s="133">
        <f t="shared" si="0"/>
        <v>-30080.634349371598</v>
      </c>
      <c r="H20" s="134"/>
      <c r="I20" s="135"/>
      <c r="J20" s="134"/>
      <c r="K20" s="134"/>
      <c r="L20" s="134"/>
      <c r="M20" s="134"/>
      <c r="N20" s="134"/>
      <c r="O20" s="134"/>
      <c r="P20" s="134"/>
      <c r="Q20" s="134"/>
      <c r="R20" s="134"/>
      <c r="S20" s="134"/>
      <c r="T20" s="134"/>
      <c r="U20" s="134"/>
      <c r="V20" s="134"/>
      <c r="W20" s="134"/>
      <c r="X20" s="134"/>
      <c r="Y20" s="134"/>
      <c r="Z20" s="134"/>
      <c r="AA20" s="134"/>
      <c r="AB20" s="134"/>
      <c r="AC20" s="134"/>
    </row>
    <row r="21" spans="1:29" x14ac:dyDescent="0.2">
      <c r="A21" s="129" t="s">
        <v>384</v>
      </c>
      <c r="B21" s="133"/>
      <c r="C21" s="133">
        <f>-$B$12*C46</f>
        <v>-745.5274242831216</v>
      </c>
      <c r="D21" s="133">
        <f t="shared" ref="D21:G21" si="1">-$B$12*D46</f>
        <v>-792.64611938779387</v>
      </c>
      <c r="E21" s="133">
        <f t="shared" si="1"/>
        <v>-843.65783625644985</v>
      </c>
      <c r="F21" s="133">
        <f t="shared" si="1"/>
        <v>-898.88422255826185</v>
      </c>
      <c r="G21" s="133">
        <f t="shared" si="1"/>
        <v>-958.67350100599401</v>
      </c>
      <c r="H21" s="134"/>
      <c r="I21" s="136"/>
      <c r="J21" s="134"/>
      <c r="K21" s="134"/>
      <c r="L21" s="134"/>
      <c r="M21" s="134"/>
      <c r="N21" s="134"/>
      <c r="O21" s="134"/>
      <c r="P21" s="134"/>
      <c r="Q21" s="134"/>
      <c r="R21" s="134"/>
      <c r="S21" s="134"/>
      <c r="T21" s="134"/>
      <c r="U21" s="134"/>
      <c r="V21" s="134"/>
      <c r="W21" s="134"/>
      <c r="X21" s="134"/>
      <c r="Y21" s="134"/>
      <c r="Z21" s="134"/>
      <c r="AA21" s="134"/>
      <c r="AB21" s="134"/>
      <c r="AC21" s="134"/>
    </row>
    <row r="22" spans="1:29" x14ac:dyDescent="0.2">
      <c r="A22" s="129" t="s">
        <v>386</v>
      </c>
      <c r="B22" s="133">
        <f>-'#Income Statement#'!F26</f>
        <v>-1321.6</v>
      </c>
      <c r="C22" s="133">
        <f ca="1">C36-B36</f>
        <v>-3711.1273672516472</v>
      </c>
      <c r="D22" s="133">
        <f ca="1">D36-C36</f>
        <v>-4524.4519221530354</v>
      </c>
      <c r="E22" s="133">
        <f ca="1">E36-D36</f>
        <v>-5301.4347429342743</v>
      </c>
      <c r="F22" s="133">
        <f ca="1">F36-E36</f>
        <v>-6195.8454830552764</v>
      </c>
      <c r="G22" s="133">
        <f ca="1">G36-F36</f>
        <v>-7224.7340759461258</v>
      </c>
      <c r="H22" s="134"/>
      <c r="I22" s="135"/>
      <c r="J22" s="134"/>
      <c r="K22" s="134"/>
      <c r="L22" s="134"/>
      <c r="M22" s="134"/>
      <c r="N22" s="134"/>
      <c r="O22" s="134"/>
      <c r="P22" s="134"/>
      <c r="Q22" s="134"/>
      <c r="R22" s="134"/>
      <c r="S22" s="134"/>
      <c r="T22" s="134"/>
      <c r="U22" s="134"/>
      <c r="V22" s="134"/>
      <c r="W22" s="134"/>
      <c r="X22" s="134"/>
      <c r="Y22" s="134"/>
      <c r="Z22" s="134"/>
      <c r="AA22" s="134"/>
      <c r="AB22" s="134"/>
      <c r="AC22" s="134"/>
    </row>
    <row r="23" spans="1:29" x14ac:dyDescent="0.2">
      <c r="A23" s="192" t="s">
        <v>387</v>
      </c>
      <c r="B23" s="133">
        <f>SUM(B19:B22)</f>
        <v>3746.9</v>
      </c>
      <c r="C23" s="133">
        <f>SUM(27367-21897-746-3711)</f>
        <v>1013</v>
      </c>
      <c r="D23" s="133">
        <f>29628-23706-793-4524</f>
        <v>605</v>
      </c>
      <c r="E23" s="133">
        <f>SUM(32076-25665-844-5301)</f>
        <v>266</v>
      </c>
      <c r="F23" s="133">
        <f>SUM(34076-27785-899-6196)</f>
        <v>-804</v>
      </c>
      <c r="G23" s="133">
        <f>SUM(37595-30081-959-7225)</f>
        <v>-670</v>
      </c>
      <c r="H23" s="134"/>
      <c r="I23" s="134"/>
      <c r="J23" s="134"/>
      <c r="K23" s="134"/>
      <c r="L23" s="134"/>
      <c r="M23" s="134"/>
      <c r="N23" s="134"/>
      <c r="O23" s="134"/>
      <c r="P23" s="134"/>
      <c r="Q23" s="134"/>
      <c r="R23" s="134"/>
      <c r="S23" s="134"/>
      <c r="T23" s="134"/>
      <c r="U23" s="134"/>
      <c r="V23" s="134"/>
      <c r="W23" s="134"/>
      <c r="X23" s="134"/>
      <c r="Y23" s="134"/>
      <c r="Z23" s="134"/>
      <c r="AA23" s="134"/>
      <c r="AB23" s="134"/>
      <c r="AC23" s="134"/>
    </row>
    <row r="24" spans="1:29" x14ac:dyDescent="0.2">
      <c r="A24" s="129" t="s">
        <v>388</v>
      </c>
      <c r="B24" s="133">
        <f>-'^Profit and Loss^'!F22</f>
        <v>-711.3</v>
      </c>
      <c r="C24" s="133">
        <f>-$B$14*C23</f>
        <v>-57.574378111722702</v>
      </c>
      <c r="D24" s="133">
        <f>-$B$14*D23</f>
        <v>-34.385487421117702</v>
      </c>
      <c r="E24" s="133">
        <f>-$B$14*E23</f>
        <v>-15.118247362012081</v>
      </c>
      <c r="F24" s="133">
        <f>-$B$14*F23</f>
        <v>45.695755184427497</v>
      </c>
      <c r="G24" s="133">
        <f>-$B$14*G23</f>
        <v>38.079795987022912</v>
      </c>
      <c r="H24" s="134"/>
      <c r="I24" s="134"/>
      <c r="J24" s="134"/>
      <c r="K24" s="134"/>
      <c r="L24" s="134"/>
      <c r="M24" s="134"/>
      <c r="N24" s="134"/>
      <c r="O24" s="134"/>
      <c r="P24" s="134"/>
      <c r="Q24" s="134"/>
      <c r="R24" s="134"/>
      <c r="S24" s="134"/>
      <c r="T24" s="134"/>
      <c r="U24" s="134"/>
      <c r="V24" s="134"/>
      <c r="W24" s="134"/>
      <c r="X24" s="134"/>
      <c r="Y24" s="134"/>
      <c r="Z24" s="134"/>
      <c r="AA24" s="134"/>
      <c r="AB24" s="134"/>
      <c r="AC24" s="134"/>
    </row>
    <row r="25" spans="1:29" x14ac:dyDescent="0.2">
      <c r="A25" s="192" t="s">
        <v>389</v>
      </c>
      <c r="B25" s="133">
        <f t="shared" ref="B25:G25" si="2">B23+B24</f>
        <v>3035.6000000000004</v>
      </c>
      <c r="C25" s="133">
        <f t="shared" si="2"/>
        <v>955.42562188827731</v>
      </c>
      <c r="D25" s="133">
        <f t="shared" si="2"/>
        <v>570.61451257888234</v>
      </c>
      <c r="E25" s="133">
        <f t="shared" si="2"/>
        <v>250.88175263798792</v>
      </c>
      <c r="F25" s="133">
        <f t="shared" si="2"/>
        <v>-758.30424481557247</v>
      </c>
      <c r="G25" s="133">
        <f t="shared" si="2"/>
        <v>-631.92020401297714</v>
      </c>
      <c r="H25" s="134"/>
      <c r="I25" s="134"/>
      <c r="J25" s="134"/>
      <c r="K25" s="134"/>
      <c r="L25" s="134"/>
      <c r="M25" s="134"/>
      <c r="N25" s="134"/>
      <c r="O25" s="134"/>
      <c r="P25" s="134"/>
      <c r="Q25" s="134"/>
      <c r="R25" s="134"/>
      <c r="S25" s="134"/>
      <c r="T25" s="134"/>
      <c r="U25" s="134"/>
      <c r="V25" s="134"/>
      <c r="W25" s="134"/>
      <c r="X25" s="134"/>
      <c r="Y25" s="134"/>
      <c r="Z25" s="134"/>
      <c r="AA25" s="134"/>
      <c r="AB25" s="134"/>
      <c r="AC25" s="134"/>
    </row>
    <row r="26" spans="1:29" x14ac:dyDescent="0.2">
      <c r="A26" s="129" t="s">
        <v>390</v>
      </c>
      <c r="B26" s="133">
        <f>'^Div and DPS as CAGR^'!F3</f>
        <v>1743.4</v>
      </c>
      <c r="C26" s="133">
        <f>B26*(1+$B$15)</f>
        <v>2129.5703724480177</v>
      </c>
      <c r="D26" s="133">
        <f>C26*(1+$B$15)</f>
        <v>2601.2790932708435</v>
      </c>
      <c r="E26" s="133">
        <f>D26*(1+$B$15)</f>
        <v>3177.4732634495999</v>
      </c>
      <c r="F26" s="133">
        <f>E26*(1+$B$15)</f>
        <v>3881.296845868982</v>
      </c>
      <c r="G26" s="133">
        <f>F26*(1+$B$15)</f>
        <v>4741.0202877357606</v>
      </c>
      <c r="H26" s="134"/>
      <c r="I26" s="134"/>
      <c r="J26" s="134"/>
      <c r="K26" s="134"/>
      <c r="L26" s="134"/>
      <c r="M26" s="134"/>
      <c r="N26" s="134"/>
      <c r="O26" s="134"/>
      <c r="P26" s="134"/>
      <c r="Q26" s="134"/>
      <c r="R26" s="134"/>
      <c r="S26" s="134"/>
      <c r="T26" s="134"/>
      <c r="U26" s="134"/>
      <c r="V26" s="134"/>
      <c r="W26" s="134"/>
      <c r="X26" s="134"/>
      <c r="Y26" s="134"/>
      <c r="Z26" s="134"/>
      <c r="AA26" s="134"/>
      <c r="AB26" s="134"/>
      <c r="AC26" s="134"/>
    </row>
    <row r="27" spans="1:29" x14ac:dyDescent="0.2">
      <c r="A27" s="192" t="s">
        <v>391</v>
      </c>
      <c r="B27" s="133"/>
      <c r="C27" s="133">
        <f>C25+C26</f>
        <v>3084.9959943362951</v>
      </c>
      <c r="D27" s="133">
        <f>D25+D26</f>
        <v>3171.8936058497256</v>
      </c>
      <c r="E27" s="133">
        <f>E25+E26</f>
        <v>3428.355016087588</v>
      </c>
      <c r="F27" s="133">
        <f>F25+F26</f>
        <v>3122.9926010534095</v>
      </c>
      <c r="G27" s="133">
        <f>G25+G26</f>
        <v>4109.1000837227839</v>
      </c>
      <c r="H27" s="134"/>
      <c r="I27" s="134"/>
      <c r="J27" s="134"/>
      <c r="K27" s="134"/>
      <c r="L27" s="134"/>
      <c r="M27" s="134"/>
      <c r="N27" s="134"/>
      <c r="O27" s="134"/>
      <c r="P27" s="134"/>
      <c r="Q27" s="134"/>
      <c r="R27" s="134"/>
      <c r="S27" s="134"/>
      <c r="T27" s="134"/>
      <c r="U27" s="134"/>
      <c r="V27" s="134"/>
      <c r="W27" s="134"/>
      <c r="X27" s="134"/>
      <c r="Y27" s="134"/>
      <c r="Z27" s="134"/>
      <c r="AA27" s="134"/>
      <c r="AB27" s="134"/>
      <c r="AC27" s="134"/>
    </row>
    <row r="28" spans="1:29" x14ac:dyDescent="0.2">
      <c r="B28" s="137"/>
      <c r="C28" s="133"/>
      <c r="D28" s="133"/>
      <c r="E28" s="133"/>
      <c r="F28" s="133"/>
      <c r="G28" s="133"/>
      <c r="H28" s="134"/>
      <c r="I28" s="134"/>
      <c r="J28" s="134"/>
      <c r="K28" s="134"/>
      <c r="L28" s="134"/>
      <c r="M28" s="134"/>
      <c r="N28" s="134"/>
      <c r="O28" s="134"/>
      <c r="P28" s="134"/>
      <c r="Q28" s="134"/>
      <c r="R28" s="134"/>
      <c r="S28" s="134"/>
      <c r="T28" s="134"/>
      <c r="U28" s="134"/>
      <c r="V28" s="134"/>
      <c r="W28" s="134"/>
      <c r="X28" s="134"/>
      <c r="Y28" s="134"/>
      <c r="Z28" s="134"/>
      <c r="AA28" s="134"/>
      <c r="AB28" s="134"/>
      <c r="AC28" s="134"/>
    </row>
    <row r="29" spans="1:29" x14ac:dyDescent="0.2">
      <c r="A29" s="131" t="s">
        <v>392</v>
      </c>
      <c r="B29" s="132">
        <v>2018</v>
      </c>
      <c r="C29" s="132">
        <v>2019</v>
      </c>
      <c r="D29" s="132">
        <v>2020</v>
      </c>
      <c r="E29" s="132">
        <v>2021</v>
      </c>
      <c r="F29" s="132">
        <v>2022</v>
      </c>
      <c r="G29" s="132">
        <v>2023</v>
      </c>
      <c r="H29" s="134"/>
      <c r="I29" s="134"/>
      <c r="J29" s="134"/>
      <c r="K29" s="134"/>
      <c r="L29" s="134"/>
      <c r="M29" s="134"/>
      <c r="N29" s="134"/>
      <c r="O29" s="134"/>
      <c r="P29" s="134"/>
      <c r="Q29" s="134"/>
      <c r="R29" s="134"/>
      <c r="S29" s="134"/>
      <c r="T29" s="134"/>
      <c r="U29" s="134"/>
      <c r="V29" s="134"/>
      <c r="W29" s="134"/>
      <c r="X29" s="134"/>
      <c r="Y29" s="134"/>
      <c r="Z29" s="134"/>
      <c r="AA29" s="134"/>
      <c r="AB29" s="134"/>
      <c r="AC29" s="134"/>
    </row>
    <row r="30" spans="1:29" x14ac:dyDescent="0.2">
      <c r="A30" s="129" t="s">
        <v>393</v>
      </c>
      <c r="B30" s="134">
        <f>'#Balance Sheet#'!F19</f>
        <v>4991.8</v>
      </c>
      <c r="C30" s="134">
        <f>$B$10*C19</f>
        <v>5155.0109887849358</v>
      </c>
      <c r="D30" s="134">
        <f>$B$10*D19</f>
        <v>5580.9262211217747</v>
      </c>
      <c r="E30" s="134">
        <f>$B$10*E19</f>
        <v>6042.0312494709196</v>
      </c>
      <c r="F30" s="134">
        <f>$B$10*F19</f>
        <v>6541.2335109216583</v>
      </c>
      <c r="G30" s="134">
        <f>$B$10*G19</f>
        <v>7081.6806596541946</v>
      </c>
      <c r="H30" s="134"/>
      <c r="I30" s="134"/>
      <c r="J30" s="134"/>
      <c r="K30" s="134"/>
      <c r="L30" s="134"/>
      <c r="M30" s="134"/>
      <c r="N30" s="134"/>
      <c r="O30" s="134"/>
      <c r="P30" s="134"/>
      <c r="Q30" s="134"/>
      <c r="R30" s="134"/>
      <c r="S30" s="134"/>
      <c r="T30" s="134"/>
      <c r="U30" s="134"/>
      <c r="V30" s="134"/>
      <c r="W30" s="134"/>
      <c r="X30" s="134"/>
      <c r="Y30" s="134"/>
      <c r="Z30" s="134"/>
      <c r="AA30" s="134"/>
      <c r="AB30" s="134"/>
      <c r="AC30" s="134"/>
    </row>
    <row r="31" spans="1:29" x14ac:dyDescent="0.2">
      <c r="A31" s="129" t="s">
        <v>394</v>
      </c>
      <c r="B31" s="133">
        <f>'#Balance Sheet#'!F29-'#Balance Sheet#'!F19</f>
        <v>2684.5</v>
      </c>
      <c r="C31" s="133">
        <f>$B$3*C19</f>
        <v>9223.3946822398484</v>
      </c>
      <c r="D31" s="133">
        <f>$B$3*D19</f>
        <v>9985.4462661388934</v>
      </c>
      <c r="E31" s="133">
        <f>$B$3*E19</f>
        <v>10810.459767697308</v>
      </c>
      <c r="F31" s="133">
        <f>$B$3*F19</f>
        <v>11703.637201003248</v>
      </c>
      <c r="G31" s="133">
        <f>$B$3*G19</f>
        <v>12670.610378848267</v>
      </c>
      <c r="H31" s="134"/>
      <c r="I31" s="134"/>
      <c r="J31" s="134"/>
      <c r="K31" s="134"/>
      <c r="L31" s="134"/>
      <c r="M31" s="134"/>
      <c r="N31" s="134"/>
      <c r="O31" s="134"/>
      <c r="P31" s="134"/>
      <c r="Q31" s="134"/>
      <c r="R31" s="134"/>
      <c r="S31" s="134"/>
      <c r="T31" s="134"/>
      <c r="U31" s="134"/>
      <c r="V31" s="134"/>
      <c r="W31" s="134"/>
      <c r="X31" s="134"/>
      <c r="Y31" s="134"/>
      <c r="Z31" s="134"/>
      <c r="AA31" s="134"/>
      <c r="AB31" s="134"/>
      <c r="AC31" s="134"/>
    </row>
    <row r="32" spans="1:29" x14ac:dyDescent="0.2">
      <c r="A32" s="129" t="s">
        <v>395</v>
      </c>
      <c r="B32" s="134"/>
      <c r="C32" s="133"/>
      <c r="D32" s="133"/>
      <c r="E32" s="133"/>
      <c r="F32" s="133"/>
      <c r="G32" s="133"/>
      <c r="H32" s="134"/>
      <c r="I32" s="134"/>
      <c r="J32" s="134"/>
      <c r="K32" s="134"/>
      <c r="L32" s="134"/>
      <c r="M32" s="134"/>
      <c r="N32" s="134"/>
      <c r="O32" s="134"/>
      <c r="P32" s="134"/>
      <c r="Q32" s="134"/>
      <c r="R32" s="134"/>
      <c r="S32" s="134"/>
      <c r="T32" s="134"/>
      <c r="U32" s="134"/>
      <c r="V32" s="134"/>
      <c r="W32" s="134"/>
      <c r="X32" s="134"/>
      <c r="Y32" s="134"/>
      <c r="Z32" s="134"/>
      <c r="AA32" s="134"/>
      <c r="AB32" s="134"/>
      <c r="AC32" s="134"/>
    </row>
    <row r="33" spans="1:29" x14ac:dyDescent="0.2">
      <c r="A33" s="138" t="s">
        <v>234</v>
      </c>
      <c r="B33" s="134">
        <f>'^Analysis of Fixed Assets^'!F3</f>
        <v>13468.9</v>
      </c>
      <c r="C33" s="133">
        <f t="shared" ref="C33:G34" si="3">B33</f>
        <v>13468.9</v>
      </c>
      <c r="D33" s="133">
        <f t="shared" si="3"/>
        <v>13468.9</v>
      </c>
      <c r="E33" s="133">
        <f t="shared" si="3"/>
        <v>13468.9</v>
      </c>
      <c r="F33" s="133">
        <f t="shared" si="3"/>
        <v>13468.9</v>
      </c>
      <c r="G33" s="133">
        <f t="shared" si="3"/>
        <v>13468.9</v>
      </c>
      <c r="H33" s="134"/>
      <c r="I33" s="134"/>
      <c r="J33" s="134"/>
      <c r="K33" s="134"/>
      <c r="L33" s="134"/>
      <c r="M33" s="134"/>
      <c r="N33" s="134"/>
      <c r="O33" s="134"/>
      <c r="P33" s="134"/>
      <c r="Q33" s="134"/>
      <c r="R33" s="134"/>
      <c r="S33" s="134"/>
      <c r="T33" s="134"/>
      <c r="U33" s="134"/>
      <c r="V33" s="134"/>
      <c r="W33" s="134"/>
      <c r="X33" s="134"/>
      <c r="Y33" s="134"/>
      <c r="Z33" s="134"/>
      <c r="AA33" s="134"/>
      <c r="AB33" s="134"/>
      <c r="AC33" s="134"/>
    </row>
    <row r="34" spans="1:29" x14ac:dyDescent="0.2">
      <c r="A34" s="138" t="s">
        <v>530</v>
      </c>
      <c r="B34" s="134">
        <f>'^Analysis of Fixed Assets^'!F7</f>
        <v>0</v>
      </c>
      <c r="C34" s="133">
        <f t="shared" si="3"/>
        <v>0</v>
      </c>
      <c r="D34" s="133">
        <f t="shared" si="3"/>
        <v>0</v>
      </c>
      <c r="E34" s="133">
        <f t="shared" si="3"/>
        <v>0</v>
      </c>
      <c r="F34" s="133">
        <f t="shared" si="3"/>
        <v>0</v>
      </c>
      <c r="G34" s="133">
        <f t="shared" si="3"/>
        <v>0</v>
      </c>
      <c r="H34" s="134"/>
      <c r="I34" s="134"/>
      <c r="J34" s="134"/>
      <c r="K34" s="134"/>
      <c r="L34" s="134"/>
      <c r="M34" s="134"/>
      <c r="N34" s="134"/>
      <c r="O34" s="134"/>
      <c r="P34" s="134"/>
      <c r="Q34" s="134"/>
      <c r="R34" s="134"/>
      <c r="S34" s="134"/>
      <c r="T34" s="134"/>
      <c r="U34" s="134"/>
      <c r="V34" s="134"/>
      <c r="W34" s="134"/>
      <c r="X34" s="134"/>
      <c r="Y34" s="134"/>
      <c r="Z34" s="134"/>
      <c r="AA34" s="134"/>
      <c r="AB34" s="134"/>
      <c r="AC34" s="134"/>
    </row>
    <row r="35" spans="1:29" x14ac:dyDescent="0.2">
      <c r="A35" s="138" t="s">
        <v>531</v>
      </c>
      <c r="B35" s="133">
        <f>6039-13469-0+7430</f>
        <v>0</v>
      </c>
      <c r="C35" s="133">
        <f ca="1">C37-C36-C34-C33</f>
        <v>31397.499269920183</v>
      </c>
      <c r="D35" s="133">
        <f ca="1">D37-D36-D34-D33</f>
        <v>36844.27896926122</v>
      </c>
      <c r="E35" s="133">
        <f ca="1">E37-E36-E34-E33</f>
        <v>43116.640121388278</v>
      </c>
      <c r="F35" s="133">
        <f ca="1">F37-F36-F34-F33</f>
        <v>50334.571369812227</v>
      </c>
      <c r="G35" s="133">
        <f ca="1">G37-G36-G34-G33</f>
        <v>58635.246219310684</v>
      </c>
      <c r="H35" s="134"/>
      <c r="I35" s="134"/>
      <c r="J35" s="134"/>
      <c r="K35" s="134"/>
      <c r="L35" s="134"/>
      <c r="M35" s="134"/>
      <c r="N35" s="134"/>
      <c r="O35" s="134"/>
      <c r="P35" s="134"/>
      <c r="Q35" s="134"/>
      <c r="R35" s="134"/>
      <c r="S35" s="134"/>
      <c r="T35" s="134"/>
      <c r="U35" s="134"/>
      <c r="V35" s="134"/>
      <c r="W35" s="134"/>
      <c r="X35" s="134"/>
      <c r="Y35" s="134"/>
      <c r="Z35" s="134"/>
      <c r="AA35" s="134"/>
      <c r="AB35" s="134"/>
      <c r="AC35" s="134"/>
    </row>
    <row r="36" spans="1:29" x14ac:dyDescent="0.2">
      <c r="A36" s="138" t="s">
        <v>532</v>
      </c>
      <c r="B36" s="133">
        <f>'^Analysis of Fixed Assets^'!F10</f>
        <v>-7429.6</v>
      </c>
      <c r="C36" s="133">
        <f ca="1">B36-$B$8*AVERAGE(B35:C35)</f>
        <v>-16642.127367251647</v>
      </c>
      <c r="D36" s="133">
        <f ca="1">C36-$B$8*AVERAGE(C35:D35)</f>
        <v>-21166.579289404683</v>
      </c>
      <c r="E36" s="133">
        <f ca="1">D36-$B$8*AVERAGE(D35:E35)</f>
        <v>-26468.014032338957</v>
      </c>
      <c r="F36" s="133">
        <f ca="1">E36-$B$8*AVERAGE(E35:F35)</f>
        <v>-32663.859515394233</v>
      </c>
      <c r="G36" s="133">
        <f ca="1">F36-$B$8*AVERAGE(F35:G35)</f>
        <v>-39888.593591340359</v>
      </c>
      <c r="H36" s="134" t="s">
        <v>619</v>
      </c>
      <c r="I36" s="134"/>
      <c r="J36" s="134"/>
      <c r="K36" s="134"/>
      <c r="L36" s="134"/>
      <c r="M36" s="134"/>
      <c r="N36" s="134"/>
      <c r="O36" s="134"/>
      <c r="P36" s="134"/>
      <c r="Q36" s="134"/>
      <c r="R36" s="134"/>
      <c r="S36" s="134"/>
      <c r="T36" s="134"/>
      <c r="U36" s="134"/>
      <c r="V36" s="134"/>
      <c r="W36" s="134"/>
      <c r="X36" s="134"/>
      <c r="Y36" s="134"/>
      <c r="Z36" s="134"/>
      <c r="AA36" s="134"/>
      <c r="AB36" s="134"/>
      <c r="AC36" s="134"/>
    </row>
    <row r="37" spans="1:29" x14ac:dyDescent="0.2">
      <c r="A37" s="138" t="s">
        <v>533</v>
      </c>
      <c r="B37" s="133">
        <f>SUM(B33:B36)</f>
        <v>6039.2999999999993</v>
      </c>
      <c r="C37" s="133">
        <f>$B$5*C19</f>
        <v>6013.3761454815221</v>
      </c>
      <c r="D37" s="133">
        <f>$B$5*D19</f>
        <v>6510.2108765235316</v>
      </c>
      <c r="E37" s="133">
        <f>$B$5*E19</f>
        <v>7048.0948857077474</v>
      </c>
      <c r="F37" s="133">
        <f>$B$5*F19</f>
        <v>7630.4197298854051</v>
      </c>
      <c r="G37" s="133">
        <f>$B$5*G19</f>
        <v>8260.8571817457669</v>
      </c>
      <c r="H37" s="134"/>
      <c r="I37" s="134"/>
      <c r="J37" s="134"/>
      <c r="K37" s="134"/>
      <c r="L37" s="134"/>
      <c r="M37" s="134"/>
      <c r="N37" s="134"/>
      <c r="O37" s="134"/>
      <c r="P37" s="134"/>
      <c r="Q37" s="134"/>
      <c r="R37" s="134"/>
      <c r="S37" s="134"/>
      <c r="T37" s="134"/>
      <c r="U37" s="134"/>
      <c r="V37" s="134"/>
      <c r="W37" s="134"/>
      <c r="X37" s="134"/>
      <c r="Y37" s="134"/>
      <c r="Z37" s="134"/>
      <c r="AA37" s="134"/>
      <c r="AB37" s="134"/>
      <c r="AC37" s="134"/>
    </row>
    <row r="38" spans="1:29" x14ac:dyDescent="0.2">
      <c r="A38" s="138"/>
      <c r="B38" s="133"/>
      <c r="C38" s="133"/>
      <c r="D38" s="133"/>
      <c r="E38" s="133"/>
      <c r="F38" s="133"/>
      <c r="G38" s="133"/>
      <c r="H38" s="134"/>
      <c r="I38" s="134"/>
      <c r="J38" s="134"/>
      <c r="K38" s="134"/>
      <c r="L38" s="134"/>
      <c r="M38" s="134"/>
      <c r="N38" s="134"/>
      <c r="O38" s="134"/>
      <c r="P38" s="134"/>
      <c r="Q38" s="134"/>
      <c r="R38" s="134"/>
      <c r="S38" s="134"/>
      <c r="T38" s="134"/>
      <c r="U38" s="134"/>
      <c r="V38" s="134"/>
      <c r="W38" s="134"/>
      <c r="X38" s="134"/>
      <c r="Y38" s="134"/>
      <c r="Z38" s="134"/>
      <c r="AA38" s="134"/>
      <c r="AB38" s="134"/>
      <c r="AC38" s="134"/>
    </row>
    <row r="39" spans="1:29" x14ac:dyDescent="0.2">
      <c r="A39" s="129" t="s">
        <v>488</v>
      </c>
      <c r="B39" s="133"/>
      <c r="C39" s="133">
        <f>B39*(1+$B$7)</f>
        <v>0</v>
      </c>
      <c r="D39" s="133">
        <f t="shared" ref="D39:G39" si="4">C39*(1+$B$7)</f>
        <v>0</v>
      </c>
      <c r="E39" s="133">
        <f t="shared" si="4"/>
        <v>0</v>
      </c>
      <c r="F39" s="133">
        <f t="shared" si="4"/>
        <v>0</v>
      </c>
      <c r="G39" s="133">
        <f t="shared" si="4"/>
        <v>0</v>
      </c>
      <c r="H39" s="134"/>
      <c r="I39" s="134"/>
      <c r="J39" s="134"/>
      <c r="K39" s="134"/>
      <c r="L39" s="134"/>
      <c r="M39" s="134"/>
      <c r="N39" s="134"/>
      <c r="O39" s="134"/>
      <c r="P39" s="134"/>
      <c r="Q39" s="134"/>
      <c r="R39" s="134"/>
      <c r="S39" s="134"/>
      <c r="T39" s="134"/>
      <c r="U39" s="134"/>
      <c r="V39" s="134"/>
      <c r="W39" s="134"/>
      <c r="X39" s="134"/>
      <c r="Y39" s="134"/>
      <c r="Z39" s="134"/>
      <c r="AA39" s="134"/>
      <c r="AB39" s="134"/>
      <c r="AC39" s="134"/>
    </row>
    <row r="40" spans="1:29" ht="28.5" x14ac:dyDescent="0.2">
      <c r="A40" s="94" t="s">
        <v>489</v>
      </c>
      <c r="B40" s="133">
        <f>'#Balance Sheet#'!F35</f>
        <v>601.1</v>
      </c>
      <c r="C40" s="133">
        <f t="shared" ref="C40:G42" si="5">B40</f>
        <v>601.1</v>
      </c>
      <c r="D40" s="133">
        <f t="shared" si="5"/>
        <v>601.1</v>
      </c>
      <c r="E40" s="133">
        <f t="shared" si="5"/>
        <v>601.1</v>
      </c>
      <c r="F40" s="133">
        <f t="shared" si="5"/>
        <v>601.1</v>
      </c>
      <c r="G40" s="133">
        <f t="shared" si="5"/>
        <v>601.1</v>
      </c>
      <c r="H40" s="134"/>
      <c r="I40" s="134"/>
      <c r="J40" s="134"/>
      <c r="K40" s="134"/>
      <c r="L40" s="134"/>
      <c r="M40" s="134"/>
      <c r="N40" s="134"/>
      <c r="O40" s="134"/>
      <c r="P40" s="134"/>
      <c r="Q40" s="134"/>
      <c r="R40" s="134"/>
      <c r="S40" s="134"/>
      <c r="T40" s="134"/>
      <c r="U40" s="134"/>
      <c r="V40" s="134"/>
      <c r="W40" s="134"/>
      <c r="X40" s="134"/>
      <c r="Y40" s="134"/>
      <c r="Z40" s="134"/>
      <c r="AA40" s="134"/>
      <c r="AB40" s="134"/>
      <c r="AC40" s="134"/>
    </row>
    <row r="41" spans="1:29" ht="28.5" x14ac:dyDescent="0.2">
      <c r="A41" s="94" t="s">
        <v>490</v>
      </c>
      <c r="B41" s="133">
        <f>'#Balance Sheet#'!F38</f>
        <v>650</v>
      </c>
      <c r="C41" s="134">
        <f t="shared" si="5"/>
        <v>650</v>
      </c>
      <c r="D41" s="134">
        <f t="shared" si="5"/>
        <v>650</v>
      </c>
      <c r="E41" s="134">
        <f t="shared" si="5"/>
        <v>650</v>
      </c>
      <c r="F41" s="134">
        <f t="shared" si="5"/>
        <v>650</v>
      </c>
      <c r="G41" s="134">
        <f t="shared" si="5"/>
        <v>650</v>
      </c>
      <c r="H41" s="134"/>
    </row>
    <row r="42" spans="1:29" x14ac:dyDescent="0.2">
      <c r="A42" s="129" t="s">
        <v>534</v>
      </c>
      <c r="B42" s="133">
        <f>SUM('#Balance Sheet#'!F36:F37)+'#Balance Sheet#'!F39</f>
        <v>5014.6000000000004</v>
      </c>
      <c r="C42" s="133">
        <f t="shared" si="5"/>
        <v>5014.6000000000004</v>
      </c>
      <c r="D42" s="133">
        <f t="shared" si="5"/>
        <v>5014.6000000000004</v>
      </c>
      <c r="E42" s="133">
        <f t="shared" si="5"/>
        <v>5014.6000000000004</v>
      </c>
      <c r="F42" s="133">
        <f t="shared" si="5"/>
        <v>5014.6000000000004</v>
      </c>
      <c r="G42" s="133">
        <f t="shared" si="5"/>
        <v>5014.6000000000004</v>
      </c>
      <c r="H42" s="134"/>
      <c r="I42" s="134"/>
      <c r="J42" s="134"/>
      <c r="K42" s="134"/>
      <c r="L42" s="134"/>
      <c r="M42" s="134"/>
      <c r="N42" s="134"/>
      <c r="O42" s="134"/>
      <c r="P42" s="134"/>
      <c r="Q42" s="134"/>
      <c r="R42" s="134"/>
      <c r="S42" s="134"/>
      <c r="T42" s="134"/>
      <c r="U42" s="134"/>
      <c r="V42" s="134"/>
      <c r="W42" s="134"/>
      <c r="X42" s="134"/>
      <c r="Y42" s="134"/>
      <c r="Z42" s="134"/>
      <c r="AA42" s="134"/>
      <c r="AB42" s="134"/>
      <c r="AC42" s="134"/>
    </row>
    <row r="43" spans="1:29" x14ac:dyDescent="0.2">
      <c r="A43" s="131" t="s">
        <v>399</v>
      </c>
      <c r="B43" s="133">
        <f t="shared" ref="B43:G43" si="6">B30+B31+B37+SUM(B39:B42)</f>
        <v>19981.3</v>
      </c>
      <c r="C43" s="133">
        <f t="shared" si="6"/>
        <v>26657.481816506308</v>
      </c>
      <c r="D43" s="133">
        <f t="shared" si="6"/>
        <v>28342.283363784201</v>
      </c>
      <c r="E43" s="133">
        <f t="shared" si="6"/>
        <v>30166.285902875974</v>
      </c>
      <c r="F43" s="133">
        <f t="shared" si="6"/>
        <v>32140.990441810314</v>
      </c>
      <c r="G43" s="133">
        <f t="shared" si="6"/>
        <v>34278.848220248226</v>
      </c>
      <c r="H43" s="134"/>
      <c r="I43" s="134"/>
      <c r="J43" s="134"/>
      <c r="K43" s="134"/>
      <c r="L43" s="134"/>
      <c r="M43" s="134"/>
      <c r="N43" s="134"/>
      <c r="O43" s="134"/>
      <c r="P43" s="134"/>
      <c r="Q43" s="134"/>
      <c r="R43" s="134"/>
      <c r="S43" s="134"/>
      <c r="T43" s="134"/>
      <c r="U43" s="134"/>
      <c r="V43" s="134"/>
      <c r="W43" s="134"/>
      <c r="X43" s="134"/>
      <c r="Y43" s="134"/>
      <c r="Z43" s="134"/>
      <c r="AA43" s="134"/>
      <c r="AB43" s="134"/>
      <c r="AC43" s="134"/>
    </row>
    <row r="44" spans="1:29" x14ac:dyDescent="0.2">
      <c r="B44" s="133"/>
      <c r="C44" s="133"/>
      <c r="D44" s="133"/>
      <c r="E44" s="133"/>
      <c r="F44" s="133"/>
      <c r="G44" s="133"/>
      <c r="H44" s="134"/>
      <c r="I44" s="134"/>
      <c r="J44" s="134"/>
      <c r="K44" s="134"/>
      <c r="L44" s="134"/>
      <c r="M44" s="134"/>
      <c r="N44" s="134"/>
      <c r="O44" s="134"/>
      <c r="P44" s="134"/>
      <c r="Q44" s="134"/>
      <c r="R44" s="134"/>
      <c r="S44" s="134"/>
      <c r="T44" s="134"/>
      <c r="U44" s="134"/>
      <c r="V44" s="134"/>
      <c r="W44" s="134"/>
      <c r="X44" s="134"/>
      <c r="Y44" s="134"/>
      <c r="Z44" s="134"/>
      <c r="AA44" s="134"/>
      <c r="AB44" s="134"/>
      <c r="AC44" s="134"/>
    </row>
    <row r="45" spans="1:29" x14ac:dyDescent="0.2">
      <c r="A45" s="129" t="s">
        <v>400</v>
      </c>
      <c r="B45" s="133">
        <f>'#Balance Sheet#'!F49</f>
        <v>5427.5</v>
      </c>
      <c r="C45" s="133">
        <f>$B$4*C19</f>
        <v>4684.5036434123858</v>
      </c>
      <c r="D45" s="133">
        <f>$B$4*D19</f>
        <v>5071.5448082144476</v>
      </c>
      <c r="E45" s="133">
        <f>$B$4*E19</f>
        <v>5490.5639315483586</v>
      </c>
      <c r="F45" s="133">
        <f>$B$4*F19</f>
        <v>5944.2030833665176</v>
      </c>
      <c r="G45" s="133">
        <f>$B$4*G19</f>
        <v>6435.3226256560183</v>
      </c>
      <c r="H45" s="134"/>
      <c r="I45" s="134"/>
      <c r="J45" s="134"/>
      <c r="K45" s="134"/>
      <c r="L45" s="134"/>
      <c r="M45" s="134"/>
      <c r="N45" s="134"/>
      <c r="O45" s="134"/>
      <c r="P45" s="134"/>
      <c r="Q45" s="134"/>
      <c r="R45" s="134"/>
      <c r="S45" s="134"/>
      <c r="T45" s="134"/>
      <c r="U45" s="134"/>
      <c r="V45" s="134"/>
      <c r="W45" s="134"/>
      <c r="X45" s="134"/>
      <c r="Y45" s="134"/>
      <c r="Z45" s="134"/>
      <c r="AA45" s="134"/>
      <c r="AB45" s="134"/>
      <c r="AC45" s="134"/>
    </row>
    <row r="46" spans="1:29" x14ac:dyDescent="0.2">
      <c r="A46" s="129" t="s">
        <v>401</v>
      </c>
      <c r="B46" s="133">
        <f>'#Balance Sheet#'!F56-'#Balance Sheet#'!F49</f>
        <v>17432.599999999999</v>
      </c>
      <c r="C46" s="133">
        <f>$B$11*C43</f>
        <v>30498.15077465009</v>
      </c>
      <c r="D46" s="133">
        <f>$B$11*D43</f>
        <v>32425.689616013133</v>
      </c>
      <c r="E46" s="133">
        <f>$B$11*E43</f>
        <v>34512.484791696988</v>
      </c>
      <c r="F46" s="133">
        <f>$B$11*F43</f>
        <v>36771.694314125103</v>
      </c>
      <c r="G46" s="133">
        <f>$B$11*G43</f>
        <v>39217.563331699959</v>
      </c>
      <c r="H46" s="134"/>
      <c r="I46" s="134"/>
      <c r="J46" s="134"/>
      <c r="K46" s="134"/>
      <c r="L46" s="134"/>
      <c r="M46" s="134"/>
      <c r="N46" s="134"/>
      <c r="O46" s="134"/>
      <c r="P46" s="134"/>
      <c r="Q46" s="134"/>
      <c r="R46" s="134"/>
      <c r="S46" s="134"/>
      <c r="T46" s="134"/>
      <c r="U46" s="134"/>
      <c r="V46" s="134"/>
      <c r="W46" s="134"/>
      <c r="X46" s="134"/>
      <c r="Y46" s="134"/>
      <c r="Z46" s="134"/>
      <c r="AA46" s="134"/>
      <c r="AB46" s="134"/>
      <c r="AC46" s="134"/>
    </row>
    <row r="47" spans="1:29" x14ac:dyDescent="0.2">
      <c r="A47" s="129" t="s">
        <v>402</v>
      </c>
      <c r="B47" s="133">
        <f>'#Balance Sheet#'!F58</f>
        <v>1.2</v>
      </c>
      <c r="C47" s="133">
        <f t="shared" ref="C47:G47" si="7">B47</f>
        <v>1.2</v>
      </c>
      <c r="D47" s="133">
        <f t="shared" si="7"/>
        <v>1.2</v>
      </c>
      <c r="E47" s="133">
        <f t="shared" si="7"/>
        <v>1.2</v>
      </c>
      <c r="F47" s="133">
        <f t="shared" si="7"/>
        <v>1.2</v>
      </c>
      <c r="G47" s="133">
        <f t="shared" si="7"/>
        <v>1.2</v>
      </c>
      <c r="H47" s="134"/>
      <c r="I47" s="134"/>
      <c r="J47" s="134"/>
      <c r="K47" s="134"/>
      <c r="L47" s="134"/>
      <c r="M47" s="134"/>
      <c r="N47" s="134"/>
      <c r="O47" s="134"/>
      <c r="P47" s="134"/>
      <c r="Q47" s="134"/>
      <c r="R47" s="134"/>
      <c r="S47" s="134"/>
      <c r="T47" s="134"/>
      <c r="U47" s="134"/>
      <c r="V47" s="134"/>
      <c r="W47" s="134"/>
      <c r="X47" s="134"/>
      <c r="Y47" s="134"/>
      <c r="Z47" s="134"/>
      <c r="AA47" s="134"/>
      <c r="AB47" s="134"/>
      <c r="AC47" s="134"/>
    </row>
    <row r="48" spans="1:29" x14ac:dyDescent="0.2">
      <c r="A48" s="129" t="s">
        <v>617</v>
      </c>
      <c r="B48" s="133">
        <f>'#Balance Sheet#'!F59</f>
        <v>41.1</v>
      </c>
      <c r="C48" s="133">
        <f>C43-SUM(C45:C47)-C51</f>
        <v>-9027.3685958924616</v>
      </c>
      <c r="D48" s="133">
        <f>D43-SUM(D45:D47)-D51</f>
        <v>-12829.040660629396</v>
      </c>
      <c r="E48" s="133">
        <f>E43-SUM(E45:E47)-E51</f>
        <v>-16939.207436642977</v>
      </c>
      <c r="F48" s="133">
        <f>F43-SUM(F45:F47)-F51</f>
        <v>-20800.344173008321</v>
      </c>
      <c r="G48" s="133">
        <f>G43-SUM(G45:G47)-G51</f>
        <v>-25708.575038157549</v>
      </c>
      <c r="H48" s="134" t="s">
        <v>619</v>
      </c>
      <c r="I48" s="134"/>
      <c r="J48" s="134"/>
      <c r="K48" s="134"/>
      <c r="L48" s="134"/>
      <c r="M48" s="134"/>
      <c r="N48" s="134"/>
      <c r="O48" s="134"/>
      <c r="P48" s="134"/>
      <c r="Q48" s="134"/>
      <c r="R48" s="134"/>
      <c r="S48" s="134"/>
      <c r="T48" s="134"/>
      <c r="U48" s="134"/>
      <c r="V48" s="134"/>
      <c r="W48" s="134"/>
      <c r="X48" s="134"/>
      <c r="Y48" s="134"/>
      <c r="Z48" s="134"/>
      <c r="AA48" s="134"/>
      <c r="AB48" s="134"/>
      <c r="AC48" s="134"/>
    </row>
    <row r="49" spans="1:29" x14ac:dyDescent="0.2">
      <c r="A49" s="129" t="s">
        <v>217</v>
      </c>
      <c r="B49" s="133">
        <f>'#Balance Sheet#'!$F$65</f>
        <v>6.1</v>
      </c>
      <c r="C49" s="133">
        <f>'#Balance Sheet#'!$F$65</f>
        <v>6.1</v>
      </c>
      <c r="D49" s="133">
        <f>'#Balance Sheet#'!$F$65</f>
        <v>6.1</v>
      </c>
      <c r="E49" s="133">
        <f>'#Balance Sheet#'!$F$65</f>
        <v>6.1</v>
      </c>
      <c r="F49" s="133">
        <f>'#Balance Sheet#'!$F$65</f>
        <v>6.1</v>
      </c>
      <c r="G49" s="133">
        <f>'#Balance Sheet#'!$F$65</f>
        <v>6.1</v>
      </c>
      <c r="H49" s="134"/>
      <c r="I49" s="134"/>
      <c r="J49" s="134"/>
      <c r="K49" s="134"/>
      <c r="L49" s="134"/>
      <c r="M49" s="134"/>
      <c r="N49" s="134"/>
      <c r="O49" s="134"/>
      <c r="P49" s="134"/>
      <c r="Q49" s="134"/>
      <c r="R49" s="134"/>
      <c r="S49" s="134"/>
      <c r="T49" s="134"/>
      <c r="U49" s="134"/>
      <c r="V49" s="134"/>
      <c r="W49" s="134"/>
      <c r="X49" s="134"/>
      <c r="Y49" s="134"/>
      <c r="Z49" s="134"/>
      <c r="AA49" s="134"/>
      <c r="AB49" s="134"/>
      <c r="AC49" s="134"/>
    </row>
    <row r="50" spans="1:29" x14ac:dyDescent="0.2">
      <c r="A50" s="129" t="s">
        <v>618</v>
      </c>
      <c r="B50" s="133">
        <f>'#Balance Sheet#'!$F$62</f>
        <v>-343.2</v>
      </c>
      <c r="C50" s="133">
        <f>'#Balance Sheet#'!$F$62</f>
        <v>-343.2</v>
      </c>
      <c r="D50" s="133">
        <f>'#Balance Sheet#'!$F$62</f>
        <v>-343.2</v>
      </c>
      <c r="E50" s="133">
        <f>'#Balance Sheet#'!$F$62</f>
        <v>-343.2</v>
      </c>
      <c r="F50" s="133">
        <f>'#Balance Sheet#'!$F$62</f>
        <v>-343.2</v>
      </c>
      <c r="G50" s="133">
        <f>'#Balance Sheet#'!$F$62</f>
        <v>-343.2</v>
      </c>
      <c r="H50" s="134"/>
      <c r="I50" s="134"/>
      <c r="J50" s="134"/>
      <c r="K50" s="134"/>
      <c r="L50" s="134"/>
      <c r="M50" s="134"/>
      <c r="N50" s="134"/>
      <c r="O50" s="134"/>
      <c r="P50" s="134"/>
      <c r="Q50" s="134"/>
      <c r="R50" s="134"/>
      <c r="S50" s="134"/>
      <c r="T50" s="134"/>
      <c r="U50" s="134"/>
      <c r="V50" s="134"/>
      <c r="W50" s="134"/>
      <c r="X50" s="134"/>
      <c r="Y50" s="134"/>
      <c r="Z50" s="134"/>
      <c r="AA50" s="134"/>
      <c r="AB50" s="134"/>
      <c r="AC50" s="134"/>
    </row>
    <row r="51" spans="1:29" x14ac:dyDescent="0.2">
      <c r="A51" s="129" t="s">
        <v>403</v>
      </c>
      <c r="B51" s="133">
        <f>'#Balance Sheet#'!F60</f>
        <v>-2584</v>
      </c>
      <c r="C51" s="133">
        <f>B51+C27</f>
        <v>500.9959943362951</v>
      </c>
      <c r="D51" s="133">
        <f>C51+D27</f>
        <v>3672.8896001860207</v>
      </c>
      <c r="E51" s="133">
        <f>D51+E27</f>
        <v>7101.2446162736087</v>
      </c>
      <c r="F51" s="133">
        <f>E51+F27</f>
        <v>10224.237217327018</v>
      </c>
      <c r="G51" s="133">
        <f>F51+G27</f>
        <v>14333.337301049802</v>
      </c>
      <c r="H51" s="134"/>
      <c r="I51" s="134"/>
      <c r="J51" s="134"/>
      <c r="K51" s="134"/>
      <c r="L51" s="134"/>
      <c r="M51" s="134"/>
      <c r="N51" s="134"/>
      <c r="O51" s="134"/>
      <c r="P51" s="134"/>
      <c r="Q51" s="134"/>
      <c r="R51" s="134"/>
      <c r="S51" s="134"/>
      <c r="T51" s="134"/>
      <c r="U51" s="134"/>
      <c r="V51" s="134"/>
      <c r="W51" s="134"/>
      <c r="X51" s="134"/>
      <c r="Y51" s="134"/>
      <c r="Z51" s="134"/>
      <c r="AA51" s="134"/>
      <c r="AB51" s="134"/>
      <c r="AC51" s="134"/>
    </row>
    <row r="52" spans="1:29" x14ac:dyDescent="0.2">
      <c r="A52" s="131" t="s">
        <v>404</v>
      </c>
      <c r="B52" s="133">
        <f t="shared" ref="B52:G52" si="8">SUM(B45:B51)</f>
        <v>19981.299999999996</v>
      </c>
      <c r="C52" s="133">
        <f t="shared" si="8"/>
        <v>26320.381816506306</v>
      </c>
      <c r="D52" s="133">
        <f t="shared" si="8"/>
        <v>28005.183363784196</v>
      </c>
      <c r="E52" s="133">
        <f t="shared" si="8"/>
        <v>29829.185902875972</v>
      </c>
      <c r="F52" s="133">
        <f t="shared" si="8"/>
        <v>31803.890441810312</v>
      </c>
      <c r="G52" s="133">
        <f t="shared" si="8"/>
        <v>33941.748220248221</v>
      </c>
      <c r="H52" s="134"/>
      <c r="I52" s="134"/>
      <c r="J52" s="134"/>
      <c r="K52" s="134"/>
      <c r="L52" s="134"/>
      <c r="M52" s="134"/>
      <c r="N52" s="134"/>
      <c r="O52" s="134"/>
      <c r="P52" s="134"/>
      <c r="Q52" s="134"/>
      <c r="R52" s="134"/>
      <c r="S52" s="134"/>
      <c r="T52" s="134"/>
      <c r="U52" s="134"/>
      <c r="V52" s="134"/>
      <c r="W52" s="134"/>
      <c r="X52" s="134"/>
      <c r="Y52" s="134"/>
      <c r="Z52" s="134"/>
      <c r="AA52" s="134"/>
      <c r="AB52" s="134"/>
      <c r="AC52" s="134"/>
    </row>
    <row r="53" spans="1:29" x14ac:dyDescent="0.2">
      <c r="H53" s="134"/>
    </row>
    <row r="54" spans="1:29" ht="13.5" thickBot="1" x14ac:dyDescent="0.25">
      <c r="H54" s="134"/>
    </row>
    <row r="55" spans="1:29" x14ac:dyDescent="0.2">
      <c r="A55" s="139" t="s">
        <v>380</v>
      </c>
      <c r="B55" s="140">
        <v>2018</v>
      </c>
      <c r="C55" s="140">
        <v>2019</v>
      </c>
      <c r="D55" s="140">
        <v>2020</v>
      </c>
      <c r="E55" s="140">
        <v>2021</v>
      </c>
      <c r="F55" s="140">
        <v>2022</v>
      </c>
      <c r="G55" s="140">
        <v>2023</v>
      </c>
      <c r="H55" s="141"/>
    </row>
    <row r="56" spans="1:29" x14ac:dyDescent="0.2">
      <c r="A56" s="142" t="s">
        <v>535</v>
      </c>
      <c r="B56" s="143"/>
      <c r="C56" s="143"/>
      <c r="D56" s="143"/>
      <c r="E56" s="143"/>
      <c r="F56" s="143"/>
      <c r="G56" s="143"/>
      <c r="H56" s="144"/>
    </row>
    <row r="57" spans="1:29" x14ac:dyDescent="0.2">
      <c r="A57" s="145" t="s">
        <v>536</v>
      </c>
      <c r="B57" s="143"/>
      <c r="C57" s="143">
        <f>C25</f>
        <v>955.42562188827731</v>
      </c>
      <c r="D57" s="143">
        <f>D25</f>
        <v>570.61451257888234</v>
      </c>
      <c r="E57" s="143">
        <f>E25</f>
        <v>250.88175263798792</v>
      </c>
      <c r="F57" s="143">
        <f>F25</f>
        <v>-758.30424481557247</v>
      </c>
      <c r="G57" s="143">
        <f>G25</f>
        <v>-631.92020401297714</v>
      </c>
      <c r="H57" s="144"/>
    </row>
    <row r="58" spans="1:29" x14ac:dyDescent="0.2">
      <c r="A58" s="145" t="s">
        <v>409</v>
      </c>
      <c r="B58" s="143"/>
      <c r="C58" s="143">
        <f ca="1">-C22</f>
        <v>3711.1273672516472</v>
      </c>
      <c r="D58" s="143">
        <f ca="1">-D22</f>
        <v>4524.4519221530354</v>
      </c>
      <c r="E58" s="143">
        <f ca="1">-E22</f>
        <v>5301.4347429342743</v>
      </c>
      <c r="F58" s="143">
        <f ca="1">-F22</f>
        <v>6195.8454830552764</v>
      </c>
      <c r="G58" s="143">
        <f ca="1">-G22</f>
        <v>7224.7340759461258</v>
      </c>
      <c r="H58" s="144"/>
    </row>
    <row r="59" spans="1:29" x14ac:dyDescent="0.2">
      <c r="A59" s="145" t="s">
        <v>537</v>
      </c>
      <c r="B59" s="143"/>
      <c r="C59" s="143"/>
      <c r="D59" s="143"/>
      <c r="E59" s="143"/>
      <c r="F59" s="143"/>
      <c r="G59" s="143"/>
      <c r="H59" s="144"/>
    </row>
    <row r="60" spans="1:29" x14ac:dyDescent="0.2">
      <c r="A60" s="145" t="s">
        <v>538</v>
      </c>
      <c r="B60" s="143"/>
      <c r="C60" s="143">
        <f>-SUM(C31-8863)</f>
        <v>-360.39468223984841</v>
      </c>
      <c r="D60" s="143">
        <f>C31-D31</f>
        <v>-762.051583899045</v>
      </c>
      <c r="E60" s="143">
        <f>D31-E31</f>
        <v>-825.01350155841465</v>
      </c>
      <c r="F60" s="143">
        <f>E31-F31</f>
        <v>-893.17743330594021</v>
      </c>
      <c r="G60" s="143">
        <f>F31-G31</f>
        <v>-966.97317784501865</v>
      </c>
      <c r="H60" s="144"/>
    </row>
    <row r="61" spans="1:29" x14ac:dyDescent="0.2">
      <c r="A61" s="145" t="s">
        <v>539</v>
      </c>
      <c r="B61" s="143"/>
      <c r="C61" s="143">
        <f>C45-B45</f>
        <v>-742.99635658761417</v>
      </c>
      <c r="D61" s="143">
        <f>D45-C45</f>
        <v>387.04116480206176</v>
      </c>
      <c r="E61" s="143">
        <f>E45-D45</f>
        <v>419.01912333391101</v>
      </c>
      <c r="F61" s="143">
        <f>F45-E45</f>
        <v>453.63915181815901</v>
      </c>
      <c r="G61" s="143">
        <f>G45-F45</f>
        <v>491.11954228950071</v>
      </c>
      <c r="H61" s="144"/>
    </row>
    <row r="62" spans="1:29" x14ac:dyDescent="0.2">
      <c r="A62" s="145" t="s">
        <v>540</v>
      </c>
      <c r="B62" s="143"/>
      <c r="C62" s="143">
        <f>-(SUM(31397-28776))</f>
        <v>-2621</v>
      </c>
      <c r="D62" s="143">
        <f>-SUM(36844-33397)</f>
        <v>-3447</v>
      </c>
      <c r="E62" s="143">
        <f>-(SUM(43117-39844))</f>
        <v>-3273</v>
      </c>
      <c r="F62" s="143">
        <f>-(SUM(50335-48117))</f>
        <v>-2218</v>
      </c>
      <c r="G62" s="143">
        <f>-(SUM(58635-54841))</f>
        <v>-3794</v>
      </c>
      <c r="H62" s="144"/>
    </row>
    <row r="63" spans="1:29" x14ac:dyDescent="0.2">
      <c r="A63" s="145" t="s">
        <v>541</v>
      </c>
      <c r="B63" s="143"/>
      <c r="C63" s="143">
        <f>-(1-$B$14)*(C21-C24)</f>
        <v>648.8528795342977</v>
      </c>
      <c r="D63" s="143">
        <f t="shared" ref="D63:G63" si="9">-(1-$B$14)*(D21-D24)</f>
        <v>715.16449738416566</v>
      </c>
      <c r="E63" s="143">
        <f t="shared" si="9"/>
        <v>781.44911350298696</v>
      </c>
      <c r="F63" s="143">
        <f t="shared" si="9"/>
        <v>890.89428692796059</v>
      </c>
      <c r="G63" s="143">
        <f t="shared" si="9"/>
        <v>940.10230863646973</v>
      </c>
      <c r="H63" s="144"/>
    </row>
    <row r="64" spans="1:29" ht="13.5" thickBot="1" x14ac:dyDescent="0.25">
      <c r="A64" s="146" t="s">
        <v>535</v>
      </c>
      <c r="B64" s="147"/>
      <c r="C64" s="148">
        <f>SUM(955+3711-360-743-2621+649)</f>
        <v>1591</v>
      </c>
      <c r="D64" s="148">
        <f>SUM(571+4524-762+387-3447+715)</f>
        <v>1988</v>
      </c>
      <c r="E64" s="148">
        <f>SUM(251+5301-825+419-3273+781)</f>
        <v>2654</v>
      </c>
      <c r="F64" s="148">
        <f>SUM(-758+6196-893+454-2218+891)</f>
        <v>3672</v>
      </c>
      <c r="G64" s="148">
        <f>SUM(-632+7225-967+491-3794+940)</f>
        <v>3263</v>
      </c>
      <c r="H64" s="149"/>
    </row>
    <row r="65" spans="1:9" x14ac:dyDescent="0.2">
      <c r="H65" s="134"/>
    </row>
    <row r="66" spans="1:9" ht="13.5" thickBot="1" x14ac:dyDescent="0.25">
      <c r="H66" s="134"/>
    </row>
    <row r="67" spans="1:9" x14ac:dyDescent="0.2">
      <c r="A67" s="150" t="s">
        <v>542</v>
      </c>
      <c r="B67" s="151">
        <v>6.7199999999999996E-2</v>
      </c>
      <c r="C67" s="152" t="s">
        <v>620</v>
      </c>
      <c r="D67" s="152"/>
      <c r="E67" s="152"/>
      <c r="F67" s="152"/>
      <c r="G67" s="152"/>
      <c r="H67" s="141"/>
    </row>
    <row r="68" spans="1:9" x14ac:dyDescent="0.2">
      <c r="A68" s="145" t="s">
        <v>543</v>
      </c>
      <c r="B68" s="153">
        <v>0.04</v>
      </c>
      <c r="C68" s="154" t="s">
        <v>621</v>
      </c>
      <c r="D68" s="154"/>
      <c r="E68" s="154"/>
      <c r="F68" s="154"/>
      <c r="G68" s="154"/>
      <c r="H68" s="144"/>
    </row>
    <row r="69" spans="1:9" x14ac:dyDescent="0.2">
      <c r="A69" s="145"/>
      <c r="B69" s="154"/>
      <c r="C69" s="154"/>
      <c r="D69" s="154"/>
      <c r="E69" s="154"/>
      <c r="F69" s="154"/>
      <c r="G69" s="154"/>
      <c r="H69" s="144"/>
    </row>
    <row r="70" spans="1:9" s="131" customFormat="1" x14ac:dyDescent="0.2">
      <c r="A70" s="142" t="s">
        <v>380</v>
      </c>
      <c r="B70" s="155">
        <v>2018</v>
      </c>
      <c r="C70" s="155">
        <v>2019</v>
      </c>
      <c r="D70" s="155">
        <v>2020</v>
      </c>
      <c r="E70" s="155">
        <v>2021</v>
      </c>
      <c r="F70" s="155">
        <v>2022</v>
      </c>
      <c r="G70" s="155">
        <v>2023</v>
      </c>
      <c r="H70" s="144"/>
    </row>
    <row r="71" spans="1:9" x14ac:dyDescent="0.2">
      <c r="A71" s="145" t="s">
        <v>544</v>
      </c>
      <c r="B71" s="143"/>
      <c r="C71" s="143">
        <f>C64</f>
        <v>1591</v>
      </c>
      <c r="D71" s="143">
        <f>D64</f>
        <v>1988</v>
      </c>
      <c r="E71" s="143">
        <f>E64</f>
        <v>2654</v>
      </c>
      <c r="F71" s="143">
        <f>F64</f>
        <v>3672</v>
      </c>
      <c r="G71" s="143">
        <f>G64</f>
        <v>3263</v>
      </c>
      <c r="H71" s="144"/>
    </row>
    <row r="72" spans="1:9" x14ac:dyDescent="0.2">
      <c r="A72" s="145" t="s">
        <v>545</v>
      </c>
      <c r="B72" s="143"/>
      <c r="C72" s="143"/>
      <c r="D72" s="143"/>
      <c r="E72" s="143"/>
      <c r="F72" s="143"/>
      <c r="G72" s="143">
        <f>G71*(1+B68)/(B67-B68)</f>
        <v>124761.76470588238</v>
      </c>
      <c r="H72" s="144"/>
      <c r="I72" s="134"/>
    </row>
    <row r="73" spans="1:9" x14ac:dyDescent="0.2">
      <c r="A73" s="145" t="s">
        <v>546</v>
      </c>
      <c r="B73" s="143"/>
      <c r="C73" s="143">
        <f>C71+C72</f>
        <v>1591</v>
      </c>
      <c r="D73" s="143">
        <f>D71+D72</f>
        <v>1988</v>
      </c>
      <c r="E73" s="143">
        <f>E71+E72</f>
        <v>2654</v>
      </c>
      <c r="F73" s="143">
        <f>F71+F72</f>
        <v>3672</v>
      </c>
      <c r="G73" s="143">
        <f>G71+G72</f>
        <v>128024.76470588238</v>
      </c>
      <c r="H73" s="144"/>
    </row>
    <row r="74" spans="1:9" x14ac:dyDescent="0.2">
      <c r="A74" s="145"/>
      <c r="B74" s="154"/>
      <c r="C74" s="154"/>
      <c r="D74" s="154"/>
      <c r="E74" s="154"/>
      <c r="F74" s="154"/>
      <c r="G74" s="154"/>
      <c r="H74" s="156"/>
    </row>
    <row r="75" spans="1:9" ht="25.5" x14ac:dyDescent="0.2">
      <c r="A75" s="157" t="s">
        <v>547</v>
      </c>
      <c r="B75" s="143">
        <f>NPV(B67,C73:G73)*(1+B67)^0.5</f>
        <v>104064.03964253025</v>
      </c>
      <c r="C75" s="154"/>
      <c r="D75" s="154"/>
      <c r="E75" s="154"/>
      <c r="F75" s="154"/>
      <c r="G75" s="154"/>
      <c r="H75" s="156"/>
    </row>
    <row r="76" spans="1:9" x14ac:dyDescent="0.2">
      <c r="A76" s="145" t="s">
        <v>548</v>
      </c>
      <c r="B76" s="143">
        <f>B30</f>
        <v>4991.8</v>
      </c>
      <c r="C76" s="154"/>
      <c r="D76" s="158"/>
      <c r="E76" s="159"/>
      <c r="F76" s="159"/>
      <c r="G76" s="159"/>
      <c r="H76" s="156"/>
    </row>
    <row r="77" spans="1:9" x14ac:dyDescent="0.2">
      <c r="A77" s="145" t="s">
        <v>549</v>
      </c>
      <c r="B77" s="143">
        <f>B75+B76</f>
        <v>109055.83964253025</v>
      </c>
      <c r="C77" s="154"/>
      <c r="D77" s="159"/>
      <c r="E77" s="154"/>
      <c r="F77" s="154"/>
      <c r="G77" s="154"/>
      <c r="H77" s="156"/>
    </row>
    <row r="78" spans="1:9" x14ac:dyDescent="0.2">
      <c r="A78" s="145" t="s">
        <v>550</v>
      </c>
      <c r="B78" s="143">
        <f>-SUM(B46:B46)</f>
        <v>-17432.599999999999</v>
      </c>
      <c r="C78" s="154"/>
      <c r="D78" s="159"/>
      <c r="E78" s="154"/>
      <c r="F78" s="154"/>
      <c r="G78" s="154"/>
      <c r="H78" s="156"/>
    </row>
    <row r="79" spans="1:9" x14ac:dyDescent="0.2">
      <c r="A79" s="145" t="s">
        <v>551</v>
      </c>
      <c r="B79" s="143">
        <f>B77+B78</f>
        <v>91623.239642530243</v>
      </c>
      <c r="C79" s="154"/>
      <c r="D79" s="159"/>
      <c r="E79" s="154"/>
      <c r="F79" s="154"/>
      <c r="G79" s="154"/>
      <c r="H79" s="156"/>
    </row>
    <row r="80" spans="1:9" x14ac:dyDescent="0.2">
      <c r="A80" s="145" t="s">
        <v>552</v>
      </c>
      <c r="B80" s="143">
        <f>'#Balance Sheet#'!F72</f>
        <v>1243.5999999999999</v>
      </c>
      <c r="C80" s="154"/>
      <c r="D80" s="159"/>
      <c r="E80" s="154"/>
      <c r="F80" s="154"/>
      <c r="G80" s="154"/>
      <c r="H80" s="156"/>
    </row>
    <row r="81" spans="1:8" x14ac:dyDescent="0.2">
      <c r="A81" s="160" t="s">
        <v>553</v>
      </c>
      <c r="B81" s="161">
        <f>B79/B80</f>
        <v>73.675811870802704</v>
      </c>
      <c r="C81" s="154"/>
      <c r="D81" s="159"/>
      <c r="E81" s="154"/>
      <c r="F81" s="154"/>
      <c r="G81" s="154"/>
      <c r="H81" s="156"/>
    </row>
    <row r="82" spans="1:8" ht="13.5" thickBot="1" x14ac:dyDescent="0.25">
      <c r="A82" s="146" t="s">
        <v>554</v>
      </c>
      <c r="B82" s="162">
        <v>76.650000000000006</v>
      </c>
      <c r="C82" s="147" t="s">
        <v>622</v>
      </c>
      <c r="D82" s="163"/>
      <c r="E82" s="147"/>
      <c r="F82" s="147"/>
      <c r="G82" s="147"/>
      <c r="H82" s="164"/>
    </row>
    <row r="83" spans="1:8" x14ac:dyDescent="0.2">
      <c r="C83" s="165"/>
    </row>
    <row r="84" spans="1:8" x14ac:dyDescent="0.2">
      <c r="C84" s="165" t="s">
        <v>555</v>
      </c>
    </row>
    <row r="85" spans="1:8" x14ac:dyDescent="0.2">
      <c r="B85" s="166">
        <f>IF(B67&gt;B68,B81,"")</f>
        <v>73.675811870802704</v>
      </c>
      <c r="C85" s="167">
        <v>0.02</v>
      </c>
      <c r="D85" s="167">
        <v>0.03</v>
      </c>
      <c r="E85" s="167">
        <v>0.04</v>
      </c>
      <c r="F85" s="167">
        <v>0.05</v>
      </c>
      <c r="G85" s="167">
        <v>0.06</v>
      </c>
      <c r="H85" s="168"/>
    </row>
    <row r="86" spans="1:8" x14ac:dyDescent="0.2">
      <c r="A86" s="169" t="s">
        <v>556</v>
      </c>
      <c r="B86" s="167">
        <v>0.05</v>
      </c>
      <c r="C86" s="170">
        <f t="dataTable" ref="C86:G95" dt2D="1" dtr="1" r1="B68" r2="B67"/>
        <v>70.840105137722475</v>
      </c>
      <c r="D86" s="170">
        <v>107.70581181462541</v>
      </c>
      <c r="E86" s="170">
        <v>218.30293184533426</v>
      </c>
      <c r="F86" s="170" t="str">
        <v/>
      </c>
      <c r="G86" s="170" t="str">
        <v/>
      </c>
      <c r="H86" s="170"/>
    </row>
    <row r="87" spans="1:8" x14ac:dyDescent="0.2">
      <c r="B87" s="167">
        <v>5.5E-2</v>
      </c>
      <c r="C87" s="170">
        <v>59.188067147968191</v>
      </c>
      <c r="D87" s="170">
        <v>84.050561568801314</v>
      </c>
      <c r="E87" s="170">
        <v>142.06304855074532</v>
      </c>
      <c r="F87" s="170">
        <v>432.12548346046549</v>
      </c>
      <c r="G87" s="170" t="str">
        <v/>
      </c>
      <c r="H87" s="170"/>
    </row>
    <row r="88" spans="1:8" x14ac:dyDescent="0.2">
      <c r="B88" s="167">
        <v>0.06</v>
      </c>
      <c r="C88" s="170">
        <v>50.450443197332426</v>
      </c>
      <c r="D88" s="170">
        <v>68.281808034433311</v>
      </c>
      <c r="E88" s="170">
        <v>103.94453770863505</v>
      </c>
      <c r="F88" s="170">
        <v>210.93272673124048</v>
      </c>
      <c r="G88" s="170" t="str">
        <v/>
      </c>
      <c r="H88" s="170"/>
    </row>
    <row r="89" spans="1:8" x14ac:dyDescent="0.2">
      <c r="B89" s="167">
        <v>6.5000000000000002E-2</v>
      </c>
      <c r="C89" s="170">
        <v>43.65575007175125</v>
      </c>
      <c r="D89" s="170">
        <v>57.019618003553191</v>
      </c>
      <c r="E89" s="170">
        <v>81.074580280796724</v>
      </c>
      <c r="F89" s="170">
        <v>137.2028255943649</v>
      </c>
      <c r="G89" s="170">
        <v>417.84405216220568</v>
      </c>
      <c r="H89" s="170"/>
    </row>
    <row r="90" spans="1:8" x14ac:dyDescent="0.2">
      <c r="A90" s="171" t="e">
        <f ca="1">ggetformula(B85)</f>
        <v>#NAME?</v>
      </c>
      <c r="B90" s="167">
        <v>7.0000000000000007E-2</v>
      </c>
      <c r="C90" s="170">
        <v>38.221097793253129</v>
      </c>
      <c r="D90" s="170">
        <v>48.574024581242305</v>
      </c>
      <c r="E90" s="170">
        <v>65.828902561224254</v>
      </c>
      <c r="F90" s="170">
        <v>100.33865852118817</v>
      </c>
      <c r="G90" s="170">
        <v>203.86792640107981</v>
      </c>
      <c r="H90" s="170"/>
    </row>
    <row r="91" spans="1:8" x14ac:dyDescent="0.2">
      <c r="B91" s="167">
        <v>7.4999999999999997E-2</v>
      </c>
      <c r="C91" s="170">
        <v>33.775556340610329</v>
      </c>
      <c r="D91" s="170">
        <v>42.006157030434153</v>
      </c>
      <c r="E91" s="170">
        <v>54.93995811444303</v>
      </c>
      <c r="F91" s="170">
        <v>78.220800065659034</v>
      </c>
      <c r="G91" s="170">
        <v>132.54276461849628</v>
      </c>
      <c r="H91" s="170"/>
    </row>
    <row r="92" spans="1:8" x14ac:dyDescent="0.2">
      <c r="B92" s="167">
        <v>0.08</v>
      </c>
      <c r="C92" s="170">
        <v>30.071839009096017</v>
      </c>
      <c r="D92" s="170">
        <v>36.752692708923</v>
      </c>
      <c r="E92" s="170">
        <v>46.77397325866351</v>
      </c>
      <c r="F92" s="170">
        <v>63.476107508231003</v>
      </c>
      <c r="G92" s="170">
        <v>96.880376007365953</v>
      </c>
      <c r="H92" s="170"/>
    </row>
    <row r="93" spans="1:8" x14ac:dyDescent="0.2">
      <c r="B93" s="167">
        <v>8.5000000000000006E-2</v>
      </c>
      <c r="C93" s="170">
        <v>26.938747296013535</v>
      </c>
      <c r="D93" s="170">
        <v>32.455153403583402</v>
      </c>
      <c r="E93" s="170">
        <v>40.423295558962117</v>
      </c>
      <c r="F93" s="170">
        <v>52.944661803128682</v>
      </c>
      <c r="G93" s="170">
        <v>75.483121042628468</v>
      </c>
      <c r="H93" s="170"/>
    </row>
    <row r="94" spans="1:8" x14ac:dyDescent="0.2">
      <c r="B94" s="167">
        <v>0.09</v>
      </c>
      <c r="C94" s="170">
        <v>24.253996549136371</v>
      </c>
      <c r="D94" s="170">
        <v>28.874553496797741</v>
      </c>
      <c r="E94" s="170">
        <v>35.343333223523651</v>
      </c>
      <c r="F94" s="170">
        <v>45.046502813612534</v>
      </c>
      <c r="G94" s="170">
        <v>61.218452130427323</v>
      </c>
      <c r="H94" s="170"/>
    </row>
    <row r="95" spans="1:8" x14ac:dyDescent="0.2">
      <c r="B95" s="167">
        <v>9.5000000000000001E-2</v>
      </c>
      <c r="C95" s="170">
        <v>21.927911355390666</v>
      </c>
      <c r="D95" s="170">
        <v>25.845441286244299</v>
      </c>
      <c r="E95" s="170">
        <v>31.187527555590151</v>
      </c>
      <c r="F95" s="170">
        <v>38.903874389089729</v>
      </c>
      <c r="G95" s="170">
        <v>51.029562270303337</v>
      </c>
      <c r="H95" s="170"/>
    </row>
  </sheetData>
  <mergeCells count="1">
    <mergeCell ref="A1:H1"/>
  </mergeCells>
  <conditionalFormatting sqref="C86:G95">
    <cfRule type="cellIs" dxfId="0" priority="1" operator="greaterThan">
      <formula>$B$82</formula>
    </cfRule>
  </conditionalFormatting>
  <printOptions headings="1" gridLines="1"/>
  <pageMargins left="0.75" right="0.75" top="1" bottom="1" header="0.5" footer="0.5"/>
  <pageSetup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vt:i4>
      </vt:variant>
    </vt:vector>
  </HeadingPairs>
  <TitlesOfParts>
    <vt:vector size="23" baseType="lpstr">
      <vt:lpstr>#Key Stats#</vt:lpstr>
      <vt:lpstr>#Income Statement#</vt:lpstr>
      <vt:lpstr>#Balance Sheet#</vt:lpstr>
      <vt:lpstr>#Cash Flow#</vt:lpstr>
      <vt:lpstr>#Consolidated Cash Flows#</vt:lpstr>
      <vt:lpstr>#Ratios#</vt:lpstr>
      <vt:lpstr>%First Pro Forma%</vt:lpstr>
      <vt:lpstr>^Profit and Loss^</vt:lpstr>
      <vt:lpstr>Consolidated Statement of CF</vt:lpstr>
      <vt:lpstr>^Analysis of Sales^</vt:lpstr>
      <vt:lpstr>^NWC Analysis^</vt:lpstr>
      <vt:lpstr>^Operating Costs^</vt:lpstr>
      <vt:lpstr>^Analysis of Fixed Assets^</vt:lpstr>
      <vt:lpstr>^Div and DPS as CAGR^</vt:lpstr>
      <vt:lpstr>^Other Liabilities and Pensions</vt:lpstr>
      <vt:lpstr>^Tax Rate^</vt:lpstr>
      <vt:lpstr>^Various Plugs vs Sales^</vt:lpstr>
      <vt:lpstr>Pro Forma</vt:lpstr>
      <vt:lpstr>'#Balance Sheet#'!Print_Titles</vt:lpstr>
      <vt:lpstr>'#Cash Flow#'!Print_Titles</vt:lpstr>
      <vt:lpstr>'#Income Statement#'!Print_Titles</vt:lpstr>
      <vt:lpstr>'#Key Stats#'!Print_Titles</vt:lpstr>
      <vt:lpstr>'#Ratios#'!Print_Titles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2019-04-19T20:09:40Z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