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ngenthron\Downloads\"/>
    </mc:Choice>
  </mc:AlternateContent>
  <xr:revisionPtr revIDLastSave="0" documentId="8_{F84656E1-CF23-4644-9C61-9E39D34B68E5}" xr6:coauthVersionLast="47" xr6:coauthVersionMax="47" xr10:uidLastSave="{00000000-0000-0000-0000-000000000000}"/>
  <bookViews>
    <workbookView xWindow="1560" yWindow="1560" windowWidth="57600" windowHeight="15285" activeTab="1" xr2:uid="{3FED0993-B5B5-4C60-A410-E7FC8100E0B5}"/>
  </bookViews>
  <sheets>
    <sheet name="Chart1" sheetId="11" r:id="rId1"/>
    <sheet name="Litz Design tool for External C" sheetId="7" r:id="rId2"/>
    <sheet name="N1 Max Calculator" sheetId="10" r:id="rId3"/>
    <sheet name="Preferred strand sizes" sheetId="8" r:id="rId4"/>
    <sheet name="Magnet Wire" sheetId="3" r:id="rId5"/>
    <sheet name="AWG Reference" sheetId="6" r:id="rId6"/>
    <sheet name="Max Ends Single Op" sheetId="9" r:id="rId7"/>
  </sheets>
  <externalReferences>
    <externalReference r:id="rId8"/>
    <externalReference r:id="rId9"/>
    <externalReference r:id="rId10"/>
  </externalReferences>
  <definedNames>
    <definedName name="AWGsize" localSheetId="5">[1]!Table1[[AWG ]]</definedName>
    <definedName name="AWGsize">[2]!Table1[[AWG ]]</definedName>
    <definedName name="BARREL" localSheetId="5">'[1]Spool Calc'!$D$18</definedName>
    <definedName name="BARREL">'[2]Spool Calc'!$D$18</definedName>
    <definedName name="CABLE_DIA" localSheetId="5">'[1]Spool Calc'!$E$3</definedName>
    <definedName name="CABLE_DIA">'[2]Spool Calc'!$E$3</definedName>
    <definedName name="CLEARANCE" localSheetId="5">'[1]Spool Calc'!$E$5</definedName>
    <definedName name="CLEARANCE">'[2]Spool Calc'!$E$5</definedName>
    <definedName name="CONDUCTOR" comment="Conductor Dropdown">'[3]Part Builder'!$C$2</definedName>
    <definedName name="CONDUCTOR_COST">'[3]Part Builder'!$E$3</definedName>
    <definedName name="CONDUCTOR_DCR">'[3]Part Builder'!$J$3</definedName>
    <definedName name="CONDUCTOR_OD_MAX">'[3]Part Builder'!$I$3</definedName>
    <definedName name="CONDUCTOR_OD_MIN">'[3]Part Builder'!$G$3</definedName>
    <definedName name="CONDUCTOR_OD_NOM">'[3]Part Builder'!$H$3</definedName>
    <definedName name="CONDUCTOR_WEIGHT">'[3]Part Builder'!$F$3</definedName>
    <definedName name="FINISHED_OD_MAX">'[3]Part Builder'!$E$28</definedName>
    <definedName name="FINISHED_OD_MIN">'[3]Part Builder'!$E$26</definedName>
    <definedName name="FINISHED_OD_NOM">'[3]Part Builder'!$E$27</definedName>
    <definedName name="FLANGE" localSheetId="5">'[1]Spool Calc'!$D$16</definedName>
    <definedName name="FLANGE">'[2]Spool Calc'!$D$16</definedName>
    <definedName name="GENERATED_PART_DESC">'[3]Part Builder'!$C$26</definedName>
    <definedName name="GENERATED_PART_ID">'[3]Part Builder'!$C$25</definedName>
    <definedName name="INSL_COLOR_1">'[3]Part Builder'!$C$15</definedName>
    <definedName name="INSL_COLOR_1_COST">'[3]Part Builder'!$D$18</definedName>
    <definedName name="INSL_COLOR_1_MIX">'[3]Part Builder'!$C$17</definedName>
    <definedName name="INSL_COLOR_1_MIX_COLOR_WEIGHT">'[3]Part Builder'!$J$17</definedName>
    <definedName name="INSL_COLOR_1_MIX_INSL_PCT">'[3]Part Builder'!$I$16</definedName>
    <definedName name="INSL_COLOR_1_MIX_INSL_WEIGHT">'[3]Part Builder'!$I$17</definedName>
    <definedName name="INSL_COLOR_1_NAME">'[3]Part Builder'!$J$25</definedName>
    <definedName name="INSL_COLOR_2">'[3]Part Builder'!$C$20</definedName>
    <definedName name="INSL_COLOR_2_COST">'[3]Part Builder'!$D$23</definedName>
    <definedName name="INSL_COLOR_2_MIX">'[3]Part Builder'!$C$22</definedName>
    <definedName name="INSL_COLOR_2_MIX_COLOR_WEIGHT">'[3]Part Builder'!$J$22</definedName>
    <definedName name="INSL_COLOR_2_MIX_INSL_WEIGHT">'[3]Part Builder'!$I$22</definedName>
    <definedName name="INSL_COLOR_2_NAME">'[3]Part Builder'!$K$25</definedName>
    <definedName name="INSL_COMP">'[3]Part Builder'!$C$10</definedName>
    <definedName name="INSL_COMP_SHORT_NAME">'[3]Part Builder'!$I$25</definedName>
    <definedName name="INSL_COST">'[3]Part Builder'!$D$11</definedName>
    <definedName name="INSL_MILS_OVERALL">'[3]Part Builder'!$G$8</definedName>
    <definedName name="INSL_PASSES">'[3]Part Builder'!$C$7</definedName>
    <definedName name="INSL_SG">'[3]Part Builder'!$H$11</definedName>
    <definedName name="INSL_THICKNESS">'[3]Part Builder'!$C$8</definedName>
    <definedName name="ISNL_TOTAL_LESS_COLOR">'[3]Part Builder'!$L$13</definedName>
    <definedName name="MagGrade">'Litz Design tool for External C'!$Q$36:$R$44</definedName>
    <definedName name="MAXENDS">'Max Ends Single Op'!$B$4:$C$47</definedName>
    <definedName name="NOOFENDSMAX">'Litz Design tool for External C'!$M$10</definedName>
    <definedName name="ORDER_QTY_1">'[3]Part Builder'!$C$42</definedName>
    <definedName name="ORDER_QTY_2">'[3]Part Builder'!$D$42</definedName>
    <definedName name="ORDER_QTY_3">'[3]Part Builder'!$E$42</definedName>
    <definedName name="ORDER_QTY_4">'[3]Part Builder'!$F$42</definedName>
    <definedName name="ORDER_QTY_5">'[3]Part Builder'!$G$42</definedName>
    <definedName name="ORDER_QTY_6">'[3]Part Builder'!$H$42</definedName>
    <definedName name="PASSES_1_OD">'[3]Part Builder'!$K$10</definedName>
    <definedName name="PASSES_2_OD">'[3]Part Builder'!$K$11</definedName>
    <definedName name="PASSES_3_OD">'[3]Part Builder'!$K$12</definedName>
    <definedName name="SPOOL_CALC_BARREL">'[3]Spool Calc'!$D$18</definedName>
    <definedName name="SPOOL_CALC_CABLE_DIA">'[3]Spool Calc'!$E$3</definedName>
    <definedName name="SPOOL_CALC_CLEARANCE">'[3]Spool Calc'!$E$5</definedName>
    <definedName name="SPOOL_CALC_FEET_PER_TURN">'[3]Spool Calc'!$D$24</definedName>
    <definedName name="SPOOL_CALC_FILL_LEVEL">'[3]Spool Calc'!$E$9</definedName>
    <definedName name="SPOOL_CALC_FLANGE">'[3]Spool Calc'!$D$16</definedName>
    <definedName name="SPOOL_CALC_GROSS_FEET">'[3]Spool Calc'!$E$8</definedName>
    <definedName name="SPOOL_CALC_GROSS_WEIGHT">'[3]Spool Calc'!$E$7</definedName>
    <definedName name="SPOOL_CALC_LAYERS">'[3]Spool Calc'!$D$23</definedName>
    <definedName name="SPOOL_CALC_NET_FEET">'[3]Spool Calc'!$E$10</definedName>
    <definedName name="SPOOL_CALC_NET_WEIGHT">'[3]Spool Calc'!$E$11</definedName>
    <definedName name="SPOOL_CALC_TRAVERSE">'[3]Spool Calc'!$D$17</definedName>
    <definedName name="SPOOL_CALC_TURNS_PER_LAYER">'[3]Spool Calc'!$D$22</definedName>
    <definedName name="SPOOL_CALC_WIRE_WEIGHT">'[3]Spool Calc'!$E$6</definedName>
    <definedName name="SPOOLS_DESC">'[3]Part Builder'!$K$49</definedName>
    <definedName name="SPOOLS_FILL">'[3]Part Builder'!$K$57</definedName>
    <definedName name="TRAVERSE" localSheetId="5">'[1]Spool Calc'!$D$17</definedName>
    <definedName name="TRAVERSE">'[2]Spool Calc'!$D$17</definedName>
    <definedName name="TYPE1">'Litz Design tool for External C'!$P$25:$T$27</definedName>
    <definedName name="TYPE2">'Litz Design tool for External C'!$P$28:$T$32</definedName>
    <definedName name="YIELD_FT_FINISHED">'[3]Part Builder'!$L$26</definedName>
    <definedName name="YIELD_KFT_FINISHED">'[3]Part Builder'!$L$27</definedName>
  </definedNames>
  <calcPr calcId="191029" iterate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4" i="10" l="1"/>
  <c r="Q6" i="10" s="1"/>
  <c r="E6" i="10"/>
  <c r="E89" i="7"/>
  <c r="E81" i="7"/>
  <c r="E8" i="10" l="1"/>
  <c r="E14" i="10"/>
  <c r="E15" i="10" s="1"/>
  <c r="M10" i="7"/>
  <c r="F84" i="7"/>
  <c r="B91" i="7" s="1"/>
  <c r="F76" i="7"/>
  <c r="B83" i="7" s="1"/>
  <c r="F68" i="7"/>
  <c r="H14" i="7"/>
  <c r="B34" i="7"/>
  <c r="E40" i="7"/>
  <c r="F40" i="7" s="1"/>
  <c r="D9" i="7"/>
  <c r="G91" i="7" s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E39" i="7"/>
  <c r="F39" i="7" s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C8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E62" i="7"/>
  <c r="F62" i="7" s="1"/>
  <c r="E61" i="7"/>
  <c r="F61" i="7" s="1"/>
  <c r="E60" i="7"/>
  <c r="F60" i="7" s="1"/>
  <c r="E55" i="7"/>
  <c r="F55" i="7" s="1"/>
  <c r="E54" i="7"/>
  <c r="F54" i="7" s="1"/>
  <c r="E53" i="7"/>
  <c r="F53" i="7" s="1"/>
  <c r="E48" i="7"/>
  <c r="F48" i="7" s="1"/>
  <c r="E47" i="7"/>
  <c r="F47" i="7" s="1"/>
  <c r="E46" i="7"/>
  <c r="F46" i="7" s="1"/>
  <c r="E41" i="7"/>
  <c r="F41" i="7" s="1"/>
  <c r="D67" i="7"/>
  <c r="B63" i="7"/>
  <c r="H63" i="7"/>
  <c r="L63" i="7"/>
  <c r="L56" i="7"/>
  <c r="H56" i="7"/>
  <c r="B56" i="7"/>
  <c r="L49" i="7"/>
  <c r="H49" i="7"/>
  <c r="L42" i="7"/>
  <c r="H42" i="7"/>
  <c r="B42" i="7"/>
  <c r="B49" i="7"/>
  <c r="H4" i="7"/>
  <c r="B10" i="6"/>
  <c r="C10" i="6" s="1"/>
  <c r="B9" i="6"/>
  <c r="C9" i="6" s="1"/>
  <c r="B8" i="6"/>
  <c r="B7" i="6"/>
  <c r="C7" i="6" s="1"/>
  <c r="B6" i="6"/>
  <c r="C6" i="6" s="1"/>
  <c r="B5" i="6"/>
  <c r="C5" i="6" s="1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H16" i="7"/>
  <c r="H15" i="7"/>
  <c r="H17" i="7"/>
  <c r="G14" i="7"/>
  <c r="G16" i="7" s="1"/>
  <c r="I14" i="7"/>
  <c r="I15" i="7" s="1"/>
  <c r="F89" i="7"/>
  <c r="F81" i="7"/>
  <c r="E16" i="10" l="1"/>
  <c r="E17" i="10" s="1"/>
  <c r="E9" i="10"/>
  <c r="H18" i="7"/>
  <c r="H22" i="7" s="1"/>
  <c r="H24" i="7" s="1"/>
  <c r="G83" i="7"/>
  <c r="F10" i="7"/>
  <c r="D10" i="7"/>
  <c r="G15" i="7"/>
  <c r="G18" i="7" s="1"/>
  <c r="F14" i="7"/>
  <c r="G17" i="7"/>
  <c r="I16" i="7"/>
  <c r="I17" i="7"/>
  <c r="J14" i="7"/>
  <c r="I18" i="7"/>
  <c r="E11" i="10" l="1"/>
  <c r="G11" i="10" s="1"/>
  <c r="G9" i="10"/>
  <c r="H21" i="7"/>
  <c r="H25" i="7"/>
  <c r="H20" i="7"/>
  <c r="H26" i="7"/>
  <c r="H27" i="7" s="1"/>
  <c r="H19" i="7"/>
  <c r="H23" i="7"/>
  <c r="H29" i="7"/>
  <c r="G19" i="7"/>
  <c r="G21" i="7"/>
  <c r="G22" i="7"/>
  <c r="G20" i="7"/>
  <c r="I19" i="7"/>
  <c r="I21" i="7"/>
  <c r="I20" i="7"/>
  <c r="I22" i="7"/>
  <c r="F15" i="7"/>
  <c r="F18" i="7" s="1"/>
  <c r="F16" i="7"/>
  <c r="E14" i="7"/>
  <c r="F17" i="7"/>
  <c r="J17" i="7"/>
  <c r="K14" i="7"/>
  <c r="J16" i="7"/>
  <c r="J15" i="7"/>
  <c r="J18" i="7" s="1"/>
  <c r="H30" i="7" l="1"/>
  <c r="H31" i="7" s="1"/>
  <c r="H32" i="7" s="1"/>
  <c r="H33" i="7" s="1"/>
  <c r="H28" i="7"/>
  <c r="K15" i="7"/>
  <c r="L14" i="7"/>
  <c r="K18" i="7"/>
  <c r="K16" i="7"/>
  <c r="K17" i="7"/>
  <c r="E15" i="7"/>
  <c r="E18" i="7" s="1"/>
  <c r="E16" i="7"/>
  <c r="D14" i="7"/>
  <c r="E17" i="7"/>
  <c r="G26" i="7"/>
  <c r="G23" i="7"/>
  <c r="G24" i="7"/>
  <c r="G25" i="7"/>
  <c r="F20" i="7"/>
  <c r="F21" i="7"/>
  <c r="F22" i="7"/>
  <c r="F19" i="7"/>
  <c r="I25" i="7"/>
  <c r="I24" i="7"/>
  <c r="I23" i="7"/>
  <c r="I26" i="7"/>
  <c r="J22" i="7"/>
  <c r="J21" i="7"/>
  <c r="J20" i="7"/>
  <c r="J19" i="7"/>
  <c r="D5" i="7" l="1"/>
  <c r="I10" i="7" s="1"/>
  <c r="D6" i="7"/>
  <c r="I9" i="7" s="1"/>
  <c r="G29" i="7"/>
  <c r="G27" i="7"/>
  <c r="G28" i="7"/>
  <c r="G30" i="7"/>
  <c r="G31" i="7" s="1"/>
  <c r="G32" i="7" s="1"/>
  <c r="G33" i="7" s="1"/>
  <c r="D15" i="7"/>
  <c r="D18" i="7" s="1"/>
  <c r="C14" i="7"/>
  <c r="D16" i="7"/>
  <c r="D17" i="7"/>
  <c r="I29" i="7"/>
  <c r="I27" i="7"/>
  <c r="I28" i="7"/>
  <c r="I30" i="7"/>
  <c r="I31" i="7" s="1"/>
  <c r="I32" i="7" s="1"/>
  <c r="I33" i="7" s="1"/>
  <c r="F23" i="7"/>
  <c r="F24" i="7"/>
  <c r="F25" i="7"/>
  <c r="F26" i="7"/>
  <c r="J25" i="7"/>
  <c r="J26" i="7"/>
  <c r="J24" i="7"/>
  <c r="J23" i="7"/>
  <c r="E20" i="7"/>
  <c r="E21" i="7"/>
  <c r="E22" i="7"/>
  <c r="E19" i="7"/>
  <c r="K22" i="7"/>
  <c r="K20" i="7"/>
  <c r="K19" i="7"/>
  <c r="K21" i="7"/>
  <c r="L18" i="7"/>
  <c r="M14" i="7"/>
  <c r="L16" i="7"/>
  <c r="L17" i="7"/>
  <c r="L15" i="7"/>
  <c r="D7" i="7" l="1"/>
  <c r="C48" i="7" s="1"/>
  <c r="D8" i="7"/>
  <c r="B1" i="7"/>
  <c r="H3" i="7"/>
  <c r="H5" i="7" s="1"/>
  <c r="H6" i="7" s="1"/>
  <c r="B11" i="7"/>
  <c r="E8" i="7"/>
  <c r="E7" i="7"/>
  <c r="C46" i="7"/>
  <c r="C61" i="7"/>
  <c r="C53" i="7"/>
  <c r="C41" i="7"/>
  <c r="C62" i="7"/>
  <c r="C54" i="7"/>
  <c r="C47" i="7"/>
  <c r="F28" i="7"/>
  <c r="F27" i="7"/>
  <c r="F30" i="7"/>
  <c r="F31" i="7" s="1"/>
  <c r="F32" i="7" s="1"/>
  <c r="F33" i="7" s="1"/>
  <c r="F29" i="7"/>
  <c r="L20" i="7"/>
  <c r="L19" i="7"/>
  <c r="L22" i="7"/>
  <c r="L21" i="7"/>
  <c r="E24" i="7"/>
  <c r="E23" i="7"/>
  <c r="E25" i="7"/>
  <c r="E26" i="7"/>
  <c r="K24" i="7"/>
  <c r="K26" i="7"/>
  <c r="K25" i="7"/>
  <c r="K23" i="7"/>
  <c r="M16" i="7"/>
  <c r="M17" i="7"/>
  <c r="M15" i="7"/>
  <c r="M18" i="7" s="1"/>
  <c r="J27" i="7"/>
  <c r="J30" i="7"/>
  <c r="J31" i="7" s="1"/>
  <c r="J32" i="7" s="1"/>
  <c r="J33" i="7" s="1"/>
  <c r="J29" i="7"/>
  <c r="J28" i="7"/>
  <c r="C15" i="7"/>
  <c r="C18" i="7" s="1"/>
  <c r="C17" i="7"/>
  <c r="B14" i="7"/>
  <c r="C16" i="7"/>
  <c r="D20" i="7"/>
  <c r="D19" i="7"/>
  <c r="D21" i="7"/>
  <c r="D22" i="7"/>
  <c r="C39" i="7" l="1"/>
  <c r="M39" i="7" s="1"/>
  <c r="N39" i="7" s="1"/>
  <c r="C55" i="7"/>
  <c r="M55" i="7" s="1"/>
  <c r="N55" i="7" s="1"/>
  <c r="C60" i="7"/>
  <c r="C40" i="7"/>
  <c r="I40" i="7" s="1"/>
  <c r="J40" i="7" s="1"/>
  <c r="M60" i="7"/>
  <c r="N60" i="7" s="1"/>
  <c r="D60" i="7"/>
  <c r="I60" i="7"/>
  <c r="J60" i="7" s="1"/>
  <c r="G89" i="7"/>
  <c r="H89" i="7" s="1"/>
  <c r="G68" i="7"/>
  <c r="G81" i="7"/>
  <c r="H81" i="7" s="1"/>
  <c r="C81" i="7"/>
  <c r="D81" i="7" s="1"/>
  <c r="G73" i="7"/>
  <c r="H73" i="7" s="1"/>
  <c r="E73" i="7" s="1"/>
  <c r="C73" i="7" s="1"/>
  <c r="D73" i="7" s="1"/>
  <c r="D40" i="7"/>
  <c r="C89" i="7"/>
  <c r="D89" i="7" s="1"/>
  <c r="M40" i="7"/>
  <c r="N40" i="7" s="1"/>
  <c r="D47" i="7"/>
  <c r="I47" i="7"/>
  <c r="J47" i="7" s="1"/>
  <c r="M47" i="7"/>
  <c r="N47" i="7" s="1"/>
  <c r="M48" i="7"/>
  <c r="N48" i="7" s="1"/>
  <c r="D48" i="7"/>
  <c r="I48" i="7"/>
  <c r="J48" i="7" s="1"/>
  <c r="D54" i="7"/>
  <c r="I54" i="7"/>
  <c r="J54" i="7" s="1"/>
  <c r="M54" i="7"/>
  <c r="N54" i="7" s="1"/>
  <c r="M62" i="7"/>
  <c r="N62" i="7" s="1"/>
  <c r="I62" i="7"/>
  <c r="J62" i="7" s="1"/>
  <c r="D62" i="7"/>
  <c r="C90" i="7"/>
  <c r="D90" i="7" s="1"/>
  <c r="M41" i="7"/>
  <c r="N41" i="7" s="1"/>
  <c r="I41" i="7"/>
  <c r="J41" i="7" s="1"/>
  <c r="D41" i="7"/>
  <c r="C82" i="7"/>
  <c r="D82" i="7" s="1"/>
  <c r="M53" i="7"/>
  <c r="N53" i="7" s="1"/>
  <c r="I53" i="7"/>
  <c r="J53" i="7" s="1"/>
  <c r="D53" i="7"/>
  <c r="I61" i="7"/>
  <c r="J61" i="7" s="1"/>
  <c r="M61" i="7"/>
  <c r="N61" i="7" s="1"/>
  <c r="D61" i="7"/>
  <c r="M46" i="7"/>
  <c r="N46" i="7" s="1"/>
  <c r="D46" i="7"/>
  <c r="I46" i="7"/>
  <c r="J46" i="7" s="1"/>
  <c r="E27" i="7"/>
  <c r="E29" i="7"/>
  <c r="E28" i="7"/>
  <c r="E30" i="7"/>
  <c r="E31" i="7" s="1"/>
  <c r="E32" i="7" s="1"/>
  <c r="E33" i="7" s="1"/>
  <c r="B15" i="7"/>
  <c r="B18" i="7" s="1"/>
  <c r="B17" i="7"/>
  <c r="B16" i="7"/>
  <c r="C20" i="7"/>
  <c r="C19" i="7"/>
  <c r="C21" i="7"/>
  <c r="C22" i="7"/>
  <c r="K29" i="7"/>
  <c r="K28" i="7"/>
  <c r="K27" i="7"/>
  <c r="K30" i="7"/>
  <c r="K31" i="7" s="1"/>
  <c r="K32" i="7" s="1"/>
  <c r="K33" i="7" s="1"/>
  <c r="L25" i="7"/>
  <c r="L23" i="7"/>
  <c r="L26" i="7"/>
  <c r="L24" i="7"/>
  <c r="M21" i="7"/>
  <c r="M19" i="7"/>
  <c r="M20" i="7"/>
  <c r="M22" i="7"/>
  <c r="D26" i="7"/>
  <c r="D23" i="7"/>
  <c r="D24" i="7"/>
  <c r="D25" i="7"/>
  <c r="I39" i="7" l="1"/>
  <c r="J39" i="7" s="1"/>
  <c r="C80" i="7"/>
  <c r="D80" i="7" s="1"/>
  <c r="D39" i="7"/>
  <c r="C88" i="7"/>
  <c r="D88" i="7" s="1"/>
  <c r="G67" i="7"/>
  <c r="C72" i="7"/>
  <c r="D72" i="7" s="1"/>
  <c r="C74" i="7"/>
  <c r="D74" i="7" s="1"/>
  <c r="I55" i="7"/>
  <c r="J55" i="7" s="1"/>
  <c r="D55" i="7"/>
  <c r="G82" i="7"/>
  <c r="F73" i="7"/>
  <c r="B75" i="7"/>
  <c r="G75" i="7"/>
  <c r="G74" i="7"/>
  <c r="G90" i="7"/>
  <c r="D27" i="7"/>
  <c r="D28" i="7"/>
  <c r="D29" i="7"/>
  <c r="D30" i="7"/>
  <c r="D31" i="7" s="1"/>
  <c r="D32" i="7" s="1"/>
  <c r="D33" i="7" s="1"/>
  <c r="M26" i="7"/>
  <c r="M23" i="7"/>
  <c r="M24" i="7"/>
  <c r="M25" i="7"/>
  <c r="C25" i="7"/>
  <c r="C24" i="7"/>
  <c r="C23" i="7"/>
  <c r="C26" i="7"/>
  <c r="L30" i="7"/>
  <c r="L31" i="7" s="1"/>
  <c r="L32" i="7" s="1"/>
  <c r="L33" i="7" s="1"/>
  <c r="L28" i="7"/>
  <c r="L27" i="7"/>
  <c r="L29" i="7"/>
  <c r="B21" i="7"/>
  <c r="B22" i="7"/>
  <c r="B20" i="7"/>
  <c r="B19" i="7"/>
  <c r="M29" i="7" l="1"/>
  <c r="M28" i="7"/>
  <c r="M27" i="7"/>
  <c r="M30" i="7"/>
  <c r="M31" i="7" s="1"/>
  <c r="M32" i="7" s="1"/>
  <c r="M33" i="7" s="1"/>
  <c r="C30" i="7"/>
  <c r="C31" i="7" s="1"/>
  <c r="C32" i="7" s="1"/>
  <c r="C33" i="7" s="1"/>
  <c r="C28" i="7"/>
  <c r="C29" i="7"/>
  <c r="C27" i="7"/>
  <c r="B25" i="7"/>
  <c r="B23" i="7"/>
  <c r="B26" i="7"/>
  <c r="B24" i="7"/>
  <c r="B27" i="7" l="1"/>
  <c r="B29" i="7"/>
  <c r="B30" i="7"/>
  <c r="B31" i="7" s="1"/>
  <c r="B32" i="7" s="1"/>
  <c r="B33" i="7" s="1"/>
  <c r="B28" i="7"/>
</calcChain>
</file>

<file path=xl/sharedStrings.xml><?xml version="1.0" encoding="utf-8"?>
<sst xmlns="http://purl.oclc.org/ooxml/spreadsheetml/main" count="399" uniqueCount="187">
  <si>
    <t>MIN</t>
  </si>
  <si>
    <t>NOM</t>
  </si>
  <si>
    <t>MAX</t>
  </si>
  <si>
    <t>AWG</t>
  </si>
  <si>
    <t>Bare Conductor Info</t>
  </si>
  <si>
    <t>SINGLE</t>
  </si>
  <si>
    <t>HEAVY</t>
  </si>
  <si>
    <t>TRIPLE</t>
  </si>
  <si>
    <t>QUAD</t>
  </si>
  <si>
    <t>Max DCR</t>
  </si>
  <si>
    <t>BARE OD</t>
  </si>
  <si>
    <t>CMA Solid</t>
  </si>
  <si>
    <t>Min Litz CMA</t>
  </si>
  <si>
    <t>LBS/MFT</t>
  </si>
  <si>
    <t>Construction Details</t>
  </si>
  <si>
    <t>Litz DC Resistance (IEC Method)</t>
  </si>
  <si>
    <t>Take Up Factors - DCR Resistance:</t>
  </si>
  <si>
    <t>Single Wire Size</t>
  </si>
  <si>
    <t>Packing Factor</t>
  </si>
  <si>
    <t>Take Up Factor</t>
  </si>
  <si>
    <t>Total Wires:</t>
  </si>
  <si>
    <t>Take Up Factor (DCR):</t>
  </si>
  <si>
    <t>Up to 25 Wires:</t>
  </si>
  <si>
    <t>n/##</t>
  </si>
  <si>
    <t>Wire AWG:</t>
  </si>
  <si>
    <t>Wire Max DCR:</t>
  </si>
  <si>
    <t>More than 25 Wires:</t>
  </si>
  <si>
    <t>if 1 operation</t>
  </si>
  <si>
    <t>n/n/## or n/n/n/##</t>
  </si>
  <si>
    <t>Packing Factor (OD):</t>
  </si>
  <si>
    <t>if 2 operations</t>
  </si>
  <si>
    <t>5xn/## or 3xn/##</t>
  </si>
  <si>
    <t>Take Up Factor (WT):</t>
  </si>
  <si>
    <t>if 3+ operations</t>
  </si>
  <si>
    <t>5xn/n/## or 3xn/n/##</t>
  </si>
  <si>
    <t>Total Copper Area (CMA)</t>
  </si>
  <si>
    <t>5x5xn/## or 5x3xn/##</t>
  </si>
  <si>
    <t>43 - 33 AWG</t>
  </si>
  <si>
    <t>32 - 20 AWG</t>
  </si>
  <si>
    <t>5x5xn/n/## or 5x3xn/n/##</t>
  </si>
  <si>
    <t>Min</t>
  </si>
  <si>
    <t>Nom</t>
  </si>
  <si>
    <t>5x5x5xn/## or 5x5x3xn/##</t>
  </si>
  <si>
    <t>Max</t>
  </si>
  <si>
    <t>5x5x5xn/n/## or 5x5x3xn/n/##</t>
  </si>
  <si>
    <t>n = Number of Strands in bunch</t>
  </si>
  <si>
    <t>## = AWG Size of individual strands</t>
  </si>
  <si>
    <t>AWG Reference Chart</t>
  </si>
  <si>
    <t>Solid Conductor</t>
  </si>
  <si>
    <t>Stranded Conductor</t>
  </si>
  <si>
    <t>ASTM Standard B 258-96, Table 1</t>
  </si>
  <si>
    <t>UL Standard For Safety For Appliance Wiring Material, UL 758 Table 5.1</t>
  </si>
  <si>
    <t>Nom CMA</t>
  </si>
  <si>
    <t>Min CMA</t>
  </si>
  <si>
    <t>500 MCM</t>
  </si>
  <si>
    <t>450 MCM</t>
  </si>
  <si>
    <t>400 MCM</t>
  </si>
  <si>
    <t>350 MCM</t>
  </si>
  <si>
    <t>300 MCM</t>
  </si>
  <si>
    <t>250 MCM</t>
  </si>
  <si>
    <t>4/0</t>
  </si>
  <si>
    <t>3/0</t>
  </si>
  <si>
    <t>2/0</t>
  </si>
  <si>
    <t>1/0</t>
  </si>
  <si>
    <t>EQUIVALENT AWG</t>
  </si>
  <si>
    <r>
      <t>Total Copper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</si>
  <si>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Requested</t>
  </si>
  <si>
    <t># of strands</t>
  </si>
  <si>
    <t>Possible</t>
  </si>
  <si>
    <t>Divisible by 5?</t>
  </si>
  <si>
    <t>Divisible by 3?</t>
  </si>
  <si>
    <t>Divisible by 4?</t>
  </si>
  <si>
    <t># of strands in 2nd to last operation</t>
  </si>
  <si>
    <t># of strands in 3rd to last operation</t>
  </si>
  <si>
    <t># of strands in 4th to last operation</t>
  </si>
  <si>
    <t># of strands in 5th to last operation</t>
  </si>
  <si>
    <t>Total # of strands</t>
  </si>
  <si>
    <t># of strands in 1st operation</t>
  </si>
  <si>
    <t>Valid # of strands in 1st operation?</t>
  </si>
  <si>
    <t>Number of operations</t>
  </si>
  <si>
    <t>50 - 20 AWG</t>
  </si>
  <si>
    <t>50 - 33 AWG</t>
  </si>
  <si>
    <t>50 - 44 AWG</t>
  </si>
  <si>
    <t>Default Litz Construction</t>
  </si>
  <si>
    <t>Possible Litz Constructions</t>
  </si>
  <si>
    <t>Number of Operations</t>
  </si>
  <si>
    <t xml:space="preserve">n/n/## </t>
  </si>
  <si>
    <t>Litz Type:</t>
  </si>
  <si>
    <t>Type 1</t>
  </si>
  <si>
    <t>Type 2</t>
  </si>
  <si>
    <t>Number of Operations:</t>
  </si>
  <si>
    <t>n/n/n/##</t>
  </si>
  <si>
    <t>Single Film - Bare Litz</t>
  </si>
  <si>
    <t>Single Film - Single Nylon Serve</t>
  </si>
  <si>
    <t>Heavy Film - Bare Litz</t>
  </si>
  <si>
    <t>Heavy Film - Single Nylon Serve</t>
  </si>
  <si>
    <t>Heavy Film - Double Nylon Serve</t>
  </si>
  <si>
    <t>Triple Film - Bare Litz</t>
  </si>
  <si>
    <t>Triple Film - Single Nylon Serve</t>
  </si>
  <si>
    <t>Triple Film - Double Nylon Serve</t>
  </si>
  <si>
    <t>Quadruple Film - Bare Litz</t>
  </si>
  <si>
    <t>Quad Film - Single Nylon Serve</t>
  </si>
  <si>
    <t>Quad Film - Double Nylon Serve</t>
  </si>
  <si>
    <t>Single Film - Double Nylon Serve</t>
  </si>
  <si>
    <t>Bare and Served Litz Diameters</t>
  </si>
  <si>
    <t>Basic Insulation OD's</t>
  </si>
  <si>
    <t>Supplemental Insulation OD's</t>
  </si>
  <si>
    <t>Reinforced Insulation OD's</t>
  </si>
  <si>
    <t>Insulation Wall/Layer</t>
  </si>
  <si>
    <t>CONSULT FACTORY</t>
  </si>
  <si>
    <t>Insulated Litz Diameters (Single Build Enamel)</t>
  </si>
  <si>
    <t>Single Insulated Wire</t>
  </si>
  <si>
    <t>Double Insulated Wire</t>
  </si>
  <si>
    <t>Triple Insulated Wire</t>
  </si>
  <si>
    <t xml:space="preserve">Insulation Material: </t>
  </si>
  <si>
    <t>ETFE</t>
  </si>
  <si>
    <t>FEP</t>
  </si>
  <si>
    <t>PFA</t>
  </si>
  <si>
    <t xml:space="preserve">Magnet Wire Grade: </t>
  </si>
  <si>
    <t>MW 79-C</t>
  </si>
  <si>
    <t>MW 80-C</t>
  </si>
  <si>
    <t>MW 77-C</t>
  </si>
  <si>
    <t>MW 35-C</t>
  </si>
  <si>
    <t>MW 16-C</t>
  </si>
  <si>
    <t>MW 82-C</t>
  </si>
  <si>
    <t>MW 83-C</t>
  </si>
  <si>
    <t>Other</t>
  </si>
  <si>
    <t>##</t>
  </si>
  <si>
    <t>All values are calculated and subject to verification.</t>
  </si>
  <si>
    <t>Double check that the packing factor used matches up to your desired Litz construction.</t>
  </si>
  <si>
    <t>Inches</t>
  </si>
  <si>
    <t>mm</t>
  </si>
  <si>
    <t>Strand OD's</t>
  </si>
  <si>
    <r>
      <t>Nom mm</t>
    </r>
    <r>
      <rPr>
        <vertAlign val="superscript"/>
        <sz val="11"/>
        <color theme="1"/>
        <rFont val="Calibri"/>
        <family val="2"/>
        <scheme val="minor"/>
      </rPr>
      <t>2</t>
    </r>
  </si>
  <si>
    <t>Nom Dia. (mm)</t>
  </si>
  <si>
    <t>Nom Dia. (in.)</t>
  </si>
  <si>
    <t>CONSULT RUBADUE ENGINEERING/SALES</t>
  </si>
  <si>
    <t>GREEN HIGHLIGHTED ROWS REFLECT PREFERRED STRAND SIZES</t>
  </si>
  <si>
    <t>NOM BARE OD (in.)</t>
  </si>
  <si>
    <t>10 kHz - 20 kHz</t>
  </si>
  <si>
    <t>20 kHz - 50 kHz</t>
  </si>
  <si>
    <t>50 kHz - 100 kHz</t>
  </si>
  <si>
    <t>100 kHz - 200 kHz</t>
  </si>
  <si>
    <t>Typical Operating Frequency</t>
  </si>
  <si>
    <t>200 kHz - 350 kHz</t>
  </si>
  <si>
    <t>350 kHz - 850 kHz</t>
  </si>
  <si>
    <t>850 kHz - 1.4 MHz</t>
  </si>
  <si>
    <t>1.4 MHz - 3.0 MHz</t>
  </si>
  <si>
    <t>60 Hz to 1 kHz</t>
  </si>
  <si>
    <t>1 kHz to 10 kHz</t>
  </si>
  <si>
    <t>Samp 560mm</t>
  </si>
  <si>
    <t>AWG Size</t>
  </si>
  <si>
    <t>Max # of strands (@ 6,000 PSI)</t>
  </si>
  <si>
    <t>N/A</t>
  </si>
  <si>
    <t>Select Type</t>
  </si>
  <si>
    <t>Skin Depth</t>
  </si>
  <si>
    <t>COPPER</t>
  </si>
  <si>
    <t>p - resistivity of conductor</t>
  </si>
  <si>
    <t>ohm*meters</t>
  </si>
  <si>
    <t>f - frequency</t>
  </si>
  <si>
    <t>Hz</t>
  </si>
  <si>
    <t>u0 - permeability of free space</t>
  </si>
  <si>
    <t>H/m</t>
  </si>
  <si>
    <t>meters</t>
  </si>
  <si>
    <t>in</t>
  </si>
  <si>
    <t>2x Skin Depth</t>
  </si>
  <si>
    <t>d strand</t>
  </si>
  <si>
    <t>inches</t>
  </si>
  <si>
    <t>N1 max</t>
  </si>
  <si>
    <t>d strand is the diameter of the bare copper wire.</t>
  </si>
  <si>
    <t xml:space="preserve">N1 max is the recommended maximum number of strands for the first bunching operation to minimize bundle-level skin-effect losses. </t>
  </si>
  <si>
    <t>For additional details, see "Simplified Design Method for Litz Wire" by C. R. Sullivan and R. Y. Zhang.</t>
  </si>
  <si>
    <t xml:space="preserve">Strand AWG </t>
  </si>
  <si>
    <t>Inputs</t>
  </si>
  <si>
    <t>Outputs</t>
  </si>
  <si>
    <t>1.72 x 10^-8</t>
  </si>
  <si>
    <t>2 x 10^-8</t>
  </si>
  <si>
    <t>p (copper at room temperature):</t>
  </si>
  <si>
    <r>
      <t>p (copper at 60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>C):</t>
    </r>
  </si>
  <si>
    <t>millimeters</t>
  </si>
  <si>
    <t>This calculator was built using the method put forth in "Simplified Design Method for Litz Wire" by C. R. Sullivan and R. Y. Zhang.</t>
  </si>
  <si>
    <r>
      <t>Max DCR at 20</t>
    </r>
    <r>
      <rPr>
        <b/>
        <sz val="11"/>
        <color theme="1"/>
        <rFont val="Arial"/>
        <family val="2"/>
      </rPr>
      <t>°</t>
    </r>
    <r>
      <rPr>
        <b/>
        <sz val="11"/>
        <color theme="1"/>
        <rFont val="Calibri"/>
        <family val="2"/>
        <scheme val="minor"/>
      </rPr>
      <t>C (Ω/mtr):</t>
    </r>
  </si>
  <si>
    <r>
      <t>Max DCR at 20°C (</t>
    </r>
    <r>
      <rPr>
        <b/>
        <sz val="11"/>
        <color theme="1"/>
        <rFont val="Calibri"/>
        <family val="2"/>
      </rPr>
      <t>Ω/FT):</t>
    </r>
  </si>
  <si>
    <t>2.633 x 10^-8</t>
  </si>
  <si>
    <r>
      <t>p (copper at 155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>C):</t>
    </r>
  </si>
  <si>
    <r>
      <t>p (copper at 180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scheme val="minor"/>
      </rPr>
      <t>C):</t>
    </r>
  </si>
  <si>
    <t>2.802 x 10^-8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</si>
</sst>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.00000"/>
    <numFmt numFmtId="165" formatCode="0.00000"/>
    <numFmt numFmtId="166" formatCode=".0000##"/>
    <numFmt numFmtId="167" formatCode="0.0"/>
    <numFmt numFmtId="168" formatCode="0.000"/>
    <numFmt numFmtId="169" formatCode="0.0000"/>
    <numFmt numFmtId="170" formatCode=".0"/>
    <numFmt numFmtId="171" formatCode=".00"/>
    <numFmt numFmtId="172" formatCode=".000"/>
    <numFmt numFmtId="173" formatCode="#,##0.0"/>
    <numFmt numFmtId="174" formatCode="0.00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A66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00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thin">
        <color rgb="FF000000"/>
      </start>
      <end style="thin">
        <color rgb="FF000000"/>
      </end>
      <top/>
      <bottom style="medium">
        <color indexed="64"/>
      </bottom>
      <diagonal/>
    </border>
    <border>
      <start style="thin">
        <color rgb="FF000000"/>
      </start>
      <end style="thin">
        <color indexed="64"/>
      </end>
      <top/>
      <bottom style="medium">
        <color indexed="64"/>
      </bottom>
      <diagonal/>
    </border>
    <border>
      <start style="thin">
        <color rgb="FF000000"/>
      </start>
      <end/>
      <top/>
      <bottom style="medium">
        <color indexed="64"/>
      </bottom>
      <diagonal/>
    </border>
    <border>
      <start style="thin">
        <color rgb="FF000000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rgb="FF000000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indexed="64"/>
      </top>
      <bottom style="thin">
        <color rgb="FF000000"/>
      </bottom>
      <diagonal/>
    </border>
    <border>
      <start style="thin">
        <color rgb="FF000000"/>
      </start>
      <end style="thin">
        <color indexed="64"/>
      </end>
      <top style="medium">
        <color indexed="6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medium">
        <color indexed="64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indexed="64"/>
      </end>
      <top style="thin">
        <color rgb="FF000000"/>
      </top>
      <bottom style="thin">
        <color rgb="FF000000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indexed="64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medium">
        <color indexed="64"/>
      </start>
      <end/>
      <top style="thin">
        <color rgb="FF000000"/>
      </top>
      <bottom style="medium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indexed="64"/>
      </bottom>
      <diagonal/>
    </border>
    <border>
      <start style="thin">
        <color rgb="FF000000"/>
      </start>
      <end/>
      <top style="thin">
        <color rgb="FF000000"/>
      </top>
      <bottom style="medium">
        <color indexed="64"/>
      </bottom>
      <diagonal/>
    </border>
    <border>
      <start style="thin">
        <color rgb="FF000000"/>
      </start>
      <end style="medium">
        <color indexed="64"/>
      </end>
      <top style="thin">
        <color rgb="FF000000"/>
      </top>
      <bottom style="medium">
        <color indexed="64"/>
      </bottom>
      <diagonal/>
    </border>
    <border>
      <start style="thin">
        <color indexed="64"/>
      </start>
      <end style="thin">
        <color rgb="FF000000"/>
      </end>
      <top style="thin">
        <color indexed="64"/>
      </top>
      <bottom/>
      <diagonal/>
    </border>
    <border>
      <start style="thin">
        <color rgb="FF000000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thin">
        <color rgb="FF000000"/>
      </top>
      <bottom/>
      <diagonal/>
    </border>
    <border>
      <start style="thin">
        <color rgb="FF000000"/>
      </start>
      <end style="thin">
        <color indexed="64"/>
      </end>
      <top style="thin">
        <color rgb="FF000000"/>
      </top>
      <bottom/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05">
    <xf numFmtId="0" fontId="0" fillId="0" borderId="0" xfId="0"/>
    <xf numFmtId="0" fontId="5" fillId="3" borderId="2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3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5" borderId="24" xfId="1" applyFont="1" applyFill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5" borderId="27" xfId="1" applyFont="1" applyFill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1" fontId="7" fillId="0" borderId="31" xfId="1" applyNumberFormat="1" applyFont="1" applyBorder="1" applyAlignment="1">
      <alignment horizontal="center" vertical="center" wrapText="1"/>
    </xf>
    <xf numFmtId="166" fontId="8" fillId="0" borderId="32" xfId="0" applyNumberFormat="1" applyFont="1" applyBorder="1" applyAlignment="1">
      <alignment horizontal="left" vertical="center" indent="1"/>
    </xf>
    <xf numFmtId="1" fontId="8" fillId="0" borderId="33" xfId="0" applyNumberFormat="1" applyFont="1" applyBorder="1" applyAlignment="1">
      <alignment horizontal="center" vertical="center"/>
    </xf>
    <xf numFmtId="3" fontId="8" fillId="0" borderId="34" xfId="0" applyNumberFormat="1" applyFont="1" applyBorder="1" applyAlignment="1">
      <alignment horizontal="center" vertical="center"/>
    </xf>
    <xf numFmtId="1" fontId="7" fillId="0" borderId="35" xfId="1" applyNumberFormat="1" applyFont="1" applyBorder="1" applyAlignment="1">
      <alignment horizontal="center" vertical="center" wrapText="1"/>
    </xf>
    <xf numFmtId="166" fontId="7" fillId="0" borderId="36" xfId="1" applyNumberFormat="1" applyFont="1" applyBorder="1" applyAlignment="1">
      <alignment horizontal="left" vertical="center" wrapText="1" indent="1"/>
    </xf>
    <xf numFmtId="166" fontId="7" fillId="5" borderId="37" xfId="1" applyNumberFormat="1" applyFont="1" applyFill="1" applyBorder="1" applyAlignment="1">
      <alignment horizontal="left" vertical="center" wrapText="1" indent="1"/>
    </xf>
    <xf numFmtId="166" fontId="7" fillId="0" borderId="37" xfId="1" applyNumberFormat="1" applyFont="1" applyBorder="1" applyAlignment="1">
      <alignment horizontal="left" vertical="center" wrapText="1" indent="1"/>
    </xf>
    <xf numFmtId="2" fontId="7" fillId="0" borderId="38" xfId="1" applyNumberFormat="1" applyFont="1" applyBorder="1" applyAlignment="1">
      <alignment horizontal="center" vertical="center" wrapText="1"/>
    </xf>
    <xf numFmtId="1" fontId="7" fillId="0" borderId="39" xfId="1" applyNumberFormat="1" applyFont="1" applyBorder="1" applyAlignment="1">
      <alignment horizontal="center" vertical="center" wrapText="1"/>
    </xf>
    <xf numFmtId="166" fontId="7" fillId="0" borderId="40" xfId="1" applyNumberFormat="1" applyFont="1" applyBorder="1" applyAlignment="1">
      <alignment horizontal="left" vertical="center" wrapText="1" indent="1"/>
    </xf>
    <xf numFmtId="166" fontId="7" fillId="5" borderId="40" xfId="1" applyNumberFormat="1" applyFont="1" applyFill="1" applyBorder="1" applyAlignment="1">
      <alignment horizontal="left" vertical="center" wrapText="1" indent="1"/>
    </xf>
    <xf numFmtId="166" fontId="7" fillId="0" borderId="41" xfId="1" applyNumberFormat="1" applyFont="1" applyBorder="1" applyAlignment="1">
      <alignment horizontal="left" vertical="center" wrapText="1" indent="1"/>
    </xf>
    <xf numFmtId="2" fontId="7" fillId="0" borderId="31" xfId="1" applyNumberFormat="1" applyFont="1" applyBorder="1" applyAlignment="1">
      <alignment horizontal="center" vertical="center" wrapText="1"/>
    </xf>
    <xf numFmtId="166" fontId="9" fillId="0" borderId="42" xfId="1" applyNumberFormat="1" applyFont="1" applyBorder="1" applyAlignment="1">
      <alignment horizontal="left" vertical="center" wrapText="1" indent="1"/>
    </xf>
    <xf numFmtId="166" fontId="9" fillId="5" borderId="42" xfId="1" applyNumberFormat="1" applyFont="1" applyFill="1" applyBorder="1" applyAlignment="1">
      <alignment horizontal="left" vertical="center" wrapText="1" indent="1"/>
    </xf>
    <xf numFmtId="166" fontId="9" fillId="0" borderId="43" xfId="1" applyNumberFormat="1" applyFont="1" applyBorder="1" applyAlignment="1">
      <alignment horizontal="left" vertical="center" wrapText="1" indent="1"/>
    </xf>
    <xf numFmtId="0" fontId="9" fillId="0" borderId="43" xfId="1" applyFont="1" applyBorder="1" applyAlignment="1">
      <alignment horizontal="center" vertical="center" wrapText="1"/>
    </xf>
    <xf numFmtId="1" fontId="7" fillId="0" borderId="44" xfId="1" applyNumberFormat="1" applyFont="1" applyBorder="1" applyAlignment="1">
      <alignment horizontal="center" vertical="center" wrapText="1"/>
    </xf>
    <xf numFmtId="0" fontId="9" fillId="0" borderId="45" xfId="1" applyFont="1" applyBorder="1" applyAlignment="1">
      <alignment horizontal="center" vertical="center" wrapText="1"/>
    </xf>
    <xf numFmtId="3" fontId="8" fillId="0" borderId="46" xfId="0" applyNumberFormat="1" applyFont="1" applyBorder="1" applyAlignment="1">
      <alignment horizontal="center" vertical="center"/>
    </xf>
    <xf numFmtId="1" fontId="7" fillId="0" borderId="47" xfId="1" applyNumberFormat="1" applyFont="1" applyBorder="1" applyAlignment="1">
      <alignment horizontal="center" vertical="center" wrapText="1"/>
    </xf>
    <xf numFmtId="166" fontId="7" fillId="0" borderId="11" xfId="1" applyNumberFormat="1" applyFont="1" applyBorder="1" applyAlignment="1">
      <alignment horizontal="left" vertical="center" wrapText="1" indent="1"/>
    </xf>
    <xf numFmtId="166" fontId="7" fillId="5" borderId="32" xfId="1" applyNumberFormat="1" applyFont="1" applyFill="1" applyBorder="1" applyAlignment="1">
      <alignment horizontal="left" vertical="center" wrapText="1" indent="1"/>
    </xf>
    <xf numFmtId="166" fontId="7" fillId="0" borderId="32" xfId="1" applyNumberFormat="1" applyFont="1" applyBorder="1" applyAlignment="1">
      <alignment horizontal="left" vertical="center" wrapText="1" indent="1"/>
    </xf>
    <xf numFmtId="2" fontId="7" fillId="0" borderId="12" xfId="1" applyNumberFormat="1" applyFont="1" applyBorder="1" applyAlignment="1">
      <alignment horizontal="center" vertical="center" wrapText="1"/>
    </xf>
    <xf numFmtId="166" fontId="7" fillId="0" borderId="42" xfId="1" applyNumberFormat="1" applyFont="1" applyBorder="1" applyAlignment="1">
      <alignment horizontal="left" vertical="center" wrapText="1" indent="1"/>
    </xf>
    <xf numFmtId="166" fontId="7" fillId="5" borderId="42" xfId="1" applyNumberFormat="1" applyFont="1" applyFill="1" applyBorder="1" applyAlignment="1">
      <alignment horizontal="left" vertical="center" wrapText="1" indent="1"/>
    </xf>
    <xf numFmtId="166" fontId="7" fillId="0" borderId="48" xfId="1" applyNumberFormat="1" applyFont="1" applyBorder="1" applyAlignment="1">
      <alignment horizontal="left" vertical="center" wrapText="1" indent="1"/>
    </xf>
    <xf numFmtId="166" fontId="7" fillId="0" borderId="43" xfId="1" applyNumberFormat="1" applyFont="1" applyBorder="1" applyAlignment="1">
      <alignment horizontal="left" vertical="center" wrapText="1" indent="1"/>
    </xf>
    <xf numFmtId="2" fontId="7" fillId="0" borderId="43" xfId="1" applyNumberFormat="1" applyFont="1" applyBorder="1" applyAlignment="1">
      <alignment horizontal="center" vertical="center" wrapText="1"/>
    </xf>
    <xf numFmtId="167" fontId="7" fillId="0" borderId="45" xfId="1" applyNumberFormat="1" applyFont="1" applyBorder="1" applyAlignment="1">
      <alignment horizontal="center" vertical="center" wrapText="1"/>
    </xf>
    <xf numFmtId="168" fontId="7" fillId="0" borderId="12" xfId="1" applyNumberFormat="1" applyFont="1" applyBorder="1" applyAlignment="1">
      <alignment horizontal="center" vertical="center" wrapText="1"/>
    </xf>
    <xf numFmtId="2" fontId="7" fillId="0" borderId="45" xfId="1" applyNumberFormat="1" applyFont="1" applyBorder="1" applyAlignment="1">
      <alignment horizontal="center" vertical="center" wrapText="1"/>
    </xf>
    <xf numFmtId="168" fontId="7" fillId="0" borderId="31" xfId="1" applyNumberFormat="1" applyFont="1" applyBorder="1" applyAlignment="1">
      <alignment horizontal="center" vertical="center" wrapText="1"/>
    </xf>
    <xf numFmtId="168" fontId="7" fillId="0" borderId="43" xfId="1" applyNumberFormat="1" applyFont="1" applyBorder="1" applyAlignment="1">
      <alignment horizontal="center" vertical="center" wrapText="1"/>
    </xf>
    <xf numFmtId="168" fontId="7" fillId="0" borderId="45" xfId="1" applyNumberFormat="1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169" fontId="7" fillId="0" borderId="12" xfId="1" applyNumberFormat="1" applyFont="1" applyBorder="1" applyAlignment="1">
      <alignment horizontal="center" vertical="center" wrapText="1"/>
    </xf>
    <xf numFmtId="169" fontId="7" fillId="0" borderId="31" xfId="1" applyNumberFormat="1" applyFont="1" applyBorder="1" applyAlignment="1">
      <alignment horizontal="center" vertical="center" wrapText="1"/>
    </xf>
    <xf numFmtId="169" fontId="7" fillId="0" borderId="43" xfId="1" applyNumberFormat="1" applyFont="1" applyBorder="1" applyAlignment="1">
      <alignment horizontal="center" vertical="center" wrapText="1"/>
    </xf>
    <xf numFmtId="169" fontId="7" fillId="0" borderId="45" xfId="1" applyNumberFormat="1" applyFont="1" applyBorder="1" applyAlignment="1">
      <alignment horizontal="center" vertical="center" wrapText="1"/>
    </xf>
    <xf numFmtId="170" fontId="8" fillId="0" borderId="33" xfId="0" applyNumberFormat="1" applyFont="1" applyBorder="1" applyAlignment="1">
      <alignment horizontal="center" vertical="center"/>
    </xf>
    <xf numFmtId="171" fontId="8" fillId="0" borderId="33" xfId="0" applyNumberFormat="1" applyFont="1" applyBorder="1" applyAlignment="1">
      <alignment horizontal="center" vertical="center"/>
    </xf>
    <xf numFmtId="1" fontId="7" fillId="0" borderId="49" xfId="1" applyNumberFormat="1" applyFont="1" applyBorder="1" applyAlignment="1">
      <alignment horizontal="center" vertical="center" wrapText="1"/>
    </xf>
    <xf numFmtId="166" fontId="7" fillId="0" borderId="50" xfId="1" applyNumberFormat="1" applyFont="1" applyBorder="1" applyAlignment="1">
      <alignment horizontal="left" vertical="center" wrapText="1" indent="1"/>
    </xf>
    <xf numFmtId="166" fontId="7" fillId="5" borderId="50" xfId="1" applyNumberFormat="1" applyFont="1" applyFill="1" applyBorder="1" applyAlignment="1">
      <alignment horizontal="left" vertical="center" wrapText="1" indent="1"/>
    </xf>
    <xf numFmtId="166" fontId="7" fillId="0" borderId="51" xfId="1" applyNumberFormat="1" applyFont="1" applyBorder="1" applyAlignment="1">
      <alignment horizontal="left" vertical="center" wrapText="1" indent="1"/>
    </xf>
    <xf numFmtId="169" fontId="7" fillId="0" borderId="51" xfId="1" applyNumberFormat="1" applyFont="1" applyBorder="1" applyAlignment="1">
      <alignment horizontal="center" vertical="center" wrapText="1"/>
    </xf>
    <xf numFmtId="1" fontId="7" fillId="0" borderId="52" xfId="1" applyNumberFormat="1" applyFont="1" applyBorder="1" applyAlignment="1">
      <alignment horizontal="center" vertical="center" wrapText="1"/>
    </xf>
    <xf numFmtId="166" fontId="7" fillId="0" borderId="53" xfId="1" applyNumberFormat="1" applyFont="1" applyBorder="1" applyAlignment="1">
      <alignment horizontal="left" vertical="center" wrapText="1" indent="1"/>
    </xf>
    <xf numFmtId="166" fontId="7" fillId="5" borderId="53" xfId="1" applyNumberFormat="1" applyFont="1" applyFill="1" applyBorder="1" applyAlignment="1">
      <alignment horizontal="left" vertical="center" wrapText="1" indent="1"/>
    </xf>
    <xf numFmtId="166" fontId="7" fillId="0" borderId="54" xfId="1" applyNumberFormat="1" applyFont="1" applyBorder="1" applyAlignment="1">
      <alignment horizontal="left" vertical="center" wrapText="1" indent="1"/>
    </xf>
    <xf numFmtId="169" fontId="7" fillId="0" borderId="55" xfId="1" applyNumberFormat="1" applyFont="1" applyBorder="1" applyAlignment="1">
      <alignment horizontal="center" vertical="center" wrapText="1"/>
    </xf>
    <xf numFmtId="165" fontId="7" fillId="0" borderId="12" xfId="1" applyNumberFormat="1" applyFont="1" applyBorder="1" applyAlignment="1">
      <alignment horizontal="center" vertical="center" wrapText="1"/>
    </xf>
    <xf numFmtId="165" fontId="7" fillId="0" borderId="3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6" fontId="8" fillId="0" borderId="56" xfId="0" applyNumberFormat="1" applyFont="1" applyBorder="1" applyAlignment="1">
      <alignment horizontal="left" vertical="center" indent="1"/>
    </xf>
    <xf numFmtId="172" fontId="8" fillId="0" borderId="57" xfId="0" applyNumberFormat="1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1" fontId="7" fillId="0" borderId="59" xfId="1" applyNumberFormat="1" applyFont="1" applyBorder="1" applyAlignment="1">
      <alignment horizontal="center" vertical="center" wrapText="1"/>
    </xf>
    <xf numFmtId="166" fontId="7" fillId="0" borderId="13" xfId="1" applyNumberFormat="1" applyFont="1" applyBorder="1" applyAlignment="1">
      <alignment horizontal="left" vertical="center" wrapText="1" indent="1"/>
    </xf>
    <xf numFmtId="166" fontId="7" fillId="5" borderId="60" xfId="1" applyNumberFormat="1" applyFont="1" applyFill="1" applyBorder="1" applyAlignment="1">
      <alignment horizontal="left" vertical="center" wrapText="1" indent="1"/>
    </xf>
    <xf numFmtId="166" fontId="7" fillId="0" borderId="60" xfId="1" applyNumberFormat="1" applyFont="1" applyBorder="1" applyAlignment="1">
      <alignment horizontal="left" vertical="center" wrapText="1" indent="1"/>
    </xf>
    <xf numFmtId="165" fontId="7" fillId="0" borderId="14" xfId="1" applyNumberFormat="1" applyFont="1" applyBorder="1" applyAlignment="1">
      <alignment horizontal="center" vertical="center" wrapText="1"/>
    </xf>
    <xf numFmtId="1" fontId="7" fillId="0" borderId="61" xfId="1" applyNumberFormat="1" applyFont="1" applyBorder="1" applyAlignment="1">
      <alignment horizontal="center" vertical="center" wrapText="1"/>
    </xf>
    <xf numFmtId="166" fontId="7" fillId="0" borderId="62" xfId="1" applyNumberFormat="1" applyFont="1" applyBorder="1" applyAlignment="1">
      <alignment horizontal="left" vertical="center" wrapText="1" indent="1"/>
    </xf>
    <xf numFmtId="165" fontId="7" fillId="0" borderId="49" xfId="1" applyNumberFormat="1" applyFont="1" applyBorder="1" applyAlignment="1">
      <alignment horizontal="center" vertical="center" wrapText="1"/>
    </xf>
    <xf numFmtId="0" fontId="1" fillId="0" borderId="0" xfId="0" applyFont="1"/>
    <xf numFmtId="0" fontId="1" fillId="6" borderId="15" xfId="0" applyFont="1" applyFill="1" applyBorder="1" applyAlignment="1">
      <alignment horizontal="left" vertical="center" indent="1"/>
    </xf>
    <xf numFmtId="0" fontId="1" fillId="6" borderId="64" xfId="0" applyFont="1" applyFill="1" applyBorder="1"/>
    <xf numFmtId="0" fontId="1" fillId="6" borderId="16" xfId="0" applyFont="1" applyFill="1" applyBorder="1"/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 indent="1"/>
    </xf>
    <xf numFmtId="0" fontId="1" fillId="6" borderId="0" xfId="0" applyFont="1" applyFill="1"/>
    <xf numFmtId="0" fontId="1" fillId="6" borderId="8" xfId="0" applyFont="1" applyFill="1" applyBorder="1"/>
    <xf numFmtId="0" fontId="12" fillId="0" borderId="72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left" vertical="center" indent="1"/>
    </xf>
    <xf numFmtId="0" fontId="1" fillId="6" borderId="26" xfId="0" applyFont="1" applyFill="1" applyBorder="1"/>
    <xf numFmtId="0" fontId="1" fillId="6" borderId="10" xfId="0" applyFont="1" applyFill="1" applyBorder="1"/>
    <xf numFmtId="0" fontId="12" fillId="0" borderId="6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0" borderId="0" xfId="0" applyFont="1"/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0" fontId="12" fillId="0" borderId="82" xfId="0" applyFont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1" fillId="15" borderId="6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0" fontId="2" fillId="7" borderId="18" xfId="0" applyFont="1" applyFill="1" applyBorder="1" applyAlignment="1">
      <alignment vertical="center"/>
    </xf>
    <xf numFmtId="0" fontId="1" fillId="7" borderId="18" xfId="0" applyFont="1" applyFill="1" applyBorder="1" applyAlignment="1">
      <alignment horizontal="right" vertical="center"/>
    </xf>
    <xf numFmtId="0" fontId="1" fillId="7" borderId="8" xfId="0" applyFont="1" applyFill="1" applyBorder="1" applyAlignment="1">
      <alignment horizontal="right" vertical="center"/>
    </xf>
    <xf numFmtId="0" fontId="1" fillId="7" borderId="20" xfId="0" applyFont="1" applyFill="1" applyBorder="1" applyAlignment="1">
      <alignment horizontal="right" vertical="center"/>
    </xf>
    <xf numFmtId="0" fontId="1" fillId="7" borderId="10" xfId="0" applyFont="1" applyFill="1" applyBorder="1" applyAlignment="1">
      <alignment horizontal="right" vertical="center"/>
    </xf>
    <xf numFmtId="0" fontId="1" fillId="6" borderId="71" xfId="0" applyFont="1" applyFill="1" applyBorder="1" applyAlignment="1">
      <alignment horizontal="center" vertical="center"/>
    </xf>
    <xf numFmtId="2" fontId="1" fillId="6" borderId="9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right" vertical="center"/>
    </xf>
    <xf numFmtId="0" fontId="12" fillId="12" borderId="3" xfId="0" applyFont="1" applyFill="1" applyBorder="1" applyAlignment="1">
      <alignment horizontal="right" vertical="center"/>
    </xf>
    <xf numFmtId="0" fontId="12" fillId="12" borderId="80" xfId="0" applyFont="1" applyFill="1" applyBorder="1" applyAlignment="1">
      <alignment horizontal="right" vertical="center"/>
    </xf>
    <xf numFmtId="2" fontId="8" fillId="0" borderId="32" xfId="0" applyNumberFormat="1" applyFont="1" applyBorder="1" applyAlignment="1">
      <alignment horizontal="right" vertical="center" indent="1"/>
    </xf>
    <xf numFmtId="2" fontId="8" fillId="0" borderId="56" xfId="0" applyNumberFormat="1" applyFont="1" applyBorder="1" applyAlignment="1">
      <alignment horizontal="right" vertical="center" indent="1"/>
    </xf>
    <xf numFmtId="164" fontId="1" fillId="12" borderId="70" xfId="0" applyNumberFormat="1" applyFont="1" applyFill="1" applyBorder="1" applyAlignment="1">
      <alignment horizontal="center" vertical="center"/>
    </xf>
    <xf numFmtId="164" fontId="1" fillId="12" borderId="9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4" borderId="66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/>
    </xf>
    <xf numFmtId="0" fontId="0" fillId="0" borderId="66" xfId="0" applyBorder="1"/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1" xfId="0" applyBorder="1"/>
    <xf numFmtId="0" fontId="0" fillId="0" borderId="9" xfId="0" applyBorder="1"/>
    <xf numFmtId="0" fontId="0" fillId="0" borderId="67" xfId="0" applyBorder="1"/>
    <xf numFmtId="0" fontId="0" fillId="0" borderId="74" xfId="0" applyBorder="1"/>
    <xf numFmtId="0" fontId="23" fillId="0" borderId="70" xfId="0" applyFont="1" applyBorder="1"/>
    <xf numFmtId="0" fontId="0" fillId="0" borderId="11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3" xfId="0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8" xfId="0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right" vertical="center"/>
    </xf>
    <xf numFmtId="0" fontId="13" fillId="6" borderId="22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left" vertical="center"/>
    </xf>
    <xf numFmtId="0" fontId="1" fillId="0" borderId="6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15" borderId="86" xfId="0" applyFont="1" applyFill="1" applyBorder="1" applyAlignment="1">
      <alignment horizontal="right" vertical="center"/>
    </xf>
    <xf numFmtId="0" fontId="11" fillId="15" borderId="87" xfId="0" applyFont="1" applyFill="1" applyBorder="1" applyAlignment="1">
      <alignment horizontal="center" vertical="center"/>
    </xf>
    <xf numFmtId="0" fontId="11" fillId="15" borderId="89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15" borderId="78" xfId="0" applyFont="1" applyFill="1" applyBorder="1" applyAlignment="1">
      <alignment horizontal="center" vertical="center"/>
    </xf>
    <xf numFmtId="0" fontId="11" fillId="15" borderId="79" xfId="0" applyFont="1" applyFill="1" applyBorder="1" applyAlignment="1">
      <alignment vertical="center"/>
    </xf>
    <xf numFmtId="0" fontId="12" fillId="0" borderId="32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2" fillId="0" borderId="87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1" fillId="15" borderId="91" xfId="0" applyFont="1" applyFill="1" applyBorder="1" applyAlignment="1">
      <alignment horizontal="right" vertical="center"/>
    </xf>
    <xf numFmtId="0" fontId="12" fillId="12" borderId="36" xfId="0" applyFont="1" applyFill="1" applyBorder="1" applyAlignment="1">
      <alignment horizontal="right" vertical="center"/>
    </xf>
    <xf numFmtId="0" fontId="12" fillId="12" borderId="11" xfId="0" applyFont="1" applyFill="1" applyBorder="1" applyAlignment="1">
      <alignment horizontal="right" vertical="center"/>
    </xf>
    <xf numFmtId="0" fontId="12" fillId="12" borderId="13" xfId="0" applyFont="1" applyFill="1" applyBorder="1" applyAlignment="1">
      <alignment horizontal="right" vertical="center"/>
    </xf>
    <xf numFmtId="0" fontId="12" fillId="12" borderId="88" xfId="0" applyFont="1" applyFill="1" applyBorder="1" applyAlignment="1">
      <alignment horizontal="right" vertical="center"/>
    </xf>
    <xf numFmtId="0" fontId="0" fillId="0" borderId="66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0" xfId="0" applyFont="1" applyBorder="1" applyAlignment="1">
      <alignment horizontal="center" vertical="center"/>
    </xf>
    <xf numFmtId="0" fontId="2" fillId="17" borderId="37" xfId="0" applyFont="1" applyFill="1" applyBorder="1" applyAlignment="1">
      <alignment horizontal="center"/>
    </xf>
    <xf numFmtId="0" fontId="2" fillId="17" borderId="65" xfId="0" applyFont="1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85" xfId="0" applyFill="1" applyBorder="1" applyAlignment="1">
      <alignment horizontal="center"/>
    </xf>
    <xf numFmtId="0" fontId="23" fillId="17" borderId="32" xfId="0" applyFont="1" applyFill="1" applyBorder="1" applyAlignment="1">
      <alignment horizontal="center"/>
    </xf>
    <xf numFmtId="0" fontId="24" fillId="0" borderId="0" xfId="0" applyFont="1"/>
    <xf numFmtId="0" fontId="13" fillId="6" borderId="21" xfId="0" applyFont="1" applyFill="1" applyBorder="1" applyAlignment="1">
      <alignment horizontal="center" vertical="center"/>
    </xf>
    <xf numFmtId="0" fontId="0" fillId="2" borderId="64" xfId="0" applyFill="1" applyBorder="1"/>
    <xf numFmtId="0" fontId="1" fillId="2" borderId="64" xfId="0" applyFont="1" applyFill="1" applyBorder="1"/>
    <xf numFmtId="168" fontId="2" fillId="13" borderId="34" xfId="0" applyNumberFormat="1" applyFont="1" applyFill="1" applyBorder="1" applyAlignment="1">
      <alignment horizontal="right" indent="1"/>
    </xf>
    <xf numFmtId="168" fontId="1" fillId="2" borderId="0" xfId="0" applyNumberFormat="1" applyFont="1" applyFill="1"/>
    <xf numFmtId="168" fontId="2" fillId="13" borderId="46" xfId="0" applyNumberFormat="1" applyFont="1" applyFill="1" applyBorder="1" applyAlignment="1">
      <alignment horizontal="right" indent="1"/>
    </xf>
    <xf numFmtId="168" fontId="2" fillId="13" borderId="63" xfId="0" applyNumberFormat="1" applyFont="1" applyFill="1" applyBorder="1" applyAlignment="1">
      <alignment horizontal="right" indent="1"/>
    </xf>
    <xf numFmtId="168" fontId="1" fillId="2" borderId="26" xfId="0" applyNumberFormat="1" applyFont="1" applyFill="1" applyBorder="1"/>
    <xf numFmtId="168" fontId="1" fillId="2" borderId="10" xfId="0" applyNumberFormat="1" applyFont="1" applyFill="1" applyBorder="1"/>
    <xf numFmtId="168" fontId="1" fillId="10" borderId="64" xfId="0" applyNumberFormat="1" applyFont="1" applyFill="1" applyBorder="1"/>
    <xf numFmtId="168" fontId="0" fillId="10" borderId="0" xfId="0" applyNumberFormat="1" applyFill="1"/>
    <xf numFmtId="168" fontId="2" fillId="14" borderId="34" xfId="0" applyNumberFormat="1" applyFont="1" applyFill="1" applyBorder="1" applyAlignment="1">
      <alignment horizontal="right" indent="1"/>
    </xf>
    <xf numFmtId="168" fontId="1" fillId="10" borderId="0" xfId="0" applyNumberFormat="1" applyFont="1" applyFill="1"/>
    <xf numFmtId="168" fontId="2" fillId="14" borderId="46" xfId="0" applyNumberFormat="1" applyFont="1" applyFill="1" applyBorder="1" applyAlignment="1">
      <alignment horizontal="right" indent="1"/>
    </xf>
    <xf numFmtId="168" fontId="2" fillId="14" borderId="63" xfId="0" applyNumberFormat="1" applyFont="1" applyFill="1" applyBorder="1" applyAlignment="1">
      <alignment horizontal="right" indent="1"/>
    </xf>
    <xf numFmtId="168" fontId="1" fillId="10" borderId="26" xfId="0" applyNumberFormat="1" applyFont="1" applyFill="1" applyBorder="1"/>
    <xf numFmtId="168" fontId="1" fillId="10" borderId="10" xfId="0" applyNumberFormat="1" applyFont="1" applyFill="1" applyBorder="1"/>
    <xf numFmtId="168" fontId="1" fillId="7" borderId="64" xfId="0" applyNumberFormat="1" applyFont="1" applyFill="1" applyBorder="1"/>
    <xf numFmtId="168" fontId="0" fillId="7" borderId="64" xfId="0" applyNumberFormat="1" applyFill="1" applyBorder="1"/>
    <xf numFmtId="168" fontId="0" fillId="7" borderId="16" xfId="0" applyNumberFormat="1" applyFill="1" applyBorder="1"/>
    <xf numFmtId="168" fontId="1" fillId="7" borderId="0" xfId="0" applyNumberFormat="1" applyFont="1" applyFill="1"/>
    <xf numFmtId="168" fontId="25" fillId="18" borderId="34" xfId="0" applyNumberFormat="1" applyFont="1" applyFill="1" applyBorder="1" applyAlignment="1">
      <alignment horizontal="right" indent="1"/>
    </xf>
    <xf numFmtId="168" fontId="25" fillId="18" borderId="46" xfId="0" applyNumberFormat="1" applyFont="1" applyFill="1" applyBorder="1" applyAlignment="1">
      <alignment horizontal="right" indent="1"/>
    </xf>
    <xf numFmtId="168" fontId="25" fillId="18" borderId="63" xfId="0" applyNumberFormat="1" applyFont="1" applyFill="1" applyBorder="1" applyAlignment="1">
      <alignment horizontal="right" indent="1"/>
    </xf>
    <xf numFmtId="168" fontId="1" fillId="7" borderId="26" xfId="0" applyNumberFormat="1" applyFont="1" applyFill="1" applyBorder="1"/>
    <xf numFmtId="168" fontId="0" fillId="7" borderId="26" xfId="0" applyNumberFormat="1" applyFill="1" applyBorder="1"/>
    <xf numFmtId="168" fontId="0" fillId="7" borderId="10" xfId="0" applyNumberFormat="1" applyFill="1" applyBorder="1"/>
    <xf numFmtId="168" fontId="26" fillId="16" borderId="64" xfId="0" applyNumberFormat="1" applyFont="1" applyFill="1" applyBorder="1" applyAlignment="1">
      <alignment horizontal="right" indent="1"/>
    </xf>
    <xf numFmtId="168" fontId="0" fillId="16" borderId="64" xfId="0" applyNumberFormat="1" applyFill="1" applyBorder="1" applyAlignment="1">
      <alignment horizontal="center" vertical="center"/>
    </xf>
    <xf numFmtId="168" fontId="1" fillId="16" borderId="64" xfId="0" applyNumberFormat="1" applyFont="1" applyFill="1" applyBorder="1"/>
    <xf numFmtId="168" fontId="1" fillId="16" borderId="16" xfId="0" applyNumberFormat="1" applyFont="1" applyFill="1" applyBorder="1"/>
    <xf numFmtId="168" fontId="1" fillId="16" borderId="0" xfId="0" applyNumberFormat="1" applyFont="1" applyFill="1"/>
    <xf numFmtId="168" fontId="25" fillId="19" borderId="34" xfId="0" applyNumberFormat="1" applyFont="1" applyFill="1" applyBorder="1" applyAlignment="1">
      <alignment horizontal="right" indent="1"/>
    </xf>
    <xf numFmtId="168" fontId="25" fillId="19" borderId="46" xfId="0" applyNumberFormat="1" applyFont="1" applyFill="1" applyBorder="1" applyAlignment="1">
      <alignment horizontal="right" indent="1"/>
    </xf>
    <xf numFmtId="168" fontId="25" fillId="19" borderId="63" xfId="0" applyNumberFormat="1" applyFont="1" applyFill="1" applyBorder="1" applyAlignment="1">
      <alignment horizontal="right" indent="1"/>
    </xf>
    <xf numFmtId="168" fontId="1" fillId="16" borderId="26" xfId="0" applyNumberFormat="1" applyFont="1" applyFill="1" applyBorder="1"/>
    <xf numFmtId="168" fontId="0" fillId="2" borderId="0" xfId="0" applyNumberFormat="1" applyFill="1"/>
    <xf numFmtId="168" fontId="1" fillId="2" borderId="20" xfId="0" applyNumberFormat="1" applyFont="1" applyFill="1" applyBorder="1"/>
    <xf numFmtId="168" fontId="2" fillId="14" borderId="15" xfId="0" applyNumberFormat="1" applyFont="1" applyFill="1" applyBorder="1" applyAlignment="1">
      <alignment horizontal="right" indent="1"/>
    </xf>
    <xf numFmtId="168" fontId="2" fillId="14" borderId="20" xfId="0" applyNumberFormat="1" applyFont="1" applyFill="1" applyBorder="1" applyAlignment="1">
      <alignment horizontal="right" indent="1"/>
    </xf>
    <xf numFmtId="168" fontId="1" fillId="10" borderId="20" xfId="0" applyNumberFormat="1" applyFont="1" applyFill="1" applyBorder="1"/>
    <xf numFmtId="168" fontId="1" fillId="7" borderId="15" xfId="0" applyNumberFormat="1" applyFont="1" applyFill="1" applyBorder="1"/>
    <xf numFmtId="168" fontId="0" fillId="7" borderId="0" xfId="0" applyNumberFormat="1" applyFill="1"/>
    <xf numFmtId="168" fontId="25" fillId="18" borderId="15" xfId="0" applyNumberFormat="1" applyFont="1" applyFill="1" applyBorder="1" applyAlignment="1">
      <alignment horizontal="right" indent="1"/>
    </xf>
    <xf numFmtId="168" fontId="25" fillId="18" borderId="20" xfId="0" applyNumberFormat="1" applyFont="1" applyFill="1" applyBorder="1" applyAlignment="1">
      <alignment horizontal="right" indent="1"/>
    </xf>
    <xf numFmtId="168" fontId="1" fillId="7" borderId="20" xfId="0" applyNumberFormat="1" applyFont="1" applyFill="1" applyBorder="1"/>
    <xf numFmtId="168" fontId="1" fillId="16" borderId="15" xfId="0" applyNumberFormat="1" applyFont="1" applyFill="1" applyBorder="1"/>
    <xf numFmtId="168" fontId="0" fillId="16" borderId="0" xfId="0" applyNumberFormat="1" applyFill="1"/>
    <xf numFmtId="168" fontId="25" fillId="19" borderId="15" xfId="0" applyNumberFormat="1" applyFont="1" applyFill="1" applyBorder="1" applyAlignment="1">
      <alignment horizontal="right" indent="1"/>
    </xf>
    <xf numFmtId="168" fontId="25" fillId="19" borderId="20" xfId="0" applyNumberFormat="1" applyFont="1" applyFill="1" applyBorder="1" applyAlignment="1">
      <alignment horizontal="right" indent="1"/>
    </xf>
    <xf numFmtId="168" fontId="1" fillId="7" borderId="10" xfId="0" applyNumberFormat="1" applyFont="1" applyFill="1" applyBorder="1"/>
    <xf numFmtId="169" fontId="1" fillId="2" borderId="26" xfId="0" applyNumberFormat="1" applyFont="1" applyFill="1" applyBorder="1"/>
    <xf numFmtId="169" fontId="1" fillId="10" borderId="64" xfId="0" applyNumberFormat="1" applyFont="1" applyFill="1" applyBorder="1"/>
    <xf numFmtId="169" fontId="1" fillId="10" borderId="26" xfId="0" applyNumberFormat="1" applyFont="1" applyFill="1" applyBorder="1"/>
    <xf numFmtId="169" fontId="1" fillId="7" borderId="64" xfId="0" applyNumberFormat="1" applyFont="1" applyFill="1" applyBorder="1"/>
    <xf numFmtId="169" fontId="1" fillId="7" borderId="26" xfId="0" applyNumberFormat="1" applyFont="1" applyFill="1" applyBorder="1"/>
    <xf numFmtId="169" fontId="1" fillId="16" borderId="64" xfId="0" applyNumberFormat="1" applyFont="1" applyFill="1" applyBorder="1"/>
    <xf numFmtId="169" fontId="1" fillId="2" borderId="10" xfId="0" applyNumberFormat="1" applyFont="1" applyFill="1" applyBorder="1"/>
    <xf numFmtId="169" fontId="1" fillId="10" borderId="16" xfId="0" applyNumberFormat="1" applyFont="1" applyFill="1" applyBorder="1"/>
    <xf numFmtId="169" fontId="1" fillId="10" borderId="10" xfId="0" applyNumberFormat="1" applyFont="1" applyFill="1" applyBorder="1"/>
    <xf numFmtId="169" fontId="1" fillId="7" borderId="16" xfId="0" applyNumberFormat="1" applyFont="1" applyFill="1" applyBorder="1"/>
    <xf numFmtId="169" fontId="1" fillId="2" borderId="6" xfId="0" applyNumberFormat="1" applyFont="1" applyFill="1" applyBorder="1"/>
    <xf numFmtId="168" fontId="2" fillId="7" borderId="15" xfId="0" applyNumberFormat="1" applyFont="1" applyFill="1" applyBorder="1"/>
    <xf numFmtId="168" fontId="2" fillId="10" borderId="15" xfId="0" applyNumberFormat="1" applyFont="1" applyFill="1" applyBorder="1"/>
    <xf numFmtId="168" fontId="2" fillId="7" borderId="20" xfId="0" applyNumberFormat="1" applyFont="1" applyFill="1" applyBorder="1"/>
    <xf numFmtId="168" fontId="2" fillId="10" borderId="20" xfId="0" applyNumberFormat="1" applyFont="1" applyFill="1" applyBorder="1"/>
    <xf numFmtId="168" fontId="2" fillId="2" borderId="20" xfId="0" applyNumberFormat="1" applyFont="1" applyFill="1" applyBorder="1"/>
    <xf numFmtId="168" fontId="1" fillId="0" borderId="0" xfId="0" applyNumberFormat="1" applyFont="1"/>
    <xf numFmtId="169" fontId="1" fillId="0" borderId="0" xfId="0" applyNumberFormat="1" applyFont="1"/>
    <xf numFmtId="0" fontId="24" fillId="0" borderId="0" xfId="0" quotePrefix="1" applyFont="1"/>
    <xf numFmtId="0" fontId="27" fillId="0" borderId="0" xfId="0" applyFont="1"/>
    <xf numFmtId="0" fontId="2" fillId="4" borderId="89" xfId="0" applyFont="1" applyFill="1" applyBorder="1" applyAlignment="1">
      <alignment horizontal="center"/>
    </xf>
    <xf numFmtId="0" fontId="23" fillId="3" borderId="86" xfId="0" applyFont="1" applyFill="1" applyBorder="1"/>
    <xf numFmtId="0" fontId="23" fillId="3" borderId="87" xfId="0" applyFont="1" applyFill="1" applyBorder="1" applyAlignment="1">
      <alignment horizontal="right"/>
    </xf>
    <xf numFmtId="0" fontId="28" fillId="0" borderId="0" xfId="0" applyFont="1"/>
    <xf numFmtId="168" fontId="1" fillId="16" borderId="21" xfId="0" applyNumberFormat="1" applyFont="1" applyFill="1" applyBorder="1"/>
    <xf numFmtId="168" fontId="1" fillId="16" borderId="22" xfId="0" applyNumberFormat="1" applyFont="1" applyFill="1" applyBorder="1"/>
    <xf numFmtId="168" fontId="1" fillId="10" borderId="18" xfId="0" applyNumberFormat="1" applyFont="1" applyFill="1" applyBorder="1"/>
    <xf numFmtId="169" fontId="1" fillId="10" borderId="0" xfId="0" applyNumberFormat="1" applyFont="1" applyFill="1"/>
    <xf numFmtId="168" fontId="1" fillId="10" borderId="8" xfId="0" applyNumberFormat="1" applyFont="1" applyFill="1" applyBorder="1"/>
    <xf numFmtId="0" fontId="29" fillId="0" borderId="0" xfId="0" applyFont="1"/>
    <xf numFmtId="168" fontId="2" fillId="0" borderId="0" xfId="0" applyNumberFormat="1" applyFont="1"/>
    <xf numFmtId="0" fontId="2" fillId="22" borderId="89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168" fontId="1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left" vertical="center" indent="1"/>
    </xf>
    <xf numFmtId="168" fontId="0" fillId="0" borderId="0" xfId="0" applyNumberFormat="1"/>
    <xf numFmtId="168" fontId="25" fillId="0" borderId="0" xfId="0" applyNumberFormat="1" applyFont="1" applyAlignment="1">
      <alignment horizontal="left" vertical="center" indent="1"/>
    </xf>
    <xf numFmtId="169" fontId="1" fillId="15" borderId="3" xfId="0" applyNumberFormat="1" applyFont="1" applyFill="1" applyBorder="1" applyAlignment="1">
      <alignment horizontal="center" vertical="center"/>
    </xf>
    <xf numFmtId="169" fontId="1" fillId="9" borderId="3" xfId="0" applyNumberFormat="1" applyFont="1" applyFill="1" applyBorder="1" applyAlignment="1">
      <alignment horizontal="center" vertical="center"/>
    </xf>
    <xf numFmtId="169" fontId="25" fillId="18" borderId="86" xfId="0" applyNumberFormat="1" applyFont="1" applyFill="1" applyBorder="1" applyAlignment="1">
      <alignment horizontal="center" vertical="center"/>
    </xf>
    <xf numFmtId="169" fontId="2" fillId="14" borderId="86" xfId="0" applyNumberFormat="1" applyFont="1" applyFill="1" applyBorder="1" applyAlignment="1">
      <alignment horizontal="center" vertical="center"/>
    </xf>
    <xf numFmtId="168" fontId="2" fillId="14" borderId="6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168" fontId="25" fillId="18" borderId="6" xfId="0" applyNumberFormat="1" applyFont="1" applyFill="1" applyBorder="1" applyAlignment="1">
      <alignment horizontal="center" vertical="center"/>
    </xf>
    <xf numFmtId="168" fontId="25" fillId="19" borderId="6" xfId="0" applyNumberFormat="1" applyFont="1" applyFill="1" applyBorder="1" applyAlignment="1">
      <alignment horizontal="center" vertical="center"/>
    </xf>
    <xf numFmtId="0" fontId="2" fillId="13" borderId="86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2" fillId="7" borderId="15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3" fillId="21" borderId="75" xfId="0" applyFont="1" applyFill="1" applyBorder="1"/>
    <xf numFmtId="0" fontId="23" fillId="21" borderId="78" xfId="0" applyFont="1" applyFill="1" applyBorder="1" applyAlignment="1">
      <alignment horizontal="right"/>
    </xf>
    <xf numFmtId="0" fontId="2" fillId="4" borderId="79" xfId="0" applyFont="1" applyFill="1" applyBorder="1" applyAlignment="1">
      <alignment horizontal="center"/>
    </xf>
    <xf numFmtId="168" fontId="2" fillId="2" borderId="21" xfId="0" applyNumberFormat="1" applyFont="1" applyFill="1" applyBorder="1"/>
    <xf numFmtId="168" fontId="1" fillId="2" borderId="22" xfId="0" applyNumberFormat="1" applyFont="1" applyFill="1" applyBorder="1"/>
    <xf numFmtId="169" fontId="1" fillId="2" borderId="22" xfId="0" applyNumberFormat="1" applyFont="1" applyFill="1" applyBorder="1"/>
    <xf numFmtId="168" fontId="25" fillId="18" borderId="15" xfId="0" applyNumberFormat="1" applyFont="1" applyFill="1" applyBorder="1" applyAlignment="1">
      <alignment horizontal="center" vertical="center"/>
    </xf>
    <xf numFmtId="169" fontId="25" fillId="18" borderId="16" xfId="0" applyNumberFormat="1" applyFont="1" applyFill="1" applyBorder="1" applyAlignment="1">
      <alignment horizontal="center" vertical="center"/>
    </xf>
    <xf numFmtId="169" fontId="2" fillId="14" borderId="16" xfId="0" applyNumberFormat="1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168" fontId="14" fillId="14" borderId="6" xfId="0" applyNumberFormat="1" applyFont="1" applyFill="1" applyBorder="1" applyAlignment="1">
      <alignment horizontal="center" vertical="center"/>
    </xf>
    <xf numFmtId="168" fontId="14" fillId="14" borderId="5" xfId="0" applyNumberFormat="1" applyFont="1" applyFill="1" applyBorder="1" applyAlignment="1">
      <alignment vertical="center"/>
    </xf>
    <xf numFmtId="168" fontId="2" fillId="14" borderId="67" xfId="0" applyNumberFormat="1" applyFont="1" applyFill="1" applyBorder="1" applyAlignment="1">
      <alignment horizontal="right" indent="1"/>
    </xf>
    <xf numFmtId="168" fontId="2" fillId="14" borderId="70" xfId="0" applyNumberFormat="1" applyFont="1" applyFill="1" applyBorder="1" applyAlignment="1">
      <alignment horizontal="right" indent="1"/>
    </xf>
    <xf numFmtId="168" fontId="2" fillId="14" borderId="9" xfId="0" applyNumberFormat="1" applyFont="1" applyFill="1" applyBorder="1" applyAlignment="1">
      <alignment horizontal="right" indent="1"/>
    </xf>
    <xf numFmtId="168" fontId="2" fillId="9" borderId="17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 vertical="center"/>
    </xf>
    <xf numFmtId="168" fontId="2" fillId="8" borderId="17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8" fontId="25" fillId="19" borderId="15" xfId="0" applyNumberFormat="1" applyFont="1" applyFill="1" applyBorder="1" applyAlignment="1">
      <alignment horizontal="center" vertical="center"/>
    </xf>
    <xf numFmtId="168" fontId="25" fillId="19" borderId="15" xfId="0" applyNumberFormat="1" applyFont="1" applyFill="1" applyBorder="1" applyAlignment="1">
      <alignment horizontal="left" vertical="center" indent="1"/>
    </xf>
    <xf numFmtId="168" fontId="25" fillId="18" borderId="15" xfId="0" applyNumberFormat="1" applyFont="1" applyFill="1" applyBorder="1" applyAlignment="1">
      <alignment horizontal="left" vertical="center" indent="1"/>
    </xf>
    <xf numFmtId="168" fontId="2" fillId="14" borderId="15" xfId="0" applyNumberFormat="1" applyFont="1" applyFill="1" applyBorder="1" applyAlignment="1">
      <alignment horizontal="center" vertical="center"/>
    </xf>
    <xf numFmtId="168" fontId="2" fillId="14" borderId="15" xfId="0" applyNumberFormat="1" applyFont="1" applyFill="1" applyBorder="1" applyAlignment="1">
      <alignment horizontal="left" vertical="center" indent="1"/>
    </xf>
    <xf numFmtId="0" fontId="0" fillId="2" borderId="0" xfId="0" applyFill="1"/>
    <xf numFmtId="0" fontId="2" fillId="13" borderId="15" xfId="0" applyFont="1" applyFill="1" applyBorder="1" applyAlignment="1">
      <alignment horizontal="left" vertical="center" indent="1"/>
    </xf>
    <xf numFmtId="0" fontId="1" fillId="2" borderId="0" xfId="0" applyFont="1" applyFill="1"/>
    <xf numFmtId="0" fontId="2" fillId="13" borderId="18" xfId="0" applyFont="1" applyFill="1" applyBorder="1" applyAlignment="1">
      <alignment horizontal="center" vertical="center"/>
    </xf>
    <xf numFmtId="168" fontId="1" fillId="8" borderId="1" xfId="0" applyNumberFormat="1" applyFont="1" applyFill="1" applyBorder="1" applyAlignment="1">
      <alignment horizontal="center"/>
    </xf>
    <xf numFmtId="168" fontId="1" fillId="8" borderId="3" xfId="0" applyNumberFormat="1" applyFont="1" applyFill="1" applyBorder="1" applyAlignment="1">
      <alignment horizontal="center"/>
    </xf>
    <xf numFmtId="168" fontId="1" fillId="9" borderId="1" xfId="0" applyNumberFormat="1" applyFont="1" applyFill="1" applyBorder="1" applyAlignment="1">
      <alignment horizontal="center"/>
    </xf>
    <xf numFmtId="168" fontId="1" fillId="9" borderId="3" xfId="0" applyNumberFormat="1" applyFont="1" applyFill="1" applyBorder="1" applyAlignment="1">
      <alignment horizontal="center"/>
    </xf>
    <xf numFmtId="168" fontId="1" fillId="15" borderId="1" xfId="0" applyNumberFormat="1" applyFont="1" applyFill="1" applyBorder="1" applyAlignment="1">
      <alignment horizontal="center"/>
    </xf>
    <xf numFmtId="168" fontId="2" fillId="15" borderId="17" xfId="0" applyNumberFormat="1" applyFont="1" applyFill="1" applyBorder="1" applyAlignment="1">
      <alignment horizontal="center"/>
    </xf>
    <xf numFmtId="168" fontId="1" fillId="15" borderId="3" xfId="0" applyNumberFormat="1" applyFont="1" applyFill="1" applyBorder="1" applyAlignment="1">
      <alignment horizontal="center"/>
    </xf>
    <xf numFmtId="168" fontId="1" fillId="20" borderId="1" xfId="0" applyNumberFormat="1" applyFont="1" applyFill="1" applyBorder="1" applyAlignment="1">
      <alignment horizontal="center"/>
    </xf>
    <xf numFmtId="168" fontId="2" fillId="20" borderId="17" xfId="0" applyNumberFormat="1" applyFont="1" applyFill="1" applyBorder="1" applyAlignment="1">
      <alignment horizontal="center"/>
    </xf>
    <xf numFmtId="168" fontId="1" fillId="20" borderId="3" xfId="0" applyNumberFormat="1" applyFont="1" applyFill="1" applyBorder="1" applyAlignment="1">
      <alignment horizontal="center"/>
    </xf>
    <xf numFmtId="168" fontId="25" fillId="19" borderId="16" xfId="0" applyNumberFormat="1" applyFont="1" applyFill="1" applyBorder="1" applyAlignment="1">
      <alignment horizontal="center" vertical="center"/>
    </xf>
    <xf numFmtId="168" fontId="1" fillId="16" borderId="10" xfId="0" applyNumberFormat="1" applyFont="1" applyFill="1" applyBorder="1"/>
    <xf numFmtId="168" fontId="1" fillId="16" borderId="2" xfId="0" applyNumberFormat="1" applyFont="1" applyFill="1" applyBorder="1" applyAlignment="1">
      <alignment horizontal="center" vertical="center"/>
    </xf>
    <xf numFmtId="168" fontId="1" fillId="16" borderId="19" xfId="0" applyNumberFormat="1" applyFont="1" applyFill="1" applyBorder="1" applyAlignment="1">
      <alignment horizontal="center" vertical="center"/>
    </xf>
    <xf numFmtId="168" fontId="1" fillId="16" borderId="4" xfId="0" applyNumberFormat="1" applyFont="1" applyFill="1" applyBorder="1" applyAlignment="1">
      <alignment horizontal="center" vertical="center"/>
    </xf>
    <xf numFmtId="168" fontId="1" fillId="7" borderId="2" xfId="0" applyNumberFormat="1" applyFont="1" applyFill="1" applyBorder="1" applyAlignment="1">
      <alignment horizontal="center" vertical="center"/>
    </xf>
    <xf numFmtId="168" fontId="1" fillId="7" borderId="19" xfId="0" applyNumberFormat="1" applyFont="1" applyFill="1" applyBorder="1" applyAlignment="1">
      <alignment horizontal="center" vertical="center"/>
    </xf>
    <xf numFmtId="168" fontId="1" fillId="7" borderId="4" xfId="0" applyNumberFormat="1" applyFont="1" applyFill="1" applyBorder="1" applyAlignment="1">
      <alignment horizontal="center" vertical="center"/>
    </xf>
    <xf numFmtId="168" fontId="1" fillId="10" borderId="2" xfId="0" applyNumberFormat="1" applyFont="1" applyFill="1" applyBorder="1" applyAlignment="1">
      <alignment horizontal="center" vertical="center"/>
    </xf>
    <xf numFmtId="168" fontId="1" fillId="10" borderId="19" xfId="0" applyNumberFormat="1" applyFont="1" applyFill="1" applyBorder="1" applyAlignment="1">
      <alignment horizontal="center" vertical="center"/>
    </xf>
    <xf numFmtId="168" fontId="1" fillId="10" borderId="4" xfId="0" applyNumberFormat="1" applyFont="1" applyFill="1" applyBorder="1" applyAlignment="1">
      <alignment horizontal="center" vertical="center"/>
    </xf>
    <xf numFmtId="168" fontId="1" fillId="2" borderId="2" xfId="0" applyNumberFormat="1" applyFont="1" applyFill="1" applyBorder="1" applyAlignment="1">
      <alignment horizontal="center" vertical="center"/>
    </xf>
    <xf numFmtId="168" fontId="1" fillId="2" borderId="19" xfId="0" applyNumberFormat="1" applyFont="1" applyFill="1" applyBorder="1" applyAlignment="1">
      <alignment horizontal="center" vertical="center"/>
    </xf>
    <xf numFmtId="168" fontId="1" fillId="2" borderId="4" xfId="0" applyNumberFormat="1" applyFont="1" applyFill="1" applyBorder="1" applyAlignment="1">
      <alignment horizontal="center" vertical="center"/>
    </xf>
    <xf numFmtId="169" fontId="1" fillId="8" borderId="1" xfId="0" applyNumberFormat="1" applyFont="1" applyFill="1" applyBorder="1" applyAlignment="1">
      <alignment horizontal="center" vertical="center"/>
    </xf>
    <xf numFmtId="169" fontId="1" fillId="8" borderId="17" xfId="0" applyNumberFormat="1" applyFont="1" applyFill="1" applyBorder="1" applyAlignment="1">
      <alignment horizontal="center" vertical="center"/>
    </xf>
    <xf numFmtId="169" fontId="1" fillId="8" borderId="3" xfId="0" applyNumberFormat="1" applyFont="1" applyFill="1" applyBorder="1" applyAlignment="1">
      <alignment horizontal="center" vertical="center"/>
    </xf>
    <xf numFmtId="169" fontId="1" fillId="9" borderId="1" xfId="0" applyNumberFormat="1" applyFont="1" applyFill="1" applyBorder="1" applyAlignment="1">
      <alignment horizontal="center" vertical="center"/>
    </xf>
    <xf numFmtId="169" fontId="1" fillId="9" borderId="17" xfId="0" applyNumberFormat="1" applyFont="1" applyFill="1" applyBorder="1" applyAlignment="1">
      <alignment horizontal="center" vertical="center"/>
    </xf>
    <xf numFmtId="169" fontId="1" fillId="15" borderId="1" xfId="0" applyNumberFormat="1" applyFont="1" applyFill="1" applyBorder="1" applyAlignment="1">
      <alignment horizontal="center" vertical="center"/>
    </xf>
    <xf numFmtId="169" fontId="1" fillId="15" borderId="17" xfId="0" applyNumberFormat="1" applyFont="1" applyFill="1" applyBorder="1" applyAlignment="1">
      <alignment horizontal="center" vertical="center"/>
    </xf>
    <xf numFmtId="169" fontId="1" fillId="20" borderId="1" xfId="0" applyNumberFormat="1" applyFont="1" applyFill="1" applyBorder="1" applyAlignment="1">
      <alignment horizontal="center" vertical="center"/>
    </xf>
    <xf numFmtId="169" fontId="1" fillId="20" borderId="17" xfId="0" applyNumberFormat="1" applyFont="1" applyFill="1" applyBorder="1" applyAlignment="1">
      <alignment horizontal="center" vertical="center"/>
    </xf>
    <xf numFmtId="169" fontId="1" fillId="20" borderId="3" xfId="0" applyNumberFormat="1" applyFont="1" applyFill="1" applyBorder="1" applyAlignment="1">
      <alignment horizontal="center" vertical="center"/>
    </xf>
    <xf numFmtId="169" fontId="25" fillId="19" borderId="16" xfId="0" applyNumberFormat="1" applyFont="1" applyFill="1" applyBorder="1" applyAlignment="1">
      <alignment horizontal="center" vertical="center"/>
    </xf>
    <xf numFmtId="169" fontId="25" fillId="19" borderId="86" xfId="0" applyNumberFormat="1" applyFont="1" applyFill="1" applyBorder="1" applyAlignment="1">
      <alignment horizontal="center" vertical="center"/>
    </xf>
    <xf numFmtId="168" fontId="2" fillId="14" borderId="86" xfId="0" applyNumberFormat="1" applyFont="1" applyFill="1" applyBorder="1" applyAlignment="1">
      <alignment horizontal="center" vertical="center"/>
    </xf>
    <xf numFmtId="168" fontId="25" fillId="18" borderId="86" xfId="0" applyNumberFormat="1" applyFont="1" applyFill="1" applyBorder="1" applyAlignment="1">
      <alignment horizontal="center" vertical="center"/>
    </xf>
    <xf numFmtId="168" fontId="25" fillId="19" borderId="86" xfId="0" applyNumberFormat="1" applyFont="1" applyFill="1" applyBorder="1" applyAlignment="1">
      <alignment horizontal="center" vertical="center"/>
    </xf>
    <xf numFmtId="0" fontId="2" fillId="13" borderId="88" xfId="0" applyFont="1" applyFill="1" applyBorder="1" applyAlignment="1">
      <alignment horizontal="center" vertical="center"/>
    </xf>
    <xf numFmtId="168" fontId="2" fillId="14" borderId="66" xfId="0" applyNumberFormat="1" applyFont="1" applyFill="1" applyBorder="1" applyAlignment="1">
      <alignment horizontal="right" indent="1"/>
    </xf>
    <xf numFmtId="168" fontId="2" fillId="14" borderId="74" xfId="0" applyNumberFormat="1" applyFont="1" applyFill="1" applyBorder="1" applyAlignment="1">
      <alignment horizontal="right" indent="1"/>
    </xf>
    <xf numFmtId="168" fontId="25" fillId="18" borderId="66" xfId="0" applyNumberFormat="1" applyFont="1" applyFill="1" applyBorder="1" applyAlignment="1">
      <alignment horizontal="right" indent="1"/>
    </xf>
    <xf numFmtId="168" fontId="25" fillId="18" borderId="70" xfId="0" applyNumberFormat="1" applyFont="1" applyFill="1" applyBorder="1" applyAlignment="1">
      <alignment horizontal="right" indent="1"/>
    </xf>
    <xf numFmtId="168" fontId="25" fillId="18" borderId="74" xfId="0" applyNumberFormat="1" applyFont="1" applyFill="1" applyBorder="1" applyAlignment="1">
      <alignment horizontal="right" indent="1"/>
    </xf>
    <xf numFmtId="168" fontId="25" fillId="19" borderId="66" xfId="0" applyNumberFormat="1" applyFont="1" applyFill="1" applyBorder="1" applyAlignment="1">
      <alignment horizontal="right" indent="1"/>
    </xf>
    <xf numFmtId="168" fontId="25" fillId="19" borderId="70" xfId="0" applyNumberFormat="1" applyFont="1" applyFill="1" applyBorder="1" applyAlignment="1">
      <alignment horizontal="right" indent="1"/>
    </xf>
    <xf numFmtId="168" fontId="25" fillId="19" borderId="74" xfId="0" applyNumberFormat="1" applyFont="1" applyFill="1" applyBorder="1" applyAlignment="1">
      <alignment horizontal="right" indent="1"/>
    </xf>
    <xf numFmtId="168" fontId="1" fillId="8" borderId="2" xfId="0" applyNumberFormat="1" applyFont="1" applyFill="1" applyBorder="1" applyAlignment="1">
      <alignment horizontal="center" vertical="center"/>
    </xf>
    <xf numFmtId="168" fontId="2" fillId="8" borderId="19" xfId="0" applyNumberFormat="1" applyFont="1" applyFill="1" applyBorder="1" applyAlignment="1">
      <alignment horizontal="center" vertical="center"/>
    </xf>
    <xf numFmtId="168" fontId="1" fillId="8" borderId="4" xfId="0" applyNumberFormat="1" applyFont="1" applyFill="1" applyBorder="1" applyAlignment="1">
      <alignment horizontal="center" vertical="center"/>
    </xf>
    <xf numFmtId="168" fontId="1" fillId="9" borderId="2" xfId="0" applyNumberFormat="1" applyFont="1" applyFill="1" applyBorder="1" applyAlignment="1">
      <alignment horizontal="center" vertical="center"/>
    </xf>
    <xf numFmtId="168" fontId="1" fillId="9" borderId="19" xfId="0" applyNumberFormat="1" applyFont="1" applyFill="1" applyBorder="1" applyAlignment="1">
      <alignment horizontal="center" vertical="center"/>
    </xf>
    <xf numFmtId="168" fontId="1" fillId="9" borderId="4" xfId="0" applyNumberFormat="1" applyFont="1" applyFill="1" applyBorder="1" applyAlignment="1">
      <alignment horizontal="center" vertical="center"/>
    </xf>
    <xf numFmtId="168" fontId="1" fillId="15" borderId="2" xfId="0" applyNumberFormat="1" applyFont="1" applyFill="1" applyBorder="1" applyAlignment="1">
      <alignment horizontal="center" vertical="center"/>
    </xf>
    <xf numFmtId="168" fontId="2" fillId="15" borderId="19" xfId="0" applyNumberFormat="1" applyFont="1" applyFill="1" applyBorder="1" applyAlignment="1">
      <alignment horizontal="center" vertical="center"/>
    </xf>
    <xf numFmtId="168" fontId="1" fillId="15" borderId="4" xfId="0" applyNumberFormat="1" applyFont="1" applyFill="1" applyBorder="1" applyAlignment="1">
      <alignment horizontal="center" vertical="center"/>
    </xf>
    <xf numFmtId="168" fontId="14" fillId="14" borderId="86" xfId="0" applyNumberFormat="1" applyFont="1" applyFill="1" applyBorder="1" applyAlignment="1">
      <alignment horizontal="center" vertical="center"/>
    </xf>
    <xf numFmtId="168" fontId="1" fillId="8" borderId="19" xfId="0" applyNumberFormat="1" applyFont="1" applyFill="1" applyBorder="1" applyAlignment="1">
      <alignment horizontal="center" vertical="center"/>
    </xf>
    <xf numFmtId="168" fontId="1" fillId="15" borderId="19" xfId="0" applyNumberFormat="1" applyFont="1" applyFill="1" applyBorder="1" applyAlignment="1">
      <alignment horizontal="center" vertical="center"/>
    </xf>
    <xf numFmtId="168" fontId="1" fillId="20" borderId="2" xfId="0" applyNumberFormat="1" applyFont="1" applyFill="1" applyBorder="1" applyAlignment="1">
      <alignment horizontal="center" vertical="center"/>
    </xf>
    <xf numFmtId="168" fontId="1" fillId="20" borderId="19" xfId="0" applyNumberFormat="1" applyFont="1" applyFill="1" applyBorder="1" applyAlignment="1">
      <alignment horizontal="center" vertical="center"/>
    </xf>
    <xf numFmtId="168" fontId="1" fillId="20" borderId="4" xfId="0" applyNumberFormat="1" applyFont="1" applyFill="1" applyBorder="1" applyAlignment="1">
      <alignment horizontal="center" vertical="center"/>
    </xf>
    <xf numFmtId="168" fontId="1" fillId="8" borderId="38" xfId="0" applyNumberFormat="1" applyFont="1" applyFill="1" applyBorder="1" applyAlignment="1">
      <alignment horizontal="center" vertical="center"/>
    </xf>
    <xf numFmtId="168" fontId="1" fillId="8" borderId="12" xfId="0" applyNumberFormat="1" applyFont="1" applyFill="1" applyBorder="1" applyAlignment="1">
      <alignment horizontal="center" vertical="center"/>
    </xf>
    <xf numFmtId="168" fontId="1" fillId="8" borderId="93" xfId="0" applyNumberFormat="1" applyFont="1" applyFill="1" applyBorder="1" applyAlignment="1">
      <alignment horizontal="center" vertical="center"/>
    </xf>
    <xf numFmtId="168" fontId="1" fillId="9" borderId="38" xfId="0" applyNumberFormat="1" applyFont="1" applyFill="1" applyBorder="1" applyAlignment="1">
      <alignment horizontal="center" vertical="center"/>
    </xf>
    <xf numFmtId="168" fontId="1" fillId="9" borderId="12" xfId="0" applyNumberFormat="1" applyFont="1" applyFill="1" applyBorder="1" applyAlignment="1">
      <alignment horizontal="center" vertical="center"/>
    </xf>
    <xf numFmtId="168" fontId="1" fillId="9" borderId="93" xfId="0" applyNumberFormat="1" applyFont="1" applyFill="1" applyBorder="1" applyAlignment="1">
      <alignment horizontal="center" vertical="center"/>
    </xf>
    <xf numFmtId="168" fontId="1" fillId="15" borderId="38" xfId="0" applyNumberFormat="1" applyFont="1" applyFill="1" applyBorder="1" applyAlignment="1">
      <alignment horizontal="center" vertical="center"/>
    </xf>
    <xf numFmtId="168" fontId="1" fillId="15" borderId="12" xfId="0" applyNumberFormat="1" applyFont="1" applyFill="1" applyBorder="1" applyAlignment="1">
      <alignment horizontal="center" vertical="center"/>
    </xf>
    <xf numFmtId="168" fontId="1" fillId="15" borderId="93" xfId="0" applyNumberFormat="1" applyFont="1" applyFill="1" applyBorder="1" applyAlignment="1">
      <alignment horizontal="center" vertical="center"/>
    </xf>
    <xf numFmtId="168" fontId="1" fillId="20" borderId="38" xfId="0" applyNumberFormat="1" applyFont="1" applyFill="1" applyBorder="1" applyAlignment="1">
      <alignment horizontal="center" vertical="center"/>
    </xf>
    <xf numFmtId="168" fontId="1" fillId="20" borderId="12" xfId="0" applyNumberFormat="1" applyFont="1" applyFill="1" applyBorder="1" applyAlignment="1">
      <alignment horizontal="center" vertical="center"/>
    </xf>
    <xf numFmtId="168" fontId="1" fillId="20" borderId="93" xfId="0" applyNumberFormat="1" applyFont="1" applyFill="1" applyBorder="1" applyAlignment="1">
      <alignment horizontal="center" vertical="center"/>
    </xf>
    <xf numFmtId="168" fontId="25" fillId="19" borderId="9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9" fontId="19" fillId="0" borderId="32" xfId="0" applyNumberFormat="1" applyFont="1" applyBorder="1" applyAlignment="1">
      <alignment horizontal="center" vertical="top"/>
    </xf>
    <xf numFmtId="3" fontId="19" fillId="0" borderId="32" xfId="0" applyNumberFormat="1" applyFont="1" applyBorder="1" applyAlignment="1">
      <alignment horizontal="center" vertical="top"/>
    </xf>
    <xf numFmtId="3" fontId="19" fillId="0" borderId="19" xfId="0" applyNumberFormat="1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top"/>
    </xf>
    <xf numFmtId="1" fontId="19" fillId="0" borderId="17" xfId="0" applyNumberFormat="1" applyFont="1" applyBorder="1" applyAlignment="1">
      <alignment horizontal="center" vertical="top"/>
    </xf>
    <xf numFmtId="4" fontId="19" fillId="0" borderId="32" xfId="0" applyNumberFormat="1" applyFont="1" applyBorder="1" applyAlignment="1">
      <alignment horizontal="center" vertical="top"/>
    </xf>
    <xf numFmtId="4" fontId="19" fillId="0" borderId="19" xfId="0" applyNumberFormat="1" applyFont="1" applyBorder="1" applyAlignment="1">
      <alignment horizontal="center" vertical="top"/>
    </xf>
    <xf numFmtId="1" fontId="19" fillId="0" borderId="3" xfId="0" applyNumberFormat="1" applyFont="1" applyBorder="1" applyAlignment="1">
      <alignment horizontal="center" vertical="top"/>
    </xf>
    <xf numFmtId="169" fontId="19" fillId="0" borderId="65" xfId="0" applyNumberFormat="1" applyFont="1" applyBorder="1" applyAlignment="1">
      <alignment horizontal="center" vertical="top"/>
    </xf>
    <xf numFmtId="4" fontId="19" fillId="0" borderId="65" xfId="0" applyNumberFormat="1" applyFont="1" applyBorder="1" applyAlignment="1">
      <alignment horizontal="center" vertical="top"/>
    </xf>
    <xf numFmtId="4" fontId="19" fillId="0" borderId="4" xfId="0" applyNumberFormat="1" applyFont="1" applyBorder="1" applyAlignment="1">
      <alignment horizontal="center" vertical="top"/>
    </xf>
    <xf numFmtId="173" fontId="19" fillId="0" borderId="19" xfId="0" applyNumberFormat="1" applyFont="1" applyBorder="1" applyAlignment="1">
      <alignment horizontal="center" vertical="top"/>
    </xf>
    <xf numFmtId="168" fontId="19" fillId="0" borderId="19" xfId="0" applyNumberFormat="1" applyFont="1" applyBorder="1" applyAlignment="1">
      <alignment horizontal="center" vertical="top"/>
    </xf>
    <xf numFmtId="169" fontId="19" fillId="0" borderId="19" xfId="0" applyNumberFormat="1" applyFont="1" applyBorder="1" applyAlignment="1">
      <alignment horizontal="center" vertical="top"/>
    </xf>
    <xf numFmtId="169" fontId="19" fillId="0" borderId="4" xfId="0" applyNumberFormat="1" applyFont="1" applyBorder="1" applyAlignment="1">
      <alignment horizontal="center" vertical="top"/>
    </xf>
    <xf numFmtId="0" fontId="19" fillId="0" borderId="80" xfId="0" applyFont="1" applyBorder="1" applyAlignment="1">
      <alignment horizontal="center" vertical="top"/>
    </xf>
    <xf numFmtId="169" fontId="19" fillId="0" borderId="83" xfId="0" applyNumberFormat="1" applyFont="1" applyBorder="1" applyAlignment="1">
      <alignment horizontal="center" vertical="top"/>
    </xf>
    <xf numFmtId="3" fontId="19" fillId="0" borderId="83" xfId="0" applyNumberFormat="1" applyFont="1" applyBorder="1" applyAlignment="1">
      <alignment horizontal="center" vertical="top"/>
    </xf>
    <xf numFmtId="3" fontId="19" fillId="0" borderId="84" xfId="0" applyNumberFormat="1" applyFont="1" applyBorder="1" applyAlignment="1">
      <alignment horizontal="center" vertical="top"/>
    </xf>
    <xf numFmtId="0" fontId="17" fillId="0" borderId="86" xfId="0" applyFont="1" applyBorder="1" applyAlignment="1">
      <alignment horizontal="center" vertical="top"/>
    </xf>
    <xf numFmtId="0" fontId="17" fillId="0" borderId="87" xfId="0" applyFont="1" applyBorder="1" applyAlignment="1">
      <alignment horizontal="center" vertical="top"/>
    </xf>
    <xf numFmtId="0" fontId="17" fillId="0" borderId="89" xfId="0" applyFont="1" applyBorder="1" applyAlignment="1">
      <alignment horizontal="center" vertical="top"/>
    </xf>
    <xf numFmtId="0" fontId="2" fillId="0" borderId="70" xfId="0" applyFont="1" applyBorder="1" applyAlignment="1">
      <alignment horizontal="left" vertical="center"/>
    </xf>
    <xf numFmtId="0" fontId="2" fillId="0" borderId="74" xfId="0" applyFont="1" applyBorder="1" applyAlignment="1">
      <alignment horizontal="left" vertical="center"/>
    </xf>
    <xf numFmtId="168" fontId="0" fillId="8" borderId="1" xfId="0" applyNumberFormat="1" applyFill="1" applyBorder="1" applyAlignment="1">
      <alignment horizontal="center"/>
    </xf>
    <xf numFmtId="168" fontId="0" fillId="8" borderId="3" xfId="0" applyNumberFormat="1" applyFill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168" fontId="0" fillId="9" borderId="3" xfId="0" applyNumberFormat="1" applyFill="1" applyBorder="1" applyAlignment="1">
      <alignment horizontal="center"/>
    </xf>
    <xf numFmtId="168" fontId="0" fillId="15" borderId="1" xfId="0" applyNumberFormat="1" applyFill="1" applyBorder="1" applyAlignment="1">
      <alignment horizontal="center"/>
    </xf>
    <xf numFmtId="168" fontId="0" fillId="15" borderId="3" xfId="0" applyNumberFormat="1" applyFill="1" applyBorder="1" applyAlignment="1">
      <alignment horizontal="center"/>
    </xf>
    <xf numFmtId="0" fontId="24" fillId="0" borderId="0" xfId="0" applyFont="1" applyAlignment="1">
      <alignment horizontal="left" vertical="center"/>
    </xf>
    <xf numFmtId="168" fontId="7" fillId="17" borderId="32" xfId="1" applyNumberFormat="1" applyFont="1" applyFill="1" applyBorder="1" applyAlignment="1">
      <alignment horizontal="center" vertical="center" wrapText="1"/>
    </xf>
    <xf numFmtId="168" fontId="7" fillId="0" borderId="32" xfId="1" applyNumberFormat="1" applyFont="1" applyBorder="1" applyAlignment="1">
      <alignment horizontal="center" vertical="center" wrapText="1"/>
    </xf>
    <xf numFmtId="0" fontId="5" fillId="0" borderId="86" xfId="1" applyFont="1" applyBorder="1" applyAlignment="1">
      <alignment horizontal="center" vertical="center" wrapText="1"/>
    </xf>
    <xf numFmtId="0" fontId="5" fillId="0" borderId="88" xfId="1" applyFont="1" applyBorder="1" applyAlignment="1">
      <alignment horizontal="center" vertical="center" wrapText="1"/>
    </xf>
    <xf numFmtId="0" fontId="5" fillId="0" borderId="98" xfId="1" applyFont="1" applyBorder="1" applyAlignment="1">
      <alignment horizontal="center" vertical="center" wrapText="1"/>
    </xf>
    <xf numFmtId="1" fontId="7" fillId="0" borderId="17" xfId="1" applyNumberFormat="1" applyFont="1" applyBorder="1" applyAlignment="1">
      <alignment horizontal="center" vertical="center" wrapText="1"/>
    </xf>
    <xf numFmtId="1" fontId="7" fillId="17" borderId="17" xfId="1" applyNumberFormat="1" applyFont="1" applyFill="1" applyBorder="1" applyAlignment="1">
      <alignment horizontal="center" vertical="center" wrapText="1"/>
    </xf>
    <xf numFmtId="1" fontId="7" fillId="17" borderId="3" xfId="1" applyNumberFormat="1" applyFont="1" applyFill="1" applyBorder="1" applyAlignment="1">
      <alignment horizontal="center" vertical="center" wrapText="1"/>
    </xf>
    <xf numFmtId="168" fontId="7" fillId="17" borderId="65" xfId="1" applyNumberFormat="1" applyFont="1" applyFill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 wrapText="1"/>
    </xf>
    <xf numFmtId="168" fontId="7" fillId="0" borderId="37" xfId="1" applyNumberFormat="1" applyFont="1" applyBorder="1" applyAlignment="1">
      <alignment horizontal="center" vertical="center" wrapText="1"/>
    </xf>
    <xf numFmtId="1" fontId="7" fillId="0" borderId="80" xfId="1" applyNumberFormat="1" applyFont="1" applyBorder="1" applyAlignment="1">
      <alignment horizontal="center" vertical="center" wrapText="1"/>
    </xf>
    <xf numFmtId="168" fontId="7" fillId="0" borderId="83" xfId="1" applyNumberFormat="1" applyFont="1" applyBorder="1" applyAlignment="1">
      <alignment horizontal="center" vertical="center" wrapText="1"/>
    </xf>
    <xf numFmtId="1" fontId="7" fillId="0" borderId="3" xfId="1" applyNumberFormat="1" applyFont="1" applyBorder="1" applyAlignment="1">
      <alignment horizontal="center" vertical="center" wrapText="1"/>
    </xf>
    <xf numFmtId="168" fontId="7" fillId="0" borderId="65" xfId="1" applyNumberFormat="1" applyFont="1" applyBorder="1" applyAlignment="1">
      <alignment horizontal="center" vertical="center" wrapText="1"/>
    </xf>
    <xf numFmtId="166" fontId="8" fillId="0" borderId="38" xfId="0" applyNumberFormat="1" applyFont="1" applyBorder="1" applyAlignment="1">
      <alignment horizontal="left" vertical="center" indent="1"/>
    </xf>
    <xf numFmtId="166" fontId="8" fillId="0" borderId="12" xfId="0" applyNumberFormat="1" applyFont="1" applyBorder="1" applyAlignment="1">
      <alignment horizontal="left" vertical="center" indent="1"/>
    </xf>
    <xf numFmtId="166" fontId="8" fillId="0" borderId="93" xfId="0" applyNumberFormat="1" applyFont="1" applyBorder="1" applyAlignment="1">
      <alignment horizontal="left" vertical="center" indent="1"/>
    </xf>
    <xf numFmtId="1" fontId="8" fillId="0" borderId="1" xfId="0" applyNumberFormat="1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66" fontId="8" fillId="0" borderId="95" xfId="0" applyNumberFormat="1" applyFont="1" applyBorder="1" applyAlignment="1">
      <alignment horizontal="left" vertical="center" indent="1"/>
    </xf>
    <xf numFmtId="166" fontId="8" fillId="17" borderId="12" xfId="0" applyNumberFormat="1" applyFont="1" applyFill="1" applyBorder="1" applyAlignment="1">
      <alignment horizontal="left" vertical="center" indent="1"/>
    </xf>
    <xf numFmtId="166" fontId="8" fillId="17" borderId="93" xfId="0" applyNumberFormat="1" applyFont="1" applyFill="1" applyBorder="1" applyAlignment="1">
      <alignment horizontal="left" vertical="center" indent="1"/>
    </xf>
    <xf numFmtId="1" fontId="8" fillId="17" borderId="17" xfId="0" applyNumberFormat="1" applyFont="1" applyFill="1" applyBorder="1" applyAlignment="1">
      <alignment horizontal="center" vertical="center"/>
    </xf>
    <xf numFmtId="170" fontId="8" fillId="0" borderId="17" xfId="0" applyNumberFormat="1" applyFont="1" applyBorder="1" applyAlignment="1">
      <alignment horizontal="center" vertical="center"/>
    </xf>
    <xf numFmtId="170" fontId="8" fillId="17" borderId="17" xfId="0" applyNumberFormat="1" applyFont="1" applyFill="1" applyBorder="1" applyAlignment="1">
      <alignment horizontal="center" vertical="center"/>
    </xf>
    <xf numFmtId="171" fontId="8" fillId="0" borderId="17" xfId="0" applyNumberFormat="1" applyFont="1" applyBorder="1" applyAlignment="1">
      <alignment horizontal="center" vertical="center"/>
    </xf>
    <xf numFmtId="171" fontId="8" fillId="17" borderId="17" xfId="0" applyNumberFormat="1" applyFont="1" applyFill="1" applyBorder="1" applyAlignment="1">
      <alignment horizontal="center" vertical="center"/>
    </xf>
    <xf numFmtId="172" fontId="8" fillId="17" borderId="3" xfId="0" applyNumberFormat="1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3" fontId="8" fillId="0" borderId="38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93" xfId="0" applyFont="1" applyFill="1" applyBorder="1" applyAlignment="1">
      <alignment horizontal="center" vertical="center"/>
    </xf>
    <xf numFmtId="3" fontId="8" fillId="0" borderId="70" xfId="0" applyNumberFormat="1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8" fillId="17" borderId="70" xfId="0" applyFont="1" applyFill="1" applyBorder="1" applyAlignment="1">
      <alignment horizontal="center" vertical="center"/>
    </xf>
    <xf numFmtId="0" fontId="8" fillId="17" borderId="74" xfId="0" applyFont="1" applyFill="1" applyBorder="1" applyAlignment="1">
      <alignment horizontal="center" vertical="center"/>
    </xf>
    <xf numFmtId="3" fontId="8" fillId="0" borderId="71" xfId="0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8" fillId="0" borderId="99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169" fontId="2" fillId="24" borderId="92" xfId="0" applyNumberFormat="1" applyFont="1" applyFill="1" applyBorder="1" applyAlignment="1">
      <alignment horizontal="center" vertical="center"/>
    </xf>
    <xf numFmtId="168" fontId="2" fillId="24" borderId="19" xfId="0" applyNumberFormat="1" applyFont="1" applyFill="1" applyBorder="1" applyAlignment="1">
      <alignment horizontal="center" vertical="center"/>
    </xf>
    <xf numFmtId="169" fontId="2" fillId="24" borderId="11" xfId="0" applyNumberFormat="1" applyFont="1" applyFill="1" applyBorder="1" applyAlignment="1">
      <alignment horizontal="center" vertical="center"/>
    </xf>
    <xf numFmtId="169" fontId="2" fillId="24" borderId="46" xfId="0" applyNumberFormat="1" applyFont="1" applyFill="1" applyBorder="1" applyAlignment="1">
      <alignment horizontal="center" vertical="center"/>
    </xf>
    <xf numFmtId="1" fontId="1" fillId="6" borderId="67" xfId="0" applyNumberFormat="1" applyFont="1" applyFill="1" applyBorder="1" applyAlignment="1">
      <alignment horizontal="center" vertical="center"/>
    </xf>
    <xf numFmtId="169" fontId="3" fillId="0" borderId="0" xfId="0" applyNumberFormat="1" applyFont="1"/>
    <xf numFmtId="0" fontId="24" fillId="22" borderId="0" xfId="0" applyFont="1" applyFill="1" applyAlignment="1">
      <alignment horizontal="center"/>
    </xf>
    <xf numFmtId="0" fontId="0" fillId="0" borderId="8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17" borderId="37" xfId="0" quotePrefix="1" applyFill="1" applyBorder="1" applyAlignment="1">
      <alignment horizontal="center"/>
    </xf>
    <xf numFmtId="0" fontId="0" fillId="17" borderId="32" xfId="0" applyFill="1" applyBorder="1"/>
    <xf numFmtId="0" fontId="0" fillId="0" borderId="0" xfId="0" applyAlignment="1">
      <alignment horizontal="right"/>
    </xf>
    <xf numFmtId="0" fontId="2" fillId="17" borderId="5" xfId="0" applyFont="1" applyFill="1" applyBorder="1"/>
    <xf numFmtId="0" fontId="2" fillId="4" borderId="5" xfId="0" applyFont="1" applyFill="1" applyBorder="1"/>
    <xf numFmtId="0" fontId="0" fillId="0" borderId="0" xfId="0" quotePrefix="1"/>
    <xf numFmtId="0" fontId="0" fillId="17" borderId="32" xfId="0" applyFill="1" applyBorder="1" applyAlignment="1">
      <alignment horizontal="center"/>
    </xf>
    <xf numFmtId="168" fontId="0" fillId="17" borderId="32" xfId="0" applyNumberFormat="1" applyFill="1" applyBorder="1" applyAlignment="1">
      <alignment horizontal="center"/>
    </xf>
    <xf numFmtId="174" fontId="0" fillId="17" borderId="32" xfId="0" applyNumberFormat="1" applyFill="1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right" vertical="center"/>
    </xf>
    <xf numFmtId="0" fontId="2" fillId="7" borderId="16" xfId="0" applyFont="1" applyFill="1" applyBorder="1" applyAlignment="1">
      <alignment horizontal="right" vertical="center"/>
    </xf>
    <xf numFmtId="0" fontId="2" fillId="7" borderId="20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right" vertical="center"/>
    </xf>
    <xf numFmtId="0" fontId="2" fillId="7" borderId="8" xfId="0" applyFont="1" applyFill="1" applyBorder="1" applyAlignment="1">
      <alignment horizontal="right" vertical="center"/>
    </xf>
    <xf numFmtId="0" fontId="12" fillId="12" borderId="75" xfId="0" applyFont="1" applyFill="1" applyBorder="1" applyAlignment="1">
      <alignment horizontal="right" vertical="center"/>
    </xf>
    <xf numFmtId="0" fontId="12" fillId="12" borderId="76" xfId="0" applyFont="1" applyFill="1" applyBorder="1" applyAlignment="1">
      <alignment horizontal="right" vertical="center"/>
    </xf>
    <xf numFmtId="0" fontId="12" fillId="12" borderId="77" xfId="0" applyFont="1" applyFill="1" applyBorder="1" applyAlignment="1">
      <alignment horizontal="right" vertical="center"/>
    </xf>
    <xf numFmtId="0" fontId="2" fillId="15" borderId="6" xfId="0" applyFont="1" applyFill="1" applyBorder="1" applyAlignment="1">
      <alignment horizontal="center" vertical="center"/>
    </xf>
    <xf numFmtId="0" fontId="12" fillId="12" borderId="80" xfId="0" applyFont="1" applyFill="1" applyBorder="1" applyAlignment="1">
      <alignment horizontal="right" vertical="center"/>
    </xf>
    <xf numFmtId="0" fontId="2" fillId="13" borderId="75" xfId="0" applyFont="1" applyFill="1" applyBorder="1" applyAlignment="1">
      <alignment horizontal="left" vertical="center" indent="1"/>
    </xf>
    <xf numFmtId="0" fontId="2" fillId="13" borderId="78" xfId="0" applyFont="1" applyFill="1" applyBorder="1" applyAlignment="1">
      <alignment horizontal="left" vertical="center" indent="1"/>
    </xf>
    <xf numFmtId="0" fontId="2" fillId="13" borderId="79" xfId="0" applyFont="1" applyFill="1" applyBorder="1" applyAlignment="1">
      <alignment horizontal="left" vertical="center" indent="1"/>
    </xf>
    <xf numFmtId="168" fontId="2" fillId="14" borderId="75" xfId="0" applyNumberFormat="1" applyFont="1" applyFill="1" applyBorder="1" applyAlignment="1">
      <alignment horizontal="left" vertical="center" indent="1"/>
    </xf>
    <xf numFmtId="168" fontId="2" fillId="14" borderId="78" xfId="0" applyNumberFormat="1" applyFont="1" applyFill="1" applyBorder="1" applyAlignment="1">
      <alignment horizontal="left" vertical="center" indent="1"/>
    </xf>
    <xf numFmtId="168" fontId="2" fillId="14" borderId="79" xfId="0" applyNumberFormat="1" applyFont="1" applyFill="1" applyBorder="1" applyAlignment="1">
      <alignment horizontal="left" vertical="center" indent="1"/>
    </xf>
    <xf numFmtId="0" fontId="2" fillId="13" borderId="2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168" fontId="2" fillId="14" borderId="21" xfId="0" applyNumberFormat="1" applyFont="1" applyFill="1" applyBorder="1" applyAlignment="1">
      <alignment horizontal="center" vertical="center"/>
    </xf>
    <xf numFmtId="168" fontId="2" fillId="14" borderId="22" xfId="0" applyNumberFormat="1" applyFont="1" applyFill="1" applyBorder="1" applyAlignment="1">
      <alignment horizontal="center" vertical="center"/>
    </xf>
    <xf numFmtId="168" fontId="2" fillId="14" borderId="6" xfId="0" applyNumberFormat="1" applyFont="1" applyFill="1" applyBorder="1" applyAlignment="1">
      <alignment horizontal="center" vertical="center"/>
    </xf>
    <xf numFmtId="169" fontId="25" fillId="18" borderId="21" xfId="0" applyNumberFormat="1" applyFont="1" applyFill="1" applyBorder="1" applyAlignment="1">
      <alignment horizontal="center" vertical="center"/>
    </xf>
    <xf numFmtId="169" fontId="25" fillId="18" borderId="6" xfId="0" applyNumberFormat="1" applyFont="1" applyFill="1" applyBorder="1" applyAlignment="1">
      <alignment horizontal="center" vertical="center"/>
    </xf>
    <xf numFmtId="169" fontId="2" fillId="14" borderId="21" xfId="0" applyNumberFormat="1" applyFont="1" applyFill="1" applyBorder="1" applyAlignment="1">
      <alignment horizontal="center" vertical="center"/>
    </xf>
    <xf numFmtId="169" fontId="2" fillId="14" borderId="6" xfId="0" applyNumberFormat="1" applyFont="1" applyFill="1" applyBorder="1" applyAlignment="1">
      <alignment horizontal="center" vertical="center"/>
    </xf>
    <xf numFmtId="168" fontId="25" fillId="19" borderId="75" xfId="0" applyNumberFormat="1" applyFont="1" applyFill="1" applyBorder="1" applyAlignment="1">
      <alignment horizontal="left" vertical="center" indent="1"/>
    </xf>
    <xf numFmtId="168" fontId="25" fillId="19" borderId="78" xfId="0" applyNumberFormat="1" applyFont="1" applyFill="1" applyBorder="1" applyAlignment="1">
      <alignment horizontal="left" vertical="center" indent="1"/>
    </xf>
    <xf numFmtId="168" fontId="25" fillId="19" borderId="79" xfId="0" applyNumberFormat="1" applyFont="1" applyFill="1" applyBorder="1" applyAlignment="1">
      <alignment horizontal="left" vertical="center" indent="1"/>
    </xf>
    <xf numFmtId="169" fontId="25" fillId="19" borderId="21" xfId="0" applyNumberFormat="1" applyFont="1" applyFill="1" applyBorder="1" applyAlignment="1">
      <alignment horizontal="center" vertical="center"/>
    </xf>
    <xf numFmtId="169" fontId="25" fillId="19" borderId="6" xfId="0" applyNumberFormat="1" applyFont="1" applyFill="1" applyBorder="1" applyAlignment="1">
      <alignment horizontal="center" vertical="center"/>
    </xf>
    <xf numFmtId="168" fontId="25" fillId="18" borderId="75" xfId="0" applyNumberFormat="1" applyFont="1" applyFill="1" applyBorder="1" applyAlignment="1">
      <alignment horizontal="left" vertical="center" indent="1"/>
    </xf>
    <xf numFmtId="168" fontId="25" fillId="18" borderId="78" xfId="0" applyNumberFormat="1" applyFont="1" applyFill="1" applyBorder="1" applyAlignment="1">
      <alignment horizontal="left" vertical="center" indent="1"/>
    </xf>
    <xf numFmtId="168" fontId="25" fillId="18" borderId="79" xfId="0" applyNumberFormat="1" applyFont="1" applyFill="1" applyBorder="1" applyAlignment="1">
      <alignment horizontal="left" vertical="center" indent="1"/>
    </xf>
    <xf numFmtId="169" fontId="1" fillId="15" borderId="34" xfId="0" applyNumberFormat="1" applyFont="1" applyFill="1" applyBorder="1" applyAlignment="1">
      <alignment horizontal="center" vertical="center"/>
    </xf>
    <xf numFmtId="169" fontId="1" fillId="15" borderId="69" xfId="0" applyNumberFormat="1" applyFont="1" applyFill="1" applyBorder="1" applyAlignment="1">
      <alignment horizontal="center" vertical="center"/>
    </xf>
    <xf numFmtId="169" fontId="1" fillId="15" borderId="63" xfId="0" applyNumberFormat="1" applyFont="1" applyFill="1" applyBorder="1" applyAlignment="1">
      <alignment horizontal="center" vertical="center"/>
    </xf>
    <xf numFmtId="169" fontId="1" fillId="15" borderId="73" xfId="0" applyNumberFormat="1" applyFont="1" applyFill="1" applyBorder="1" applyAlignment="1">
      <alignment horizontal="center" vertical="center"/>
    </xf>
    <xf numFmtId="168" fontId="25" fillId="18" borderId="15" xfId="0" applyNumberFormat="1" applyFont="1" applyFill="1" applyBorder="1" applyAlignment="1">
      <alignment horizontal="center" vertical="center"/>
    </xf>
    <xf numFmtId="168" fontId="25" fillId="18" borderId="64" xfId="0" applyNumberFormat="1" applyFont="1" applyFill="1" applyBorder="1" applyAlignment="1">
      <alignment horizontal="center" vertical="center"/>
    </xf>
    <xf numFmtId="168" fontId="25" fillId="18" borderId="16" xfId="0" applyNumberFormat="1" applyFont="1" applyFill="1" applyBorder="1" applyAlignment="1">
      <alignment horizontal="center" vertical="center"/>
    </xf>
    <xf numFmtId="169" fontId="1" fillId="9" borderId="68" xfId="0" applyNumberFormat="1" applyFont="1" applyFill="1" applyBorder="1" applyAlignment="1">
      <alignment horizontal="center" vertical="center"/>
    </xf>
    <xf numFmtId="169" fontId="1" fillId="9" borderId="69" xfId="0" applyNumberFormat="1" applyFont="1" applyFill="1" applyBorder="1" applyAlignment="1">
      <alignment horizontal="center" vertical="center"/>
    </xf>
    <xf numFmtId="169" fontId="1" fillId="9" borderId="72" xfId="0" applyNumberFormat="1" applyFont="1" applyFill="1" applyBorder="1" applyAlignment="1">
      <alignment horizontal="center" vertical="center"/>
    </xf>
    <xf numFmtId="169" fontId="1" fillId="9" borderId="73" xfId="0" applyNumberFormat="1" applyFont="1" applyFill="1" applyBorder="1" applyAlignment="1">
      <alignment horizontal="center" vertical="center"/>
    </xf>
    <xf numFmtId="169" fontId="1" fillId="8" borderId="72" xfId="0" applyNumberFormat="1" applyFont="1" applyFill="1" applyBorder="1" applyAlignment="1">
      <alignment horizontal="center" vertical="center"/>
    </xf>
    <xf numFmtId="169" fontId="1" fillId="8" borderId="73" xfId="0" applyNumberFormat="1" applyFont="1" applyFill="1" applyBorder="1" applyAlignment="1">
      <alignment horizontal="center" vertical="center"/>
    </xf>
    <xf numFmtId="169" fontId="1" fillId="8" borderId="68" xfId="0" applyNumberFormat="1" applyFont="1" applyFill="1" applyBorder="1" applyAlignment="1">
      <alignment horizontal="center" vertical="center"/>
    </xf>
    <xf numFmtId="169" fontId="1" fillId="8" borderId="69" xfId="0" applyNumberFormat="1" applyFont="1" applyFill="1" applyBorder="1" applyAlignment="1">
      <alignment horizontal="center" vertical="center"/>
    </xf>
    <xf numFmtId="168" fontId="14" fillId="14" borderId="21" xfId="0" applyNumberFormat="1" applyFont="1" applyFill="1" applyBorder="1" applyAlignment="1">
      <alignment horizontal="center" vertical="center"/>
    </xf>
    <xf numFmtId="168" fontId="14" fillId="14" borderId="22" xfId="0" applyNumberFormat="1" applyFont="1" applyFill="1" applyBorder="1" applyAlignment="1">
      <alignment horizontal="center" vertical="center"/>
    </xf>
    <xf numFmtId="168" fontId="14" fillId="14" borderId="6" xfId="0" applyNumberFormat="1" applyFont="1" applyFill="1" applyBorder="1" applyAlignment="1">
      <alignment horizontal="center" vertical="center"/>
    </xf>
    <xf numFmtId="168" fontId="25" fillId="18" borderId="21" xfId="0" applyNumberFormat="1" applyFont="1" applyFill="1" applyBorder="1" applyAlignment="1">
      <alignment horizontal="center" vertical="center"/>
    </xf>
    <xf numFmtId="168" fontId="25" fillId="18" borderId="22" xfId="0" applyNumberFormat="1" applyFont="1" applyFill="1" applyBorder="1" applyAlignment="1">
      <alignment horizontal="center" vertical="center"/>
    </xf>
    <xf numFmtId="168" fontId="25" fillId="18" borderId="6" xfId="0" applyNumberFormat="1" applyFont="1" applyFill="1" applyBorder="1" applyAlignment="1">
      <alignment horizontal="center" vertical="center"/>
    </xf>
    <xf numFmtId="168" fontId="25" fillId="19" borderId="21" xfId="0" applyNumberFormat="1" applyFont="1" applyFill="1" applyBorder="1" applyAlignment="1">
      <alignment horizontal="center" vertical="center"/>
    </xf>
    <xf numFmtId="168" fontId="25" fillId="19" borderId="22" xfId="0" applyNumberFormat="1" applyFont="1" applyFill="1" applyBorder="1" applyAlignment="1">
      <alignment horizontal="center" vertical="center"/>
    </xf>
    <xf numFmtId="168" fontId="25" fillId="19" borderId="6" xfId="0" applyNumberFormat="1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23" borderId="34" xfId="0" applyFont="1" applyFill="1" applyBorder="1" applyAlignment="1">
      <alignment horizontal="center"/>
    </xf>
    <xf numFmtId="0" fontId="2" fillId="23" borderId="68" xfId="0" applyFont="1" applyFill="1" applyBorder="1" applyAlignment="1">
      <alignment horizontal="center"/>
    </xf>
    <xf numFmtId="0" fontId="2" fillId="23" borderId="69" xfId="0" applyFont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2" fillId="11" borderId="34" xfId="0" applyFont="1" applyFill="1" applyBorder="1" applyAlignment="1">
      <alignment horizontal="center" vertical="center"/>
    </xf>
    <xf numFmtId="0" fontId="2" fillId="11" borderId="69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31" fillId="0" borderId="64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2" fillId="0" borderId="64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top"/>
    </xf>
    <xf numFmtId="0" fontId="17" fillId="7" borderId="1" xfId="0" applyFont="1" applyFill="1" applyBorder="1" applyAlignment="1">
      <alignment horizontal="center" vertical="center" wrapText="1"/>
    </xf>
    <xf numFmtId="0" fontId="16" fillId="7" borderId="37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8" fillId="12" borderId="97" xfId="0" applyFont="1" applyFill="1" applyBorder="1" applyAlignment="1">
      <alignment horizontal="center" vertical="center" wrapText="1"/>
    </xf>
    <xf numFmtId="0" fontId="18" fillId="12" borderId="60" xfId="0" applyFont="1" applyFill="1" applyBorder="1" applyAlignment="1">
      <alignment horizontal="center" vertical="center" wrapText="1"/>
    </xf>
    <xf numFmtId="0" fontId="18" fillId="12" borderId="90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68" xfId="0" applyFont="1" applyFill="1" applyBorder="1" applyAlignment="1">
      <alignment horizontal="center" vertical="center" wrapText="1"/>
    </xf>
    <xf numFmtId="0" fontId="17" fillId="9" borderId="69" xfId="0" applyFont="1" applyFill="1" applyBorder="1" applyAlignment="1">
      <alignment horizontal="center" vertical="center" wrapText="1"/>
    </xf>
    <xf numFmtId="0" fontId="18" fillId="10" borderId="58" xfId="0" applyFont="1" applyFill="1" applyBorder="1" applyAlignment="1">
      <alignment horizontal="center" vertical="center" wrapText="1"/>
    </xf>
    <xf numFmtId="0" fontId="18" fillId="10" borderId="94" xfId="0" applyFont="1" applyFill="1" applyBorder="1" applyAlignment="1">
      <alignment horizontal="center" vertical="center" wrapText="1"/>
    </xf>
    <xf numFmtId="0" fontId="18" fillId="10" borderId="96" xfId="0" applyFont="1" applyFill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</cellXfs>
  <cellStyles count="2">
    <cellStyle name="Normal" xfId="0" builtinId="0"/>
    <cellStyle name="Normal 2" xfId="1" xr:uid="{2AD80BE3-6973-4026-8D92-2C54520124F8}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" formatCode="#,##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9" formatCode="0.000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9" formatCode="0.0000"/>
      <alignment horizontal="center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start style="medium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1" formatCode=".00"/>
      <alignment horizontal="center" vertical="center" textRotation="0" wrapText="0" indent="0" justifyLastLine="0" shrinkToFit="0" readingOrder="0"/>
      <border diagonalUp="0" diagonalDown="0" outline="0">
        <start/>
        <end style="medium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.0000##"/>
      <alignment horizontal="left" vertical="center" textRotation="0" wrapText="0" relativeIndent="1" justifyLastLine="0" shrinkToFit="0" readingOrder="0"/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right" vertical="center" textRotation="0" wrapText="0" relativeIndent="1" justifyLastLine="0" shrinkToFit="0" readingOrder="0"/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border outline="0">
        <start style="medium">
          <color indexed="64"/>
        </star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9" formatCode="0.000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fill>
        <patternFill patternType="solid">
          <fgColor rgb="FF000000"/>
          <bgColor rgb="FFFFE699"/>
        </patternFill>
      </fill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 style="thin">
          <color rgb="FF000000"/>
        </start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9" formatCode="0.000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fill>
        <patternFill patternType="solid">
          <fgColor rgb="FF000000"/>
          <bgColor rgb="FFFFE699"/>
        </patternFill>
      </fill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 style="thin">
          <color rgb="FF000000"/>
        </start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0.0000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/>
        <end style="thin">
          <color indexed="64"/>
        </end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fill>
        <patternFill patternType="solid">
          <fgColor rgb="FF000000"/>
          <bgColor rgb="FFFFE699"/>
        </patternFill>
      </fill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 style="thin">
          <color rgb="FF000000"/>
        </start>
        <end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start style="medium">
          <color indexed="64"/>
        </start>
        <end/>
        <top style="thin">
          <color rgb="FF000000"/>
        </top>
        <bottom style="thin">
          <color rgb="FF000000"/>
        </bottom>
      </border>
    </dxf>
    <dxf>
      <border outline="0"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0.0000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fill>
        <patternFill patternType="solid">
          <fgColor rgb="FF000000"/>
          <bgColor rgb="FFFFE699"/>
        </patternFill>
      </fill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.0000##"/>
      <alignment horizontal="left" vertical="center" textRotation="0" wrapText="1" relativeIndent="1" justifyLastLine="0" shrinkToFit="0" readingOrder="0"/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start/>
        <end/>
        <top style="thin">
          <color rgb="FF000000"/>
        </top>
        <bottom style="thin">
          <color rgb="FF000000"/>
        </bottom>
      </border>
    </dxf>
    <dxf>
      <border outline="0"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medium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71" formatCode=".00"/>
      <alignment horizontal="center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.0000##"/>
      <alignment horizontal="left" vertical="center" textRotation="0" wrapText="0" relativeIndent="1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8" formatCode="0.000"/>
      <alignment horizontal="center" vertical="center" textRotation="0" wrapText="1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start style="medium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start style="medium">
          <color indexed="64"/>
        </star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family val="2"/>
      </font>
      <alignment horizontal="center" vertical="center" textRotation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1.xml"/><Relationship Id="rId13" Type="http://purl.oclc.org/ooxml/officeDocument/relationships/sharedStrings" Target="sharedStrings.xml"/><Relationship Id="rId3" Type="http://purl.oclc.org/ooxml/officeDocument/relationships/worksheet" Target="worksheets/sheet2.xml"/><Relationship Id="rId7" Type="http://purl.oclc.org/ooxml/officeDocument/relationships/worksheet" Target="worksheets/sheet6.xml"/><Relationship Id="rId12" Type="http://purl.oclc.org/ooxml/officeDocument/relationships/styles" Target="styles.xml"/><Relationship Id="rId17" Type="http://purl.oclc.org/ooxml/officeDocument/relationships/customXml" Target="../customXml/item3.xml"/><Relationship Id="rId2" Type="http://purl.oclc.org/ooxml/officeDocument/relationships/worksheet" Target="worksheets/sheet1.xml"/><Relationship Id="rId16" Type="http://purl.oclc.org/ooxml/officeDocument/relationships/customXml" Target="../customXml/item2.xml"/><Relationship Id="rId1" Type="http://purl.oclc.org/ooxml/officeDocument/relationships/chartsheet" Target="chartsheets/sheet1.xml"/><Relationship Id="rId6" Type="http://purl.oclc.org/ooxml/officeDocument/relationships/worksheet" Target="worksheets/sheet5.xml"/><Relationship Id="rId11" Type="http://purl.oclc.org/ooxml/officeDocument/relationships/theme" Target="theme/theme1.xml"/><Relationship Id="rId5" Type="http://purl.oclc.org/ooxml/officeDocument/relationships/worksheet" Target="worksheets/sheet4.xml"/><Relationship Id="rId15" Type="http://purl.oclc.org/ooxml/officeDocument/relationships/customXml" Target="../customXml/item1.xml"/><Relationship Id="rId10" Type="http://purl.oclc.org/ooxml/officeDocument/relationships/externalLink" Target="externalLinks/externalLink3.xml"/><Relationship Id="rId4" Type="http://purl.oclc.org/ooxml/officeDocument/relationships/worksheet" Target="worksheets/sheet3.xml"/><Relationship Id="rId9" Type="http://purl.oclc.org/ooxml/officeDocument/relationships/externalLink" Target="externalLinks/externalLink2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'Litz Design tool for External C'!$B$1:$B$13</c:f>
              <c:strCache>
                <c:ptCount val="13"/>
                <c:pt idx="0">
                  <c:v>#N/A</c:v>
                </c:pt>
                <c:pt idx="1">
                  <c:v>Construction Details</c:v>
                </c:pt>
                <c:pt idx="2">
                  <c:v>Total Wires:</c:v>
                </c:pt>
                <c:pt idx="3">
                  <c:v>Wire AWG:</c:v>
                </c:pt>
                <c:pt idx="6">
                  <c:v>Packing Factor (OD):</c:v>
                </c:pt>
                <c:pt idx="7">
                  <c:v>Take Up Factor (WT):</c:v>
                </c:pt>
                <c:pt idx="8">
                  <c:v>Total Copper Area (CMA)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C'!$B$14:$B$42</c:f>
              <c:numCache>
                <c:formatCode>General</c:formatCode>
                <c:ptCount val="29"/>
                <c:pt idx="0">
                  <c:v>-30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</c:v>
                </c:pt>
                <c:pt idx="28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2-451E-8F77-9C4652A0ABD9}"/>
            </c:ext>
          </c:extLst>
        </c:ser>
        <c:ser>
          <c:idx val="1"/>
          <c:order val="1"/>
          <c:tx>
            <c:strRef>
              <c:f>'Litz Design tool for External C'!$C$1:$C$13</c:f>
              <c:strCache>
                <c:ptCount val="13"/>
                <c:pt idx="0">
                  <c:v>#N/A</c:v>
                </c:pt>
                <c:pt idx="1">
                  <c:v>Construction Details</c:v>
                </c:pt>
                <c:pt idx="2">
                  <c:v>Total Wires:</c:v>
                </c:pt>
                <c:pt idx="3">
                  <c:v>Wire AWG:</c:v>
                </c:pt>
                <c:pt idx="4">
                  <c:v>Number of Operations:</c:v>
                </c:pt>
                <c:pt idx="5">
                  <c:v>Litz Type:</c:v>
                </c:pt>
                <c:pt idx="6">
                  <c:v>Packing Factor (OD):</c:v>
                </c:pt>
                <c:pt idx="7">
                  <c:v>Take Up Factor (WT):</c:v>
                </c:pt>
                <c:pt idx="8">
                  <c:v>Total Copper Area (CMA)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C'!$C$14:$C$42</c:f>
              <c:numCache>
                <c:formatCode>General</c:formatCode>
                <c:ptCount val="29"/>
                <c:pt idx="0">
                  <c:v>-25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2-451E-8F77-9C4652A0ABD9}"/>
            </c:ext>
          </c:extLst>
        </c:ser>
        <c:ser>
          <c:idx val="2"/>
          <c:order val="2"/>
          <c:tx>
            <c:strRef>
              <c:f>'Litz Design tool for External C'!$D$1:$D$13</c:f>
              <c:strCache>
                <c:ptCount val="13"/>
                <c:pt idx="0">
                  <c:v>#N/A</c:v>
                </c:pt>
                <c:pt idx="1">
                  <c:v>Construction Details</c:v>
                </c:pt>
                <c:pt idx="2">
                  <c:v>Total Wires:</c:v>
                </c:pt>
                <c:pt idx="3">
                  <c:v>Wire AWG: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Total Copper Area (CMA)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C'!$D$14:$D$42</c:f>
              <c:numCache>
                <c:formatCode>General</c:formatCode>
                <c:ptCount val="29"/>
                <c:pt idx="0">
                  <c:v>-20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2-451E-8F77-9C4652A0ABD9}"/>
            </c:ext>
          </c:extLst>
        </c:ser>
        <c:ser>
          <c:idx val="3"/>
          <c:order val="3"/>
          <c:tx>
            <c:strRef>
              <c:f>'Litz Design tool for External C'!$E$1:$E$13</c:f>
              <c:strCache>
                <c:ptCount val="13"/>
                <c:pt idx="0">
                  <c:v>#N/A</c:v>
                </c:pt>
                <c:pt idx="1">
                  <c:v>Construction Details</c:v>
                </c:pt>
                <c:pt idx="2">
                  <c:v>Total Wires:</c:v>
                </c:pt>
                <c:pt idx="3">
                  <c:v>Wire AWG: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Total Copper Area (CMA)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C'!$E$14:$E$42</c:f>
              <c:numCache>
                <c:formatCode>General</c:formatCode>
                <c:ptCount val="29"/>
                <c:pt idx="0">
                  <c:v>-15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3">
                  <c:v>0</c:v>
                </c:pt>
                <c:pt idx="24">
                  <c:v>0</c:v>
                </c:pt>
                <c:pt idx="25" formatCode="0.0000">
                  <c:v>0</c:v>
                </c:pt>
                <c:pt idx="26" formatCode="0.0000">
                  <c:v>0</c:v>
                </c:pt>
                <c:pt idx="27" formatCode="0.0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2-451E-8F77-9C4652A0ABD9}"/>
            </c:ext>
          </c:extLst>
        </c:ser>
        <c:ser>
          <c:idx val="4"/>
          <c:order val="4"/>
          <c:tx>
            <c:strRef>
              <c:f>'Litz Design tool for External C'!$F$1:$F$13</c:f>
              <c:strCache>
                <c:ptCount val="13"/>
                <c:pt idx="0">
                  <c:v>#N/A</c:v>
                </c:pt>
                <c:pt idx="1">
                  <c:v>Litz DC Resistance (IEC Method)</c:v>
                </c:pt>
                <c:pt idx="2">
                  <c:v>Total Wires:</c:v>
                </c:pt>
                <c:pt idx="3">
                  <c:v>Wire AWG:</c:v>
                </c:pt>
                <c:pt idx="4">
                  <c:v>Max DCR at 20°C (Ω/FT):</c:v>
                </c:pt>
                <c:pt idx="5">
                  <c:v>Max DCR at 20°C (Ω/mtr):</c:v>
                </c:pt>
                <c:pt idx="6">
                  <c:v>#N/A</c:v>
                </c:pt>
                <c:pt idx="7">
                  <c:v>#N/A</c:v>
                </c:pt>
                <c:pt idx="8">
                  <c:v>EQUIVALENT AWG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C'!$F$14:$F$42</c:f>
              <c:numCache>
                <c:formatCode>General</c:formatCode>
                <c:ptCount val="29"/>
                <c:pt idx="0">
                  <c:v>-10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2-451E-8F77-9C4652A0ABD9}"/>
            </c:ext>
          </c:extLst>
        </c:ser>
        <c:ser>
          <c:idx val="5"/>
          <c:order val="5"/>
          <c:tx>
            <c:strRef>
              <c:f>'Litz Design tool for External C'!$G$1:$G$13</c:f>
              <c:strCache>
                <c:ptCount val="13"/>
                <c:pt idx="0">
                  <c:v>#N/A</c:v>
                </c:pt>
                <c:pt idx="1">
                  <c:v>Litz DC Resistance (IEC Method)</c:v>
                </c:pt>
                <c:pt idx="2">
                  <c:v>Take Up Factor (DCR):</c:v>
                </c:pt>
                <c:pt idx="3">
                  <c:v>Wire Max DCR:</c:v>
                </c:pt>
                <c:pt idx="4">
                  <c:v>Max DCR at 20°C (Ω/FT):</c:v>
                </c:pt>
                <c:pt idx="5">
                  <c:v>Max DCR at 20°C (Ω/mtr):</c:v>
                </c:pt>
                <c:pt idx="6">
                  <c:v>#N/A</c:v>
                </c:pt>
                <c:pt idx="7">
                  <c:v>#N/A</c:v>
                </c:pt>
                <c:pt idx="8">
                  <c:v>EQUIVALENT AWG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C'!$G$14:$G$42</c:f>
              <c:numCache>
                <c:formatCode>General</c:formatCode>
                <c:ptCount val="29"/>
                <c:pt idx="0">
                  <c:v>-5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2-451E-8F77-9C4652A0ABD9}"/>
            </c:ext>
          </c:extLst>
        </c:ser>
        <c:ser>
          <c:idx val="6"/>
          <c:order val="6"/>
          <c:tx>
            <c:strRef>
              <c:f>'Litz Design tool for External C'!$H$1:$H$13</c:f>
              <c:strCache>
                <c:ptCount val="13"/>
                <c:pt idx="0">
                  <c:v>#N/A</c:v>
                </c:pt>
                <c:pt idx="1">
                  <c:v>Litz DC Resistance (IEC Method)</c:v>
                </c:pt>
                <c:pt idx="2">
                  <c:v>#N/A</c:v>
                </c:pt>
                <c:pt idx="3">
                  <c:v>Wire Max DCR:</c:v>
                </c:pt>
                <c:pt idx="4">
                  <c:v>Max DCR at 20°C (Ω/FT):</c:v>
                </c:pt>
                <c:pt idx="5">
                  <c:v>Max DCR at 20°C (Ω/mtr):</c:v>
                </c:pt>
                <c:pt idx="6">
                  <c:v>#N/A</c:v>
                </c:pt>
                <c:pt idx="7">
                  <c:v>#N/A</c:v>
                </c:pt>
                <c:pt idx="8">
                  <c:v>EQUIVALENT AWG</c:v>
                </c:pt>
                <c:pt idx="9">
                  <c:v>Total Copper Area (mm2)</c:v>
                </c:pt>
                <c:pt idx="10">
                  <c:v>#N/A</c:v>
                </c:pt>
                <c:pt idx="11">
                  <c:v>Requested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C'!$H$14:$H$42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</c:v>
                </c:pt>
                <c:pt idx="28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2-451E-8F77-9C4652A0ABD9}"/>
            </c:ext>
          </c:extLst>
        </c:ser>
        <c:ser>
          <c:idx val="7"/>
          <c:order val="7"/>
          <c:tx>
            <c:strRef>
              <c:f>'Litz Design tool for External C'!$I$1:$I$13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Up to 25 Wires:</c:v>
                </c:pt>
                <c:pt idx="3">
                  <c:v>More than 25 Wires:</c:v>
                </c:pt>
                <c:pt idx="4">
                  <c:v>Max DCR at 20°C (Ω/FT):</c:v>
                </c:pt>
                <c:pt idx="5">
                  <c:v>Max DCR at 20°C (Ω/mtr):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C'!$I$14:$I$42</c:f>
              <c:numCache>
                <c:formatCode>General</c:formatCode>
                <c:ptCount val="29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C2-451E-8F77-9C4652A0ABD9}"/>
            </c:ext>
          </c:extLst>
        </c:ser>
        <c:ser>
          <c:idx val="8"/>
          <c:order val="8"/>
          <c:tx>
            <c:strRef>
              <c:f>'Litz Design tool for External C'!$J$1:$J$13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Up to 25 Wires:</c:v>
                </c:pt>
                <c:pt idx="3">
                  <c:v>More than 25 Wires:</c:v>
                </c:pt>
                <c:pt idx="4">
                  <c:v>Max DCR at 20°C (Ω/FT):</c:v>
                </c:pt>
                <c:pt idx="5">
                  <c:v>Max DCR at 20°C (Ω/mtr):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C'!$J$14:$J$42</c:f>
              <c:numCache>
                <c:formatCode>General</c:formatCode>
                <c:ptCount val="29"/>
                <c:pt idx="0">
                  <c:v>10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C2-451E-8F77-9C4652A0ABD9}"/>
            </c:ext>
          </c:extLst>
        </c:ser>
        <c:ser>
          <c:idx val="9"/>
          <c:order val="9"/>
          <c:tx>
            <c:strRef>
              <c:f>'Litz Design tool for External C'!$K$1:$K$13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1.02</c:v>
                </c:pt>
                <c:pt idx="3">
                  <c:v>1.051</c:v>
                </c:pt>
                <c:pt idx="4">
                  <c:v>1.071</c:v>
                </c:pt>
                <c:pt idx="5">
                  <c:v>1.092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C'!$K$14:$K$42</c:f>
              <c:numCache>
                <c:formatCode>General</c:formatCode>
                <c:ptCount val="29"/>
                <c:pt idx="0">
                  <c:v>15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C2-451E-8F77-9C4652A0ABD9}"/>
            </c:ext>
          </c:extLst>
        </c:ser>
        <c:ser>
          <c:idx val="10"/>
          <c:order val="10"/>
          <c:tx>
            <c:strRef>
              <c:f>'Litz Design tool for External C'!$L$1:$L$13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1.02</c:v>
                </c:pt>
                <c:pt idx="3">
                  <c:v>if 1 operation</c:v>
                </c:pt>
                <c:pt idx="4">
                  <c:v>if 2 operations</c:v>
                </c:pt>
                <c:pt idx="5">
                  <c:v>if 3+ operations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C'!$L$14:$L$42</c:f>
              <c:numCache>
                <c:formatCode>General</c:formatCode>
                <c:ptCount val="29"/>
                <c:pt idx="0">
                  <c:v>20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3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</c:v>
                </c:pt>
                <c:pt idx="28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C2-451E-8F77-9C4652A0ABD9}"/>
            </c:ext>
          </c:extLst>
        </c:ser>
        <c:ser>
          <c:idx val="11"/>
          <c:order val="11"/>
          <c:tx>
            <c:strRef>
              <c:f>'Litz Design tool for External C'!$M$1:$M$13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1.02</c:v>
                </c:pt>
                <c:pt idx="3">
                  <c:v>if 1 operation</c:v>
                </c:pt>
                <c:pt idx="4">
                  <c:v>if 2 operations</c:v>
                </c:pt>
                <c:pt idx="5">
                  <c:v>if 3+ operations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C'!$M$14:$M$42</c:f>
              <c:numCache>
                <c:formatCode>General</c:formatCode>
                <c:ptCount val="29"/>
                <c:pt idx="0">
                  <c:v>25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C2-451E-8F77-9C4652A0ABD9}"/>
            </c:ext>
          </c:extLst>
        </c:ser>
        <c:ser>
          <c:idx val="12"/>
          <c:order val="12"/>
          <c:tx>
            <c:strRef>
              <c:f>'Litz Design tool for External C'!$N$1:$N$13</c:f>
              <c:strCache>
                <c:ptCount val="13"/>
                <c:pt idx="0">
                  <c:v>#N/A</c:v>
                </c:pt>
                <c:pt idx="1">
                  <c:v>Take Up Factors - DCR Resistance:</c:v>
                </c:pt>
                <c:pt idx="2">
                  <c:v>1.02</c:v>
                </c:pt>
                <c:pt idx="3">
                  <c:v>if 1 operation</c:v>
                </c:pt>
                <c:pt idx="4">
                  <c:v>if 2 operations</c:v>
                </c:pt>
                <c:pt idx="5">
                  <c:v>if 3+ operations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Possible</c:v>
                </c:pt>
                <c:pt idx="12">
                  <c:v># of strands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'Litz Design tool for External C'!$A$14:$A$42</c:f>
              <c:strCache>
                <c:ptCount val="20"/>
                <c:pt idx="0">
                  <c:v>Total # of strands</c:v>
                </c:pt>
                <c:pt idx="1">
                  <c:v>Divisible by 5?</c:v>
                </c:pt>
                <c:pt idx="2">
                  <c:v>Divisible by 3?</c:v>
                </c:pt>
                <c:pt idx="3">
                  <c:v>Divisible by 4?</c:v>
                </c:pt>
                <c:pt idx="4">
                  <c:v># of strands in 2nd to last operation</c:v>
                </c:pt>
                <c:pt idx="5">
                  <c:v>Divisible by 5?</c:v>
                </c:pt>
                <c:pt idx="6">
                  <c:v>Divisible by 3?</c:v>
                </c:pt>
                <c:pt idx="7">
                  <c:v>Divisible by 4?</c:v>
                </c:pt>
                <c:pt idx="8">
                  <c:v># of strands in 3rd to last operation</c:v>
                </c:pt>
                <c:pt idx="9">
                  <c:v>Divisible by 5?</c:v>
                </c:pt>
                <c:pt idx="10">
                  <c:v>Divisible by 3?</c:v>
                </c:pt>
                <c:pt idx="11">
                  <c:v>Divisible by 4?</c:v>
                </c:pt>
                <c:pt idx="12">
                  <c:v># of strands in 4th to last operation</c:v>
                </c:pt>
                <c:pt idx="13">
                  <c:v>Divisible by 5?</c:v>
                </c:pt>
                <c:pt idx="14">
                  <c:v>Divisible by 3?</c:v>
                </c:pt>
                <c:pt idx="15">
                  <c:v>Divisible by 4?</c:v>
                </c:pt>
                <c:pt idx="16">
                  <c:v># of strands in 5th to last operation</c:v>
                </c:pt>
                <c:pt idx="17">
                  <c:v># of strands in 1st operation</c:v>
                </c:pt>
                <c:pt idx="18">
                  <c:v>Valid # of strands in 1st operation?</c:v>
                </c:pt>
                <c:pt idx="19">
                  <c:v>Number of operations</c:v>
                </c:pt>
              </c:strCache>
            </c:strRef>
          </c:cat>
          <c:val>
            <c:numRef>
              <c:f>'Litz Design tool for External C'!$N$14:$N$42</c:f>
              <c:numCache>
                <c:formatCode>General</c:formatCode>
                <c:ptCount val="29"/>
                <c:pt idx="24">
                  <c:v>0</c:v>
                </c:pt>
                <c:pt idx="25" formatCode="0.000">
                  <c:v>#N/A</c:v>
                </c:pt>
                <c:pt idx="26" formatCode="0.000">
                  <c:v>#N/A</c:v>
                </c:pt>
                <c:pt idx="27" formatCode="0.00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CC2-451E-8F77-9C4652A0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313296"/>
        <c:axId val="391312576"/>
      </c:barChart>
      <c:catAx>
        <c:axId val="39131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2576"/>
        <c:crosses val="autoZero"/>
        <c:auto val="1"/>
        <c:lblAlgn val="ctr"/>
        <c:lblOffset val="100"/>
        <c:noMultiLvlLbl val="0"/>
      </c:catAx>
      <c:valAx>
        <c:axId val="3913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1A939BA4-E22B-4F75-B0D6-1260E2C415D8}">
  <sheetPr codeName="Chart1"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72286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7D7BA-1753-AA48-43BE-F1F4A93C2C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15240</xdr:colOff>
      <xdr:row>35</xdr:row>
      <xdr:rowOff>201931</xdr:rowOff>
    </xdr:from>
    <xdr:to>
      <xdr:col>0</xdr:col>
      <xdr:colOff>2335530</xdr:colOff>
      <xdr:row>63</xdr:row>
      <xdr:rowOff>0</xdr:rowOff>
    </xdr:to>
    <xdr:sp macro="[0]!SingleNoServeA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240" y="6878956"/>
          <a:ext cx="2320290" cy="5074919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400"/>
            <a:t>Email</a:t>
          </a:r>
          <a:r>
            <a:rPr lang="en-US" sz="4400" baseline="0%"/>
            <a:t> an</a:t>
          </a:r>
          <a:r>
            <a:rPr lang="en-US" sz="4400"/>
            <a:t> RFQ for a part</a:t>
          </a:r>
          <a:r>
            <a:rPr lang="en-US" sz="4400" baseline="0%"/>
            <a:t> to </a:t>
          </a:r>
          <a:r>
            <a:rPr lang="en-US" sz="4400"/>
            <a:t>Rubadue Sales</a:t>
          </a:r>
        </a:p>
      </xdr:txBody>
    </xdr:sp>
    <xdr:clientData/>
  </xdr:twoCellAnchor>
  <xdr:twoCellAnchor>
    <xdr:from>
      <xdr:col>0</xdr:col>
      <xdr:colOff>0</xdr:colOff>
      <xdr:row>68</xdr:row>
      <xdr:rowOff>137160</xdr:rowOff>
    </xdr:from>
    <xdr:to>
      <xdr:col>0</xdr:col>
      <xdr:colOff>2316480</xdr:colOff>
      <xdr:row>90</xdr:row>
      <xdr:rowOff>106680</xdr:rowOff>
    </xdr:to>
    <xdr:sp macro="[0]!SingleNoServeA" textlink="">
      <xdr:nvSpPr>
        <xdr:cNvPr id="7" name="Rectangle 6">
          <a:extLst>
            <a:ext uri="{FF2B5EF4-FFF2-40B4-BE49-F238E27FC236}">
              <a16:creationId xmlns:a16="http://schemas.microsoft.com/office/drawing/2014/main" id="{2C1A1ACC-29DF-4E57-869A-48B8880698C5}"/>
            </a:ext>
          </a:extLst>
        </xdr:cNvPr>
        <xdr:cNvSpPr/>
      </xdr:nvSpPr>
      <xdr:spPr>
        <a:xfrm>
          <a:off x="0" y="12412980"/>
          <a:ext cx="2316480" cy="3543300"/>
        </a:xfrm>
        <a:prstGeom prst="rect">
          <a:avLst/>
        </a:prstGeom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400"/>
            <a:t>Email</a:t>
          </a:r>
          <a:r>
            <a:rPr lang="en-US" sz="4400" baseline="0%"/>
            <a:t> an</a:t>
          </a:r>
          <a:r>
            <a:rPr lang="en-US" sz="4400"/>
            <a:t> RFQ for a part</a:t>
          </a:r>
          <a:r>
            <a:rPr lang="en-US" sz="4400" baseline="0%"/>
            <a:t> to </a:t>
          </a:r>
          <a:r>
            <a:rPr lang="en-US" sz="4400"/>
            <a:t>Rubadue Sales</a:t>
          </a:r>
        </a:p>
      </xdr:txBody>
    </xdr:sp>
    <xdr:clientData/>
  </xdr:twoCellAnchor>
  <xdr:twoCellAnchor>
    <xdr:from>
      <xdr:col>0</xdr:col>
      <xdr:colOff>19050</xdr:colOff>
      <xdr:row>0</xdr:row>
      <xdr:rowOff>85725</xdr:rowOff>
    </xdr:from>
    <xdr:to>
      <xdr:col>0</xdr:col>
      <xdr:colOff>2326005</xdr:colOff>
      <xdr:row>11</xdr:row>
      <xdr:rowOff>100965</xdr:rowOff>
    </xdr:to>
    <xdr:sp macro="[0]!GoToPreferredStrandSize" textlink="">
      <xdr:nvSpPr>
        <xdr:cNvPr id="5" name="Rectangle 4">
          <a:extLst>
            <a:ext uri="{FF2B5EF4-FFF2-40B4-BE49-F238E27FC236}">
              <a16:creationId xmlns:a16="http://schemas.microsoft.com/office/drawing/2014/main" id="{26142D4E-D90F-45D1-80DC-7680BC704899}"/>
            </a:ext>
          </a:extLst>
        </xdr:cNvPr>
        <xdr:cNvSpPr/>
      </xdr:nvSpPr>
      <xdr:spPr>
        <a:xfrm>
          <a:off x="19050" y="85725"/>
          <a:ext cx="2306955" cy="2091690"/>
        </a:xfrm>
        <a:prstGeom prst="rect">
          <a:avLst/>
        </a:prstGeom>
        <a:solidFill>
          <a:schemeClr val="accent2">
            <a:lumMod val="75%"/>
          </a:schemeClr>
        </a:solidFill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/>
            <a:t>Preferred Strand Size</a:t>
          </a:r>
          <a:r>
            <a:rPr lang="en-US" sz="4000" baseline="0%"/>
            <a:t> Chart</a:t>
          </a:r>
          <a:endParaRPr lang="en-US" sz="4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wireexpertsgroup-my.sharepoint.com/Users/thomas.schneider/OneDrive%20-%20Rubadue%20Wire/BOM%20Tools%20rev%202020-01-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https://rubaduewire-my.sharepoint.com/personal/thomas_schneider_rubadue_com/Documents/BOM%20Tools%20rev%202020-04-0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https://rubaduewire-my.sharepoint.com/personal/thomas_schneider_rubadue_com/Documents/Pricing%20Worksheet/2020-01-29%20Part%20Builder%20w%20Pricing%20rev5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Part Builder"/>
      <sheetName val="Part Builder (old)"/>
      <sheetName val="Part Builder (custom)"/>
      <sheetName val="Spools"/>
      <sheetName val="Spool Calc"/>
      <sheetName val="Avg Qty."/>
      <sheetName val="Run Speed"/>
      <sheetName val="Litz Calc"/>
      <sheetName val="Templates"/>
      <sheetName val="Other Calcs"/>
      <sheetName val="TCalc"/>
      <sheetName val="Tension Calc"/>
      <sheetName val="Core Wire"/>
      <sheetName val="Color Mix"/>
      <sheetName val="Ref"/>
      <sheetName val="Yarn Weight"/>
      <sheetName val="Lay Charts"/>
      <sheetName val="BOM Tools rev 2020-01-30"/>
    </sheetNames>
    <sheetDataSet>
      <sheetData sheetId="0"/>
      <sheetData sheetId="1"/>
      <sheetData sheetId="2"/>
      <sheetData sheetId="3"/>
      <sheetData sheetId="4">
        <row r="3">
          <cell r="E3">
            <v>7.6100000000000001E-2</v>
          </cell>
        </row>
        <row r="5">
          <cell r="E5">
            <v>1.2</v>
          </cell>
        </row>
        <row r="16">
          <cell r="D16">
            <v>11.75</v>
          </cell>
        </row>
        <row r="17">
          <cell r="D17">
            <v>7</v>
          </cell>
        </row>
        <row r="18">
          <cell r="D18">
            <v>6.5625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Part Builder"/>
      <sheetName val="Part Builder (old)"/>
      <sheetName val="Part Builder (custom) (2)"/>
      <sheetName val="Part Builder (custom)"/>
      <sheetName val="Spools"/>
      <sheetName val="Spool Calc"/>
      <sheetName val="Avg Qty."/>
      <sheetName val="Run Speed"/>
      <sheetName val="Litz Design"/>
      <sheetName val="Templates"/>
      <sheetName val="Other Calcs"/>
      <sheetName val="TCalc"/>
      <sheetName val="Tension Calc"/>
      <sheetName val="Wire Chart"/>
      <sheetName val="Core Wire"/>
      <sheetName val="Color Mix"/>
      <sheetName val="Yarn Weight"/>
      <sheetName val="Lay Charts"/>
      <sheetName val="Ref"/>
      <sheetName val="Litz Ref"/>
      <sheetName val="BOM Tools rev 2020-04-08"/>
    </sheetNames>
    <sheetDataSet>
      <sheetData sheetId="0"/>
      <sheetData sheetId="1"/>
      <sheetData sheetId="2"/>
      <sheetData sheetId="3"/>
      <sheetData sheetId="4"/>
      <sheetData sheetId="5">
        <row r="3">
          <cell r="E3">
            <v>9.4100000000000003E-2</v>
          </cell>
        </row>
        <row r="5">
          <cell r="E5">
            <v>0.75</v>
          </cell>
        </row>
        <row r="16">
          <cell r="D16">
            <v>11.75</v>
          </cell>
        </row>
        <row r="17">
          <cell r="D17">
            <v>7</v>
          </cell>
        </row>
        <row r="18">
          <cell r="D18">
            <v>6.5625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TODO"/>
      <sheetName val="Part Builder"/>
      <sheetName val="Part Builder (old)"/>
      <sheetName val="Run Speed"/>
      <sheetName val="Spool Calc"/>
      <sheetName val="Spool $"/>
      <sheetName val="Colorant"/>
      <sheetName val="Insl Cost"/>
      <sheetName val="Wire Cost"/>
      <sheetName val="Core Wire (old)"/>
      <sheetName val="Color Mix"/>
      <sheetName val="Ref"/>
    </sheetNames>
    <sheetDataSet>
      <sheetData sheetId="0"/>
      <sheetData sheetId="1">
        <row r="2">
          <cell r="C2" t="str">
            <v>32 (1) TPC</v>
          </cell>
        </row>
        <row r="3">
          <cell r="E3">
            <v>5.54</v>
          </cell>
          <cell r="F3">
            <v>0.19400000000000001</v>
          </cell>
          <cell r="G3">
            <v>7.9000000000000008E-3</v>
          </cell>
          <cell r="H3">
            <v>8.0000000000000002E-3</v>
          </cell>
          <cell r="I3">
            <v>8.3000000000000001E-3</v>
          </cell>
          <cell r="J3" t="str">
            <v>0.15414 - 0.17838</v>
          </cell>
        </row>
        <row r="7">
          <cell r="C7" t="str">
            <v>SIW</v>
          </cell>
        </row>
        <row r="8">
          <cell r="C8">
            <v>8.9999999999999993E-3</v>
          </cell>
          <cell r="G8">
            <v>8.9999999999999993E-3</v>
          </cell>
        </row>
        <row r="10">
          <cell r="C10" t="str">
            <v>FEP 9494X</v>
          </cell>
          <cell r="K10">
            <v>2.5999999999999999E-2</v>
          </cell>
        </row>
        <row r="11">
          <cell r="D11">
            <v>15.05</v>
          </cell>
          <cell r="H11">
            <v>2.15</v>
          </cell>
          <cell r="K11" t="str">
            <v>-</v>
          </cell>
        </row>
        <row r="12">
          <cell r="K12" t="str">
            <v>-</v>
          </cell>
        </row>
        <row r="13">
          <cell r="L13">
            <v>0.44339801270103091</v>
          </cell>
        </row>
        <row r="15">
          <cell r="C15" t="str">
            <v>FEP 9400 BLACK</v>
          </cell>
        </row>
        <row r="16">
          <cell r="I16">
            <v>0.98969072164948457</v>
          </cell>
        </row>
        <row r="17">
          <cell r="C17" t="str">
            <v>96:1</v>
          </cell>
          <cell r="I17">
            <v>0.44339801270103091</v>
          </cell>
          <cell r="J17">
            <v>4.618729298969072E-3</v>
          </cell>
        </row>
        <row r="18">
          <cell r="D18">
            <v>27</v>
          </cell>
        </row>
        <row r="20">
          <cell r="C20" t="str">
            <v>ETFE BLUE S.S. blended HM Free</v>
          </cell>
        </row>
        <row r="22">
          <cell r="C22" t="str">
            <v>14:1</v>
          </cell>
          <cell r="I22">
            <v>0</v>
          </cell>
          <cell r="J22">
            <v>0</v>
          </cell>
        </row>
        <row r="23">
          <cell r="D23">
            <v>43.09</v>
          </cell>
        </row>
        <row r="25">
          <cell r="C25" t="str">
            <v>S32A01F0-9</v>
          </cell>
          <cell r="I25" t="str">
            <v>FEP</v>
          </cell>
          <cell r="J25" t="str">
            <v>Black</v>
          </cell>
          <cell r="K25" t="str">
            <v>Blue</v>
          </cell>
        </row>
        <row r="26">
          <cell r="C26" t="str">
            <v>32 AWG (1) TPC SIW FEP @ .009" PER LAYER, BLACK</v>
          </cell>
          <cell r="E26">
            <v>2.5899999999999999E-2</v>
          </cell>
          <cell r="L26">
            <v>6.4201674199999999E-4</v>
          </cell>
        </row>
        <row r="27">
          <cell r="E27">
            <v>2.5999999999999999E-2</v>
          </cell>
          <cell r="L27">
            <v>0.64201674200000003</v>
          </cell>
        </row>
        <row r="28">
          <cell r="E28">
            <v>2.6299999999999997E-2</v>
          </cell>
        </row>
        <row r="42">
          <cell r="C42">
            <v>5000</v>
          </cell>
          <cell r="D42">
            <v>10000</v>
          </cell>
          <cell r="E42">
            <v>25000</v>
          </cell>
          <cell r="F42">
            <v>50000</v>
          </cell>
          <cell r="G42">
            <v>100000</v>
          </cell>
          <cell r="H42">
            <v>300000</v>
          </cell>
        </row>
        <row r="49">
          <cell r="K49" t="str">
            <v>6" SPOOL, BLK</v>
          </cell>
        </row>
        <row r="57">
          <cell r="K57">
            <v>0.4</v>
          </cell>
        </row>
      </sheetData>
      <sheetData sheetId="2"/>
      <sheetData sheetId="3"/>
      <sheetData sheetId="4">
        <row r="3">
          <cell r="E3">
            <v>2.5999999999999999E-2</v>
          </cell>
        </row>
        <row r="5">
          <cell r="E5">
            <v>1.1499999999999999</v>
          </cell>
        </row>
        <row r="6">
          <cell r="E6">
            <v>0.64201674200000003</v>
          </cell>
        </row>
        <row r="7">
          <cell r="E7">
            <v>19.825373869020815</v>
          </cell>
        </row>
        <row r="8">
          <cell r="E8">
            <v>30879.839375</v>
          </cell>
        </row>
        <row r="9">
          <cell r="E9">
            <v>0.4</v>
          </cell>
        </row>
        <row r="10">
          <cell r="E10">
            <v>12351.935750000001</v>
          </cell>
        </row>
        <row r="11">
          <cell r="E11">
            <v>7.9301495476083268</v>
          </cell>
        </row>
        <row r="16">
          <cell r="D16">
            <v>11.75</v>
          </cell>
        </row>
        <row r="17">
          <cell r="D17">
            <v>7</v>
          </cell>
        </row>
        <row r="18">
          <cell r="D18">
            <v>6.5625</v>
          </cell>
        </row>
        <row r="22">
          <cell r="D22">
            <v>268</v>
          </cell>
        </row>
        <row r="23">
          <cell r="D23">
            <v>55</v>
          </cell>
        </row>
        <row r="24">
          <cell r="D24">
            <v>2.09496875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7A3609C4-7921-4B31-92B1-E87007765584}" name="litzBARE11" displayName="litzBARE11" ref="A2:F41" totalsRowShown="0" headerRowDxfId="74" dataDxfId="72" headerRowBorderDxfId="73" tableBorderDxfId="71" headerRowCellStyle="Normal 2">
  <tableColumns count="6">
    <tableColumn id="1" xr3:uid="{160261AB-3351-4F60-8CBB-8EFB7EE366D3}" name="AWG" dataDxfId="70" dataCellStyle="Normal 2"/>
    <tableColumn id="6" xr3:uid="{F4CEB54F-5128-43F5-A6AE-821490EBC61D}" name="mm" dataDxfId="69" dataCellStyle="Normal 2">
      <calculatedColumnFormula>litzBARE11[[#This Row],[NOM BARE OD (in.)]]*25.4</calculatedColumnFormula>
    </tableColumn>
    <tableColumn id="3" xr3:uid="{136CCA98-2FF1-4622-BD23-CE217CA84008}" name="NOM BARE OD (in.)" dataDxfId="68"/>
    <tableColumn id="4" xr3:uid="{4DEF49A1-4529-4720-9164-B50AF0815910}" name="CMA Solid" dataDxfId="67">
      <calculatedColumnFormula>(C3*1000)^2</calculatedColumnFormula>
    </tableColumn>
    <tableColumn id="5" xr3:uid="{F3432D32-1EFA-4F13-83B7-992BC479D767}" name="Min CMA" dataDxfId="66"/>
    <tableColumn id="7" xr3:uid="{6EE4BC19-473A-4C02-BD5F-0B91AB03AF10}" name="Typical Operating Frequency" dataDxfId="65"/>
  </tableColumns>
  <tableStyleInfo name="TableStyleLight1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BD9C210A-CC3F-4486-B53A-6C11F1F16A17}" name="litzSINGLE" displayName="litzSINGLE" ref="F2:J41" totalsRowShown="0" headerRowDxfId="64" dataDxfId="62" headerRowBorderDxfId="63" tableBorderDxfId="61" headerRowCellStyle="Normal 2">
  <autoFilter ref="F2:J41" xr:uid="{674BF902-36B0-4C91-B07B-78C946E11E5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6CD824-BC55-453F-931E-4FB0BE7377EE}" name="AWG" dataDxfId="60" dataCellStyle="Normal 2"/>
    <tableColumn id="2" xr3:uid="{1DF08760-A1C8-41C3-B7B5-058F82D5BD6E}" name="MIN" dataDxfId="59" dataCellStyle="Normal 2"/>
    <tableColumn id="3" xr3:uid="{1150892D-5646-45E5-A687-2A6B5894C1DA}" name="NOM" dataDxfId="58" dataCellStyle="Normal 2"/>
    <tableColumn id="4" xr3:uid="{27D4040D-D853-466A-8FA4-D4B4752513C7}" name="MAX" dataDxfId="57" dataCellStyle="Normal 2"/>
    <tableColumn id="5" xr3:uid="{31A1A6A4-2C93-4BD1-B2C0-D312127A647B}" name="LBS/MFT" dataDxfId="56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332C8649-BCB6-499B-9BA4-A0F6894313EE}" name="litzHEAVY" displayName="litzHEAVY" ref="K2:O41" totalsRowShown="0" headerRowDxfId="55" dataDxfId="53" headerRowBorderDxfId="54" tableBorderDxfId="52">
  <autoFilter ref="K2:O41" xr:uid="{24204C5A-1DEF-4173-88A6-36F8ED6ED94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E33A97C-9D09-4C8A-8C1C-50FEEA8E1A1B}" name="AWG" dataDxfId="51" dataCellStyle="Normal 2"/>
    <tableColumn id="2" xr3:uid="{5BF443E6-4D9F-44ED-8157-26405D43F07A}" name="MIN" dataDxfId="50" dataCellStyle="Normal 2"/>
    <tableColumn id="3" xr3:uid="{B2E19A0C-73F6-4A1A-9BCB-2FF2F2CBEFA5}" name="NOM" dataDxfId="49" dataCellStyle="Normal 2"/>
    <tableColumn id="4" xr3:uid="{F7A04ED6-68E7-4281-A01B-DC6BFE2845F5}" name="MAX" dataDxfId="48" dataCellStyle="Normal 2"/>
    <tableColumn id="5" xr3:uid="{5B47B988-0832-4F31-BFCD-DF64FD361A50}" name="LBS/MFT" dataDxfId="47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97D9976A-F0E1-46FB-8B7E-EA3E7745B5BA}" name="litzTRIPLE" displayName="litzTRIPLE" ref="P2:T35" totalsRowShown="0" headerRowDxfId="46" dataDxfId="44" headerRowBorderDxfId="45" tableBorderDxfId="43" totalsRowBorderDxfId="42" headerRowCellStyle="Normal 2">
  <autoFilter ref="P2:T35" xr:uid="{46B64229-7899-4C63-A1FB-30C315BD28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639B531-6C9D-4AFB-99AC-615CA0394624}" name="AWG" dataDxfId="41" dataCellStyle="Normal 2"/>
    <tableColumn id="2" xr3:uid="{76755962-4381-41D9-AEDE-F514E777112C}" name="MIN" dataDxfId="40" dataCellStyle="Normal 2"/>
    <tableColumn id="3" xr3:uid="{4278B854-75F8-4FC3-B9F4-F158E0429FCD}" name="NOM" dataDxfId="39" dataCellStyle="Normal 2"/>
    <tableColumn id="4" xr3:uid="{8D449517-F1F1-4AD3-9F61-B2F047C48C90}" name="MAX" dataDxfId="38" dataCellStyle="Normal 2"/>
    <tableColumn id="5" xr3:uid="{E4635B44-B99B-4E82-BE1D-689521A4C588}" name="LBS/MFT" dataDxfId="37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6F78371C-88BF-4DE0-8A3A-9F9B9C386AC8}" name="litzQUAD" displayName="litzQUAD" ref="U2:Y35" totalsRowShown="0" headerRowDxfId="36" dataDxfId="34" headerRowBorderDxfId="35" tableBorderDxfId="33" totalsRowBorderDxfId="32" headerRowCellStyle="Normal 2">
  <autoFilter ref="U2:Y35" xr:uid="{87523F73-5FAC-4AF9-B89A-A2F291CBD57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9C004BB-D705-43CC-99D8-78FD7EAAFA29}" name="AWG" dataDxfId="31" dataCellStyle="Normal 2"/>
    <tableColumn id="2" xr3:uid="{93E3BEA6-46CE-4897-BC27-B8E49366CEBE}" name="MIN" dataDxfId="30" dataCellStyle="Normal 2"/>
    <tableColumn id="3" xr3:uid="{3C5E4B5B-8744-4BFE-827D-D87E3722EA99}" name="NOM" dataDxfId="29" dataCellStyle="Normal 2"/>
    <tableColumn id="4" xr3:uid="{FCAE1A88-E642-4662-AEAC-F23EF2011D97}" name="MAX" dataDxfId="28" dataCellStyle="Normal 2"/>
    <tableColumn id="5" xr3:uid="{D8BF922A-3C0C-4172-AC2A-EFE16D678DF7}" name="LBS/MFT" dataDxfId="27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3EB3022E-4309-4B98-99D3-D61D5B52D5BF}" name="litzBARE" displayName="litzBARE" ref="A2:E41" totalsRowShown="0" headerRowDxfId="26" dataDxfId="24" headerRowBorderDxfId="25" tableBorderDxfId="23" headerRowCellStyle="Normal 2">
  <autoFilter ref="A2:E41" xr:uid="{A294B291-850E-49D6-8758-94CC6A012BC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9FB15A-57B0-41DB-9195-58D3B03C4BF9}" name="AWG" dataDxfId="22" dataCellStyle="Normal 2"/>
    <tableColumn id="2" xr3:uid="{52FAE5DB-AAB2-4C0B-8EFC-DCD0C2047976}" name="Max DCR" dataDxfId="21"/>
    <tableColumn id="3" xr3:uid="{ED459D38-C021-4664-8430-55A1892A83CC}" name="BARE OD" dataDxfId="20"/>
    <tableColumn id="4" xr3:uid="{394C1CB0-E496-4027-9A2B-3CA07E523A20}" name="CMA Solid" dataDxfId="19">
      <calculatedColumnFormula>(C3*1000)^2</calculatedColumnFormula>
    </tableColumn>
    <tableColumn id="5" xr3:uid="{11CF5FCF-53F8-48A1-BEB8-DD58269200F9}" name="Min Litz CMA" dataDxfId="18"/>
  </tableColumns>
  <tableStyleInfo name="TableStyleLight1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5EF96A53-150F-43DA-80CC-697B423A2C0B}" name="awg_Solid" displayName="awg_Solid" ref="A4:E64" totalsRowShown="0" headerRowDxfId="17" dataDxfId="15" headerRowBorderDxfId="16" tableBorderDxfId="14" totalsRowBorderDxfId="13">
  <autoFilter ref="A4:E64" xr:uid="{ED9B9649-BBF9-47C2-B3EB-486A12B74FC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368B28A-8CF3-4050-B6F7-8F8B761A1412}" name="AWG" dataDxfId="12"/>
    <tableColumn id="2" xr3:uid="{6370FF73-47FB-4B53-9E56-0C1A7C7B5B28}" name="Nom Dia. (in.)" dataDxfId="11"/>
    <tableColumn id="4" xr3:uid="{535EFB4C-BBBB-49C8-BC1B-ED923FA363C5}" name="Nom Dia. (mm)" dataDxfId="10">
      <calculatedColumnFormula>awg_Solid[[#This Row],[Nom Dia. (in.)]]*25.4</calculatedColumnFormula>
    </tableColumn>
    <tableColumn id="3" xr3:uid="{ABA4382D-CFA3-41ED-BADF-5D63159FFF89}" name="Nom CMA" dataDxfId="9"/>
    <tableColumn id="5" xr3:uid="{CF6B68F5-6CF3-4AC4-8F61-C1B8CD96DA3D}" name="Nom mm2" dataDxfId="8">
      <calculatedColumnFormula>awg_Solid[[#This Row],[Nom CMA]]/1973.52524139</calculatedColumnFormula>
    </tableColumn>
  </tableColumns>
  <tableStyleInfo name="TableStyleLight1" showFirstColumn="1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4" xr:uid="{C3B936F7-90B4-4312-8D7A-055D5895429B}" name="awg_Stranded" displayName="awg_Stranded" ref="F4:H64" totalsRowShown="0" headerRowDxfId="7" dataDxfId="5" headerRowBorderDxfId="6" tableBorderDxfId="4" totalsRowBorderDxfId="3">
  <autoFilter ref="F4:H64" xr:uid="{480FCA8F-4371-4EBC-855C-44D7BC2ECCD0}">
    <filterColumn colId="0" hiddenButton="1"/>
    <filterColumn colId="1" hiddenButton="1"/>
    <filterColumn colId="2" hiddenButton="1"/>
  </autoFilter>
  <tableColumns count="3">
    <tableColumn id="1" xr3:uid="{32F77F41-2A6C-4F10-8F1A-9163E12EE321}" name="AWG" dataDxfId="2"/>
    <tableColumn id="2" xr3:uid="{63A1B10A-6F44-415E-90D1-647D7FE09361}" name="Nom CMA" dataDxfId="1"/>
    <tableColumn id="3" xr3:uid="{9C49E85C-5E4F-42E8-AF1D-81A2C7611FE7}" name="Min CMA" dataDxfId="0"/>
  </tableColumns>
  <tableStyleInfo name="TableStyleLight1" showFirstColumn="1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table" Target="../tables/table3.xml"/><Relationship Id="rId2" Type="http://purl.oclc.org/ooxml/officeDocument/relationships/table" Target="../tables/table2.xml"/><Relationship Id="rId1" Type="http://purl.oclc.org/ooxml/officeDocument/relationships/printerSettings" Target="../printerSettings/printerSettings3.bin"/><Relationship Id="rId6" Type="http://purl.oclc.org/ooxml/officeDocument/relationships/table" Target="../tables/table6.xml"/><Relationship Id="rId5" Type="http://purl.oclc.org/ooxml/officeDocument/relationships/table" Target="../tables/table5.xml"/><Relationship Id="rId4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table" Target="../tables/table8.xml"/><Relationship Id="rId2" Type="http://purl.oclc.org/ooxml/officeDocument/relationships/table" Target="../tables/table7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CC1C-273E-48B4-A392-53B9335EC4F2}">
  <sheetPr codeName="Sheet1"/>
  <dimension ref="A1:V92"/>
  <sheetViews>
    <sheetView showFormulas="1" tabSelected="1" workbookViewId="0">
      <selection activeCell="O10" sqref="A1:XFD1048576"/>
    </sheetView>
  </sheetViews>
  <sheetFormatPr defaultRowHeight="15" x14ac:dyDescent="0.25"/>
  <cols>
    <col min="1" max="1" width="34.42578125" customWidth="1"/>
    <col min="2" max="10" width="12.140625" customWidth="1"/>
    <col min="11" max="11" width="10.5703125" customWidth="1"/>
    <col min="12" max="12" width="13.140625" customWidth="1"/>
    <col min="13" max="13" width="12.85546875" customWidth="1"/>
    <col min="14" max="14" width="13.42578125" customWidth="1"/>
    <col min="15" max="15" width="12.5703125" customWidth="1"/>
    <col min="16" max="16" width="20" customWidth="1"/>
    <col min="17" max="17" width="28.28515625" bestFit="1" customWidth="1"/>
    <col min="18" max="18" width="14.28515625" bestFit="1" customWidth="1"/>
    <col min="19" max="20" width="13.28515625" bestFit="1" customWidth="1"/>
  </cols>
  <sheetData>
    <row r="1" spans="1:22" ht="15.75" thickBot="1" x14ac:dyDescent="0.3">
      <c r="B1" s="189" t="e">
        <f>IF(AND(D9&gt;4807,D5=1,D4&gt;8),"CONSULT RUBADUE ENGINEERING WITH RESPECT TO THIS CONSTRUCTION.","")</f>
        <v>#N/A</v>
      </c>
      <c r="V1" t="s">
        <v>154</v>
      </c>
    </row>
    <row r="2" spans="1:22" ht="15.75" thickBot="1" x14ac:dyDescent="0.3">
      <c r="B2" s="501" t="s">
        <v>14</v>
      </c>
      <c r="C2" s="502"/>
      <c r="D2" s="503"/>
      <c r="E2" s="289"/>
      <c r="F2" s="501" t="s">
        <v>15</v>
      </c>
      <c r="G2" s="502"/>
      <c r="H2" s="509"/>
      <c r="I2" s="501" t="s">
        <v>16</v>
      </c>
      <c r="J2" s="502"/>
      <c r="K2" s="502"/>
      <c r="L2" s="502"/>
      <c r="M2" s="502"/>
      <c r="N2" s="509"/>
      <c r="V2" t="s">
        <v>88</v>
      </c>
    </row>
    <row r="3" spans="1:22" x14ac:dyDescent="0.25">
      <c r="B3" s="497" t="s">
        <v>20</v>
      </c>
      <c r="C3" s="498"/>
      <c r="D3" s="127"/>
      <c r="E3" s="289"/>
      <c r="F3" s="111"/>
      <c r="G3" s="288" t="s">
        <v>21</v>
      </c>
      <c r="H3" s="127" t="e">
        <f>IF(D5="","",IF(D3&lt;26,K3,IF(D5=1,K4,IF(D5=2,K5,K6))))</f>
        <v>#N/A</v>
      </c>
      <c r="I3" s="559" t="s">
        <v>22</v>
      </c>
      <c r="J3" s="560"/>
      <c r="K3" s="84">
        <v>1.02</v>
      </c>
      <c r="L3" s="85"/>
      <c r="M3" s="85"/>
      <c r="N3" s="86"/>
      <c r="V3" t="s">
        <v>89</v>
      </c>
    </row>
    <row r="4" spans="1:22" x14ac:dyDescent="0.25">
      <c r="B4" s="504" t="s">
        <v>24</v>
      </c>
      <c r="C4" s="505"/>
      <c r="D4" s="128"/>
      <c r="E4" s="289"/>
      <c r="F4" s="112"/>
      <c r="G4" s="147" t="s">
        <v>25</v>
      </c>
      <c r="H4" s="117" t="str">
        <f>IFERROR(INDEX(litzBARE[#Data],MATCH(D4,litzBARE[AWG],0),MATCH("MAX DCR",litzBARE[#Headers],0)),"")</f>
        <v/>
      </c>
      <c r="I4" s="561" t="s">
        <v>26</v>
      </c>
      <c r="J4" s="562"/>
      <c r="K4" s="89">
        <v>1.0509999999999999</v>
      </c>
      <c r="L4" s="90" t="s">
        <v>27</v>
      </c>
      <c r="M4" s="90"/>
      <c r="N4" s="91"/>
    </row>
    <row r="5" spans="1:22" x14ac:dyDescent="0.25">
      <c r="B5" s="147"/>
      <c r="C5" s="148" t="s">
        <v>90</v>
      </c>
      <c r="D5" s="182" t="e">
        <f>H33</f>
        <v>#N/A</v>
      </c>
      <c r="E5" s="289"/>
      <c r="F5" s="504" t="s">
        <v>182</v>
      </c>
      <c r="G5" s="505"/>
      <c r="H5" s="124" t="str">
        <f>IFERROR(((H4/D3)*H3)/1000,"")</f>
        <v/>
      </c>
      <c r="I5" s="113"/>
      <c r="J5" s="114"/>
      <c r="K5" s="89">
        <v>1.071</v>
      </c>
      <c r="L5" s="90" t="s">
        <v>30</v>
      </c>
      <c r="M5" s="90"/>
      <c r="N5" s="91"/>
    </row>
    <row r="6" spans="1:22" ht="15.75" thickBot="1" x14ac:dyDescent="0.3">
      <c r="B6" s="147"/>
      <c r="C6" s="148" t="s">
        <v>87</v>
      </c>
      <c r="D6" s="128" t="e">
        <f>IF(H33=1,"Type 1",IF(AND(D4&lt;32,D3&gt;M10),"Type 2","Select Type"))</f>
        <v>#N/A</v>
      </c>
      <c r="E6" s="289"/>
      <c r="F6" s="499" t="s">
        <v>181</v>
      </c>
      <c r="G6" s="500"/>
      <c r="H6" s="125" t="str">
        <f>IFERROR(H5/0.3048,"")</f>
        <v/>
      </c>
      <c r="I6" s="115"/>
      <c r="J6" s="116"/>
      <c r="K6" s="94">
        <v>1.0920000000000001</v>
      </c>
      <c r="L6" s="95" t="s">
        <v>33</v>
      </c>
      <c r="M6" s="95"/>
      <c r="N6" s="96"/>
    </row>
    <row r="7" spans="1:22" ht="15.75" thickBot="1" x14ac:dyDescent="0.3">
      <c r="B7" s="504" t="s">
        <v>29</v>
      </c>
      <c r="C7" s="505"/>
      <c r="D7" s="418" t="e">
        <f>IF(D6="","SELECT LITZ TYPE",IF(D6="Type 1",VLOOKUP(D5,TYPE1,4,0),IF(AND(D5=4,D6="TYPE 2",D4&lt;44),1.363,VLOOKUP(D5,TYPE2,4,0))))</f>
        <v>#N/A</v>
      </c>
      <c r="E7" s="426" t="e">
        <f>IF(AND(D5&gt;3,D6="Type 1"),"PLEASE CONSULT RUBADUE ENGINEERING FOR TYPE 1 LITZ CONSTRUCTIONS REQUIRING 4+ OPERATIONS.","")</f>
        <v>#N/A</v>
      </c>
      <c r="F7" s="83"/>
      <c r="G7" s="83"/>
      <c r="H7" s="83"/>
    </row>
    <row r="8" spans="1:22" ht="15.75" thickBot="1" x14ac:dyDescent="0.3">
      <c r="B8" s="499" t="s">
        <v>32</v>
      </c>
      <c r="C8" s="500"/>
      <c r="D8" s="419" t="e">
        <f>IF(D6="","SELECT LITZ TYPE",IF(D6="Type 1",VLOOKUP(D5,TYPE1,5,0),VLOOKUP(D5,TYPE2,5,0)))</f>
        <v>#N/A</v>
      </c>
      <c r="E8" s="426" t="e">
        <f>IF(AND(D5&gt;3,D6="Type 1"),"PLEASE CONSULT RUBADUE ENGINEERING FOR TYPE 1 LITZ CONSTRUCTIONS REQUIRING 4+ OPERATIONS.","")</f>
        <v>#N/A</v>
      </c>
      <c r="F8" s="83"/>
      <c r="G8" s="83"/>
      <c r="H8" s="83"/>
      <c r="Q8" s="157" t="s">
        <v>84</v>
      </c>
      <c r="R8" s="158" t="s">
        <v>17</v>
      </c>
      <c r="S8" s="159" t="s">
        <v>18</v>
      </c>
      <c r="T8" s="110" t="s">
        <v>19</v>
      </c>
    </row>
    <row r="9" spans="1:22" x14ac:dyDescent="0.25">
      <c r="B9" s="497" t="s">
        <v>35</v>
      </c>
      <c r="C9" s="498"/>
      <c r="D9" s="478" t="str">
        <f>IFERROR(INDEX(litzBARE[#Data],MATCH(D4,litzBARE[AWG],0),MATCH("CMA SOLID",litzBARE[#Headers],0))*$D$3,"")</f>
        <v/>
      </c>
      <c r="E9" s="308"/>
      <c r="F9" s="569" t="s">
        <v>64</v>
      </c>
      <c r="G9" s="570"/>
      <c r="H9" s="83"/>
      <c r="I9" s="563" t="e">
        <f>"Default Litz Construction - "&amp;D6</f>
        <v>#N/A</v>
      </c>
      <c r="J9" s="564"/>
      <c r="K9" s="565"/>
      <c r="Q9" s="121" t="s">
        <v>23</v>
      </c>
      <c r="R9" s="104" t="s">
        <v>80</v>
      </c>
      <c r="S9" s="105">
        <v>1.155</v>
      </c>
      <c r="T9" s="494">
        <v>1.01</v>
      </c>
    </row>
    <row r="10" spans="1:22" ht="18" thickBot="1" x14ac:dyDescent="0.3">
      <c r="B10" s="499" t="s">
        <v>65</v>
      </c>
      <c r="C10" s="500"/>
      <c r="D10" s="118" t="str">
        <f>IFERROR($D$9*0.000506707,"")</f>
        <v/>
      </c>
      <c r="E10" s="308"/>
      <c r="F10" s="571" t="str">
        <f>IFERROR(IF((INDEX(awg_Stranded[],MATCH(D9,awg_Stranded[Min CMA],-1),1)+1)&gt;50,"",(INDEX(awg_Stranded[],MATCH(D9,awg_Stranded[Min CMA],-1),1)+1)&amp;" AWG"),"")</f>
        <v/>
      </c>
      <c r="G10" s="572"/>
      <c r="I10" s="566" t="e">
        <f>IF(H33=1,Q25,IF(D6="Type 1",VLOOKUP(D5,P25:Q27,2,0),VLOOKUP(D5,P28:Q32,2,0)))</f>
        <v>#N/A</v>
      </c>
      <c r="J10" s="567"/>
      <c r="K10" s="568"/>
      <c r="M10" s="126" t="e">
        <f>VLOOKUP(D4,MAXENDS,2,0)</f>
        <v>#N/A</v>
      </c>
      <c r="Q10" s="120" t="s">
        <v>28</v>
      </c>
      <c r="R10" s="92" t="s">
        <v>81</v>
      </c>
      <c r="S10" s="93">
        <v>1.155</v>
      </c>
      <c r="T10" s="496"/>
    </row>
    <row r="11" spans="1:22" ht="15.75" thickBot="1" x14ac:dyDescent="0.3">
      <c r="B11" s="189" t="e">
        <f>IF(AND(D9&gt;4807,D5=1,D4&gt;8),"CONSULT RUBADUE ENGINEERING WITH RESPECT TO THIS CONSTRUCTION.","")</f>
        <v>#N/A</v>
      </c>
      <c r="Q11" s="119" t="s">
        <v>31</v>
      </c>
      <c r="R11" s="87" t="s">
        <v>80</v>
      </c>
      <c r="S11" s="88">
        <v>1.236</v>
      </c>
      <c r="T11" s="494">
        <v>1.03</v>
      </c>
    </row>
    <row r="12" spans="1:22" ht="15.75" thickBot="1" x14ac:dyDescent="0.3">
      <c r="B12" s="394" t="s">
        <v>68</v>
      </c>
      <c r="C12" s="131" t="s">
        <v>68</v>
      </c>
      <c r="D12" s="131" t="s">
        <v>68</v>
      </c>
      <c r="E12" s="131" t="s">
        <v>68</v>
      </c>
      <c r="F12" s="131" t="s">
        <v>68</v>
      </c>
      <c r="G12" s="131" t="s">
        <v>68</v>
      </c>
      <c r="H12" s="183" t="s">
        <v>66</v>
      </c>
      <c r="I12" s="131" t="s">
        <v>68</v>
      </c>
      <c r="J12" s="131" t="s">
        <v>68</v>
      </c>
      <c r="K12" s="131" t="s">
        <v>68</v>
      </c>
      <c r="L12" s="131" t="s">
        <v>68</v>
      </c>
      <c r="M12" s="132" t="s">
        <v>68</v>
      </c>
      <c r="N12" s="154"/>
      <c r="O12" s="154"/>
      <c r="Q12" s="120" t="s">
        <v>34</v>
      </c>
      <c r="R12" s="92" t="s">
        <v>81</v>
      </c>
      <c r="S12" s="93">
        <v>1.236</v>
      </c>
      <c r="T12" s="496"/>
    </row>
    <row r="13" spans="1:22" ht="15.75" thickBot="1" x14ac:dyDescent="0.3">
      <c r="B13" s="395" t="s">
        <v>67</v>
      </c>
      <c r="C13" s="287" t="s">
        <v>67</v>
      </c>
      <c r="D13" s="287" t="s">
        <v>67</v>
      </c>
      <c r="E13" s="287" t="s">
        <v>67</v>
      </c>
      <c r="F13" s="287" t="s">
        <v>67</v>
      </c>
      <c r="G13" s="287" t="s">
        <v>67</v>
      </c>
      <c r="H13" s="184" t="s">
        <v>67</v>
      </c>
      <c r="I13" s="287" t="s">
        <v>67</v>
      </c>
      <c r="J13" s="287" t="s">
        <v>67</v>
      </c>
      <c r="K13" s="287" t="s">
        <v>67</v>
      </c>
      <c r="L13" s="287" t="s">
        <v>67</v>
      </c>
      <c r="M13" s="134" t="s">
        <v>67</v>
      </c>
      <c r="N13" s="154"/>
      <c r="O13" s="154"/>
      <c r="Q13" s="506" t="s">
        <v>36</v>
      </c>
      <c r="R13" s="97" t="s">
        <v>82</v>
      </c>
      <c r="S13" s="98">
        <v>1.2709999999999999</v>
      </c>
      <c r="T13" s="494">
        <v>1.0509999999999999</v>
      </c>
    </row>
    <row r="14" spans="1:22" x14ac:dyDescent="0.25">
      <c r="A14" s="130" t="s">
        <v>76</v>
      </c>
      <c r="B14" s="131">
        <f t="shared" ref="B14:E14" si="0">C14-5</f>
        <v>-30</v>
      </c>
      <c r="C14" s="131">
        <f t="shared" si="0"/>
        <v>-25</v>
      </c>
      <c r="D14" s="131">
        <f t="shared" si="0"/>
        <v>-20</v>
      </c>
      <c r="E14" s="131">
        <f t="shared" si="0"/>
        <v>-15</v>
      </c>
      <c r="F14" s="131">
        <f>G14-5</f>
        <v>-10</v>
      </c>
      <c r="G14" s="131">
        <f>IF(MOD(H14,5)=0,H14-5,ROUNDDOWN(H14,-1)+5)</f>
        <v>-5</v>
      </c>
      <c r="H14" s="185">
        <f>D3</f>
        <v>0</v>
      </c>
      <c r="I14" s="131">
        <f>IF(MOD(H14,5)=0,H14+5,ROUNDUP(H14,-1))</f>
        <v>5</v>
      </c>
      <c r="J14" s="131">
        <f>IF(MOD(I14,5)=0,I14+5,ROUNDUP(I14,-1))</f>
        <v>10</v>
      </c>
      <c r="K14" s="131">
        <f>J14+5</f>
        <v>15</v>
      </c>
      <c r="L14" s="131">
        <f>K14+5</f>
        <v>20</v>
      </c>
      <c r="M14" s="132">
        <f>L14+5</f>
        <v>25</v>
      </c>
      <c r="N14" s="154"/>
      <c r="O14" s="154"/>
      <c r="Q14" s="507"/>
      <c r="R14" s="100" t="s">
        <v>37</v>
      </c>
      <c r="S14" s="101">
        <v>1.3280000000000001</v>
      </c>
      <c r="T14" s="495"/>
    </row>
    <row r="15" spans="1:22" ht="15.75" thickBot="1" x14ac:dyDescent="0.3">
      <c r="A15" s="135" t="s">
        <v>69</v>
      </c>
      <c r="B15" s="140" t="b">
        <f t="shared" ref="B15:E15" si="1">IFERROR(MOD(B14,5)=0,"")</f>
        <v>1</v>
      </c>
      <c r="C15" s="140" t="b">
        <f t="shared" si="1"/>
        <v>1</v>
      </c>
      <c r="D15" s="140" t="b">
        <f t="shared" si="1"/>
        <v>1</v>
      </c>
      <c r="E15" s="140" t="b">
        <f t="shared" si="1"/>
        <v>1</v>
      </c>
      <c r="F15" s="140" t="b">
        <f t="shared" ref="F15" si="2">IFERROR(MOD(F14,5)=0,"")</f>
        <v>1</v>
      </c>
      <c r="G15" s="140" t="b">
        <f t="shared" ref="G15" si="3">IFERROR(MOD(G14,5)=0,"")</f>
        <v>1</v>
      </c>
      <c r="H15" s="186" t="b">
        <f t="shared" ref="H15" si="4">IFERROR(MOD(H14,5)=0,"")</f>
        <v>1</v>
      </c>
      <c r="I15" s="140" t="b">
        <f t="shared" ref="I15:J15" si="5">IFERROR(MOD(I14,5)=0,"")</f>
        <v>1</v>
      </c>
      <c r="J15" s="140" t="b">
        <f t="shared" si="5"/>
        <v>1</v>
      </c>
      <c r="K15" s="140" t="b">
        <f t="shared" ref="K15" si="6">IFERROR(MOD(K14,5)=0,"")</f>
        <v>1</v>
      </c>
      <c r="L15" s="140" t="b">
        <f t="shared" ref="L15" si="7">IFERROR(MOD(L14,5)=0,"")</f>
        <v>1</v>
      </c>
      <c r="M15" s="142" t="b">
        <f t="shared" ref="M15" si="8">IFERROR(MOD(M14,5)=0,"")</f>
        <v>1</v>
      </c>
      <c r="N15" s="154"/>
      <c r="O15" s="154"/>
      <c r="Q15" s="508"/>
      <c r="R15" s="102" t="s">
        <v>38</v>
      </c>
      <c r="S15" s="103">
        <v>1.3979999999999999</v>
      </c>
      <c r="T15" s="496"/>
    </row>
    <row r="16" spans="1:22" x14ac:dyDescent="0.25">
      <c r="A16" s="135" t="s">
        <v>70</v>
      </c>
      <c r="B16" s="140" t="b">
        <f t="shared" ref="B16:E16" si="9">MOD(B14,3)=0</f>
        <v>1</v>
      </c>
      <c r="C16" s="140" t="b">
        <f t="shared" si="9"/>
        <v>0</v>
      </c>
      <c r="D16" s="140" t="b">
        <f t="shared" si="9"/>
        <v>0</v>
      </c>
      <c r="E16" s="140" t="b">
        <f t="shared" si="9"/>
        <v>1</v>
      </c>
      <c r="F16" s="140" t="b">
        <f t="shared" ref="F16:M16" si="10">MOD(F14,3)=0</f>
        <v>0</v>
      </c>
      <c r="G16" s="140" t="b">
        <f t="shared" ref="G16:I16" si="11">MOD(G14,3)=0</f>
        <v>0</v>
      </c>
      <c r="H16" s="186" t="b">
        <f t="shared" si="11"/>
        <v>1</v>
      </c>
      <c r="I16" s="140" t="b">
        <f t="shared" si="11"/>
        <v>0</v>
      </c>
      <c r="J16" s="140" t="b">
        <f t="shared" si="10"/>
        <v>0</v>
      </c>
      <c r="K16" s="140" t="b">
        <f t="shared" si="10"/>
        <v>1</v>
      </c>
      <c r="L16" s="140" t="b">
        <f t="shared" si="10"/>
        <v>0</v>
      </c>
      <c r="M16" s="142" t="b">
        <f t="shared" si="10"/>
        <v>0</v>
      </c>
      <c r="N16" s="154"/>
      <c r="O16" s="154"/>
      <c r="Q16" s="506" t="s">
        <v>39</v>
      </c>
      <c r="R16" s="97" t="s">
        <v>82</v>
      </c>
      <c r="S16" s="98">
        <v>1.2709999999999999</v>
      </c>
      <c r="T16" s="494">
        <v>1.0509999999999999</v>
      </c>
    </row>
    <row r="17" spans="1:20" ht="15.75" thickBot="1" x14ac:dyDescent="0.3">
      <c r="A17" s="136" t="s">
        <v>71</v>
      </c>
      <c r="B17" s="141" t="b">
        <f t="shared" ref="B17:E17" si="12">MOD(B14,4)=0</f>
        <v>0</v>
      </c>
      <c r="C17" s="141" t="b">
        <f t="shared" si="12"/>
        <v>0</v>
      </c>
      <c r="D17" s="141" t="b">
        <f t="shared" si="12"/>
        <v>1</v>
      </c>
      <c r="E17" s="141" t="b">
        <f t="shared" si="12"/>
        <v>0</v>
      </c>
      <c r="F17" s="141" t="b">
        <f t="shared" ref="F17:M17" si="13">MOD(F14,4)=0</f>
        <v>0</v>
      </c>
      <c r="G17" s="141" t="b">
        <f t="shared" ref="G17:I17" si="14">MOD(G14,4)=0</f>
        <v>0</v>
      </c>
      <c r="H17" s="187" t="b">
        <f t="shared" si="14"/>
        <v>1</v>
      </c>
      <c r="I17" s="141" t="b">
        <f t="shared" si="14"/>
        <v>0</v>
      </c>
      <c r="J17" s="141" t="b">
        <f t="shared" si="13"/>
        <v>0</v>
      </c>
      <c r="K17" s="141" t="b">
        <f t="shared" si="13"/>
        <v>0</v>
      </c>
      <c r="L17" s="141" t="b">
        <f t="shared" si="13"/>
        <v>1</v>
      </c>
      <c r="M17" s="143" t="b">
        <f t="shared" si="13"/>
        <v>0</v>
      </c>
      <c r="N17" s="154"/>
      <c r="O17" s="154"/>
      <c r="Q17" s="508"/>
      <c r="R17" s="102" t="s">
        <v>37</v>
      </c>
      <c r="S17" s="103">
        <v>1.363</v>
      </c>
      <c r="T17" s="496"/>
    </row>
    <row r="18" spans="1:20" x14ac:dyDescent="0.25">
      <c r="A18" s="130" t="s">
        <v>72</v>
      </c>
      <c r="B18" s="131" t="e">
        <f t="shared" ref="B18:M18" si="15">IF($D4&lt;49,IF(B14&gt;NOOFENDSMAX,IF(B15=TRUE,B14/5,IF(B16=TRUE,B14/3,IF(B17=TRUE,B14/4,"N/A"))),"N/A"),IF(B14&lt;21,"N/A",IF(AND(B15=TRUE,B14/5&gt;9),B14/5,IF(AND(B16=TRUE,B14/3&gt;9),B14/3,IF(AND(B17=TRUE,B14/4&gt;9),B14/4,"N/A")))))</f>
        <v>#N/A</v>
      </c>
      <c r="C18" s="131" t="e">
        <f t="shared" si="15"/>
        <v>#N/A</v>
      </c>
      <c r="D18" s="131" t="e">
        <f t="shared" si="15"/>
        <v>#N/A</v>
      </c>
      <c r="E18" s="131" t="e">
        <f t="shared" si="15"/>
        <v>#N/A</v>
      </c>
      <c r="F18" s="131" t="e">
        <f t="shared" si="15"/>
        <v>#N/A</v>
      </c>
      <c r="G18" s="131" t="e">
        <f t="shared" si="15"/>
        <v>#N/A</v>
      </c>
      <c r="H18" s="485" t="e">
        <f t="shared" si="15"/>
        <v>#N/A</v>
      </c>
      <c r="I18" s="131" t="e">
        <f t="shared" si="15"/>
        <v>#N/A</v>
      </c>
      <c r="J18" s="131" t="e">
        <f t="shared" si="15"/>
        <v>#N/A</v>
      </c>
      <c r="K18" s="131" t="e">
        <f t="shared" si="15"/>
        <v>#N/A</v>
      </c>
      <c r="L18" s="131" t="e">
        <f t="shared" si="15"/>
        <v>#N/A</v>
      </c>
      <c r="M18" s="132" t="e">
        <f t="shared" si="15"/>
        <v>#N/A</v>
      </c>
      <c r="N18" s="154"/>
      <c r="O18" s="154"/>
      <c r="Q18" s="506" t="s">
        <v>42</v>
      </c>
      <c r="R18" s="100" t="s">
        <v>82</v>
      </c>
      <c r="S18" s="101">
        <v>1.2709999999999999</v>
      </c>
      <c r="T18" s="494">
        <v>1.0820000000000001</v>
      </c>
    </row>
    <row r="19" spans="1:20" x14ac:dyDescent="0.25">
      <c r="A19" s="135" t="s">
        <v>69</v>
      </c>
      <c r="B19" s="140" t="e">
        <f t="shared" ref="B19:E19" si="16">IF(B18="N/A","",IFERROR(MOD(B18,5)=0,""))</f>
        <v>#N/A</v>
      </c>
      <c r="C19" s="140" t="e">
        <f t="shared" si="16"/>
        <v>#N/A</v>
      </c>
      <c r="D19" s="140" t="e">
        <f t="shared" si="16"/>
        <v>#N/A</v>
      </c>
      <c r="E19" s="140" t="e">
        <f t="shared" si="16"/>
        <v>#N/A</v>
      </c>
      <c r="F19" s="140" t="e">
        <f t="shared" ref="F19:M19" si="17">IF(F18="N/A","",IFERROR(MOD(F18,5)=0,""))</f>
        <v>#N/A</v>
      </c>
      <c r="G19" s="140" t="e">
        <f t="shared" ref="G19:I19" si="18">IF(G18="N/A","",IFERROR(MOD(G18,5)=0,""))</f>
        <v>#N/A</v>
      </c>
      <c r="H19" s="186" t="e">
        <f t="shared" si="18"/>
        <v>#N/A</v>
      </c>
      <c r="I19" s="140" t="e">
        <f t="shared" si="18"/>
        <v>#N/A</v>
      </c>
      <c r="J19" s="140" t="e">
        <f t="shared" si="17"/>
        <v>#N/A</v>
      </c>
      <c r="K19" s="140" t="e">
        <f t="shared" si="17"/>
        <v>#N/A</v>
      </c>
      <c r="L19" s="140" t="e">
        <f t="shared" si="17"/>
        <v>#N/A</v>
      </c>
      <c r="M19" s="142" t="e">
        <f t="shared" si="17"/>
        <v>#N/A</v>
      </c>
      <c r="N19" s="154"/>
      <c r="O19" s="154"/>
      <c r="Q19" s="507"/>
      <c r="R19" s="100" t="s">
        <v>37</v>
      </c>
      <c r="S19" s="101">
        <v>1.363</v>
      </c>
      <c r="T19" s="495"/>
    </row>
    <row r="20" spans="1:20" x14ac:dyDescent="0.25">
      <c r="A20" s="135" t="s">
        <v>70</v>
      </c>
      <c r="B20" s="140" t="e">
        <f t="shared" ref="B20:E20" si="19">IF(B18="N/A","",MOD(B18,3)=0)</f>
        <v>#N/A</v>
      </c>
      <c r="C20" s="140" t="e">
        <f t="shared" si="19"/>
        <v>#N/A</v>
      </c>
      <c r="D20" s="140" t="e">
        <f t="shared" si="19"/>
        <v>#N/A</v>
      </c>
      <c r="E20" s="140" t="e">
        <f t="shared" si="19"/>
        <v>#N/A</v>
      </c>
      <c r="F20" s="140" t="e">
        <f t="shared" ref="F20:M20" si="20">IF(F18="N/A","",MOD(F18,3)=0)</f>
        <v>#N/A</v>
      </c>
      <c r="G20" s="140" t="e">
        <f t="shared" ref="G20:I20" si="21">IF(G18="N/A","",MOD(G18,3)=0)</f>
        <v>#N/A</v>
      </c>
      <c r="H20" s="186" t="e">
        <f t="shared" si="21"/>
        <v>#N/A</v>
      </c>
      <c r="I20" s="140" t="e">
        <f t="shared" si="21"/>
        <v>#N/A</v>
      </c>
      <c r="J20" s="140" t="e">
        <f t="shared" si="20"/>
        <v>#N/A</v>
      </c>
      <c r="K20" s="140" t="e">
        <f t="shared" si="20"/>
        <v>#N/A</v>
      </c>
      <c r="L20" s="140" t="e">
        <f t="shared" si="20"/>
        <v>#N/A</v>
      </c>
      <c r="M20" s="142" t="e">
        <f t="shared" si="20"/>
        <v>#N/A</v>
      </c>
      <c r="N20" s="154"/>
      <c r="O20" s="154"/>
      <c r="Q20" s="510"/>
      <c r="R20" s="104" t="s">
        <v>38</v>
      </c>
      <c r="S20" s="105">
        <v>1.536</v>
      </c>
      <c r="T20" s="495"/>
    </row>
    <row r="21" spans="1:20" ht="15.75" thickBot="1" x14ac:dyDescent="0.3">
      <c r="A21" s="136" t="s">
        <v>71</v>
      </c>
      <c r="B21" s="141" t="e">
        <f t="shared" ref="B21:E21" si="22">IF(B18="N/A","",MOD(B18,4)=0)</f>
        <v>#N/A</v>
      </c>
      <c r="C21" s="141" t="e">
        <f t="shared" si="22"/>
        <v>#N/A</v>
      </c>
      <c r="D21" s="141" t="e">
        <f t="shared" si="22"/>
        <v>#N/A</v>
      </c>
      <c r="E21" s="141" t="e">
        <f t="shared" si="22"/>
        <v>#N/A</v>
      </c>
      <c r="F21" s="141" t="e">
        <f t="shared" ref="F21:M21" si="23">IF(F18="N/A","",MOD(F18,4)=0)</f>
        <v>#N/A</v>
      </c>
      <c r="G21" s="141" t="e">
        <f t="shared" ref="G21:I21" si="24">IF(G18="N/A","",MOD(G18,4)=0)</f>
        <v>#N/A</v>
      </c>
      <c r="H21" s="187" t="e">
        <f t="shared" si="24"/>
        <v>#N/A</v>
      </c>
      <c r="I21" s="141" t="e">
        <f t="shared" si="24"/>
        <v>#N/A</v>
      </c>
      <c r="J21" s="141" t="e">
        <f t="shared" si="23"/>
        <v>#N/A</v>
      </c>
      <c r="K21" s="141" t="e">
        <f t="shared" si="23"/>
        <v>#N/A</v>
      </c>
      <c r="L21" s="141" t="e">
        <f t="shared" si="23"/>
        <v>#N/A</v>
      </c>
      <c r="M21" s="143" t="e">
        <f t="shared" si="23"/>
        <v>#N/A</v>
      </c>
      <c r="N21" s="154"/>
      <c r="O21" s="154"/>
      <c r="Q21" s="120" t="s">
        <v>44</v>
      </c>
      <c r="R21" s="92" t="s">
        <v>81</v>
      </c>
      <c r="S21" s="93">
        <v>1.363</v>
      </c>
      <c r="T21" s="496"/>
    </row>
    <row r="22" spans="1:20" ht="15.75" thickBot="1" x14ac:dyDescent="0.3">
      <c r="A22" s="130" t="s">
        <v>73</v>
      </c>
      <c r="B22" s="131" t="e">
        <f t="shared" ref="B22:M22" si="25">IF(B18="N/A","N/A",IF($D4&lt;49,IF(B18&gt;NOOFENDSMAX,IF(B19=TRUE,B18/5,IF(B20=TRUE,B18/3,IF(B21=TRUE,B18/4,"N/A"))),"N/A"),IF(B18&lt;21,"N/A",IF(AND(B19=TRUE,B18/5&gt;9),B18/5,IF(AND(B20=TRUE,B18/3&gt;9),B18/3,IF(AND(B21=TRUE,B18/4&gt;9),B18/4,"N/A"))))))</f>
        <v>#N/A</v>
      </c>
      <c r="C22" s="131" t="e">
        <f t="shared" si="25"/>
        <v>#N/A</v>
      </c>
      <c r="D22" s="131" t="e">
        <f t="shared" si="25"/>
        <v>#N/A</v>
      </c>
      <c r="E22" s="131" t="e">
        <f t="shared" si="25"/>
        <v>#N/A</v>
      </c>
      <c r="F22" s="131" t="e">
        <f t="shared" si="25"/>
        <v>#N/A</v>
      </c>
      <c r="G22" s="131" t="e">
        <f t="shared" si="25"/>
        <v>#N/A</v>
      </c>
      <c r="H22" s="185" t="e">
        <f t="shared" si="25"/>
        <v>#N/A</v>
      </c>
      <c r="I22" s="131" t="e">
        <f t="shared" si="25"/>
        <v>#N/A</v>
      </c>
      <c r="J22" s="131" t="e">
        <f t="shared" si="25"/>
        <v>#N/A</v>
      </c>
      <c r="K22" s="131" t="e">
        <f t="shared" si="25"/>
        <v>#N/A</v>
      </c>
      <c r="L22" s="131" t="e">
        <f t="shared" si="25"/>
        <v>#N/A</v>
      </c>
      <c r="M22" s="132" t="e">
        <f t="shared" si="25"/>
        <v>#N/A</v>
      </c>
      <c r="N22" s="154"/>
      <c r="O22" s="154"/>
      <c r="Q22" s="106" t="s">
        <v>45</v>
      </c>
      <c r="R22" s="149" t="s">
        <v>46</v>
      </c>
      <c r="S22" s="149"/>
      <c r="T22" s="150"/>
    </row>
    <row r="23" spans="1:20" ht="15.75" thickBot="1" x14ac:dyDescent="0.3">
      <c r="A23" s="135" t="s">
        <v>69</v>
      </c>
      <c r="B23" s="140" t="e">
        <f t="shared" ref="B23:E23" si="26">IF(B22="N/A","",IFERROR(MOD(B22,5)=0,""))</f>
        <v>#N/A</v>
      </c>
      <c r="C23" s="140" t="e">
        <f t="shared" si="26"/>
        <v>#N/A</v>
      </c>
      <c r="D23" s="140" t="e">
        <f t="shared" si="26"/>
        <v>#N/A</v>
      </c>
      <c r="E23" s="140" t="e">
        <f t="shared" si="26"/>
        <v>#N/A</v>
      </c>
      <c r="F23" s="140" t="e">
        <f t="shared" ref="F23:M23" si="27">IF(F22="N/A","",IFERROR(MOD(F22,5)=0,""))</f>
        <v>#N/A</v>
      </c>
      <c r="G23" s="140" t="e">
        <f t="shared" ref="G23:I23" si="28">IF(G22="N/A","",IFERROR(MOD(G22,5)=0,""))</f>
        <v>#N/A</v>
      </c>
      <c r="H23" s="186" t="e">
        <f t="shared" si="28"/>
        <v>#N/A</v>
      </c>
      <c r="I23" s="140" t="e">
        <f t="shared" si="28"/>
        <v>#N/A</v>
      </c>
      <c r="J23" s="140" t="e">
        <f t="shared" si="27"/>
        <v>#N/A</v>
      </c>
      <c r="K23" s="140" t="e">
        <f t="shared" si="27"/>
        <v>#N/A</v>
      </c>
      <c r="L23" s="140" t="e">
        <f t="shared" si="27"/>
        <v>#N/A</v>
      </c>
      <c r="M23" s="142" t="e">
        <f t="shared" si="27"/>
        <v>#N/A</v>
      </c>
      <c r="N23" s="154"/>
      <c r="O23" s="154"/>
    </row>
    <row r="24" spans="1:20" ht="15.75" thickBot="1" x14ac:dyDescent="0.3">
      <c r="A24" s="135" t="s">
        <v>70</v>
      </c>
      <c r="B24" s="140" t="e">
        <f t="shared" ref="B24:E24" si="29">IF(B22="N/A","",MOD(B22,3)=0)</f>
        <v>#N/A</v>
      </c>
      <c r="C24" s="140" t="e">
        <f t="shared" si="29"/>
        <v>#N/A</v>
      </c>
      <c r="D24" s="140" t="e">
        <f t="shared" si="29"/>
        <v>#N/A</v>
      </c>
      <c r="E24" s="140" t="e">
        <f t="shared" si="29"/>
        <v>#N/A</v>
      </c>
      <c r="F24" s="140" t="e">
        <f t="shared" ref="F24:M24" si="30">IF(F22="N/A","",MOD(F22,3)=0)</f>
        <v>#N/A</v>
      </c>
      <c r="G24" s="140" t="e">
        <f t="shared" ref="G24:I24" si="31">IF(G22="N/A","",MOD(G22,3)=0)</f>
        <v>#N/A</v>
      </c>
      <c r="H24" s="186" t="e">
        <f t="shared" si="31"/>
        <v>#N/A</v>
      </c>
      <c r="I24" s="140" t="e">
        <f t="shared" si="31"/>
        <v>#N/A</v>
      </c>
      <c r="J24" s="140" t="e">
        <f t="shared" si="30"/>
        <v>#N/A</v>
      </c>
      <c r="K24" s="140" t="e">
        <f t="shared" si="30"/>
        <v>#N/A</v>
      </c>
      <c r="L24" s="140" t="e">
        <f t="shared" si="30"/>
        <v>#N/A</v>
      </c>
      <c r="M24" s="142" t="e">
        <f t="shared" si="30"/>
        <v>#N/A</v>
      </c>
      <c r="N24" s="154"/>
      <c r="O24" s="154"/>
      <c r="P24" s="181" t="s">
        <v>85</v>
      </c>
      <c r="Q24" s="173" t="s">
        <v>83</v>
      </c>
      <c r="R24" s="163" t="s">
        <v>17</v>
      </c>
      <c r="S24" s="164" t="s">
        <v>18</v>
      </c>
      <c r="T24" s="110" t="s">
        <v>19</v>
      </c>
    </row>
    <row r="25" spans="1:20" ht="15.75" thickBot="1" x14ac:dyDescent="0.3">
      <c r="A25" s="136" t="s">
        <v>71</v>
      </c>
      <c r="B25" s="141" t="e">
        <f t="shared" ref="B25:E25" si="32">IF(B22="N/A","",MOD(B22,4)=0)</f>
        <v>#N/A</v>
      </c>
      <c r="C25" s="141" t="e">
        <f t="shared" si="32"/>
        <v>#N/A</v>
      </c>
      <c r="D25" s="141" t="e">
        <f t="shared" si="32"/>
        <v>#N/A</v>
      </c>
      <c r="E25" s="141" t="e">
        <f t="shared" si="32"/>
        <v>#N/A</v>
      </c>
      <c r="F25" s="141" t="e">
        <f t="shared" ref="F25:M25" si="33">IF(F22="N/A","",MOD(F22,4)=0)</f>
        <v>#N/A</v>
      </c>
      <c r="G25" s="141" t="e">
        <f t="shared" ref="G25:I25" si="34">IF(G22="N/A","",MOD(G22,4)=0)</f>
        <v>#N/A</v>
      </c>
      <c r="H25" s="187" t="e">
        <f t="shared" si="34"/>
        <v>#N/A</v>
      </c>
      <c r="I25" s="141" t="e">
        <f t="shared" si="34"/>
        <v>#N/A</v>
      </c>
      <c r="J25" s="141" t="e">
        <f t="shared" si="33"/>
        <v>#N/A</v>
      </c>
      <c r="K25" s="141" t="e">
        <f t="shared" si="33"/>
        <v>#N/A</v>
      </c>
      <c r="L25" s="141" t="e">
        <f t="shared" si="33"/>
        <v>#N/A</v>
      </c>
      <c r="M25" s="143" t="e">
        <f t="shared" si="33"/>
        <v>#N/A</v>
      </c>
      <c r="N25" s="154"/>
      <c r="O25" s="154"/>
      <c r="P25" s="178">
        <v>1</v>
      </c>
      <c r="Q25" s="174" t="s">
        <v>23</v>
      </c>
      <c r="R25" s="166" t="s">
        <v>80</v>
      </c>
      <c r="S25" s="167">
        <v>1.155</v>
      </c>
      <c r="T25" s="160">
        <v>1.01</v>
      </c>
    </row>
    <row r="26" spans="1:20" x14ac:dyDescent="0.25">
      <c r="A26" s="130" t="s">
        <v>74</v>
      </c>
      <c r="B26" s="131" t="e">
        <f t="shared" ref="B26:M26" si="35">IF(B22="N/A","N/A",IF($D4&lt;49,IF(B22&gt;NOOFENDSMAX,IF(B23=TRUE,B22/5,IF(B24=TRUE,B22/3,IF(B25=TRUE,B22/4,"N/A"))),"N/A"),IF(B22&lt;21,"N/A",IF(AND(B23=TRUE,B22/5&gt;9),B22/5,IF(AND(B24=TRUE,B22/3&gt;9),B22/3,IF(AND(B25=TRUE,B22/4&gt;9),B22/4,"N/A"))))))</f>
        <v>#N/A</v>
      </c>
      <c r="C26" s="131" t="e">
        <f t="shared" si="35"/>
        <v>#N/A</v>
      </c>
      <c r="D26" s="131" t="e">
        <f t="shared" si="35"/>
        <v>#N/A</v>
      </c>
      <c r="E26" s="131" t="e">
        <f t="shared" si="35"/>
        <v>#N/A</v>
      </c>
      <c r="F26" s="131" t="e">
        <f t="shared" si="35"/>
        <v>#N/A</v>
      </c>
      <c r="G26" s="131" t="e">
        <f t="shared" si="35"/>
        <v>#N/A</v>
      </c>
      <c r="H26" s="185" t="e">
        <f t="shared" si="35"/>
        <v>#N/A</v>
      </c>
      <c r="I26" s="131" t="e">
        <f t="shared" si="35"/>
        <v>#N/A</v>
      </c>
      <c r="J26" s="131" t="e">
        <f t="shared" si="35"/>
        <v>#N/A</v>
      </c>
      <c r="K26" s="131" t="e">
        <f t="shared" si="35"/>
        <v>#N/A</v>
      </c>
      <c r="L26" s="131" t="e">
        <f t="shared" si="35"/>
        <v>#N/A</v>
      </c>
      <c r="M26" s="132" t="e">
        <f t="shared" si="35"/>
        <v>#N/A</v>
      </c>
      <c r="N26" s="154"/>
      <c r="O26" s="154"/>
      <c r="P26" s="180">
        <v>2</v>
      </c>
      <c r="Q26" s="175" t="s">
        <v>86</v>
      </c>
      <c r="R26" s="165" t="s">
        <v>81</v>
      </c>
      <c r="S26" s="168">
        <v>1.155</v>
      </c>
      <c r="T26" s="161">
        <v>1.01</v>
      </c>
    </row>
    <row r="27" spans="1:20" ht="15.75" thickBot="1" x14ac:dyDescent="0.3">
      <c r="A27" s="135" t="s">
        <v>69</v>
      </c>
      <c r="B27" s="140" t="e">
        <f t="shared" ref="B27:E27" si="36">IF(B26="N/A","",IFERROR(MOD(B26,5)=0,""))</f>
        <v>#N/A</v>
      </c>
      <c r="C27" s="140" t="e">
        <f t="shared" si="36"/>
        <v>#N/A</v>
      </c>
      <c r="D27" s="140" t="e">
        <f t="shared" si="36"/>
        <v>#N/A</v>
      </c>
      <c r="E27" s="140" t="e">
        <f t="shared" si="36"/>
        <v>#N/A</v>
      </c>
      <c r="F27" s="140" t="e">
        <f t="shared" ref="F27:M27" si="37">IF(F26="N/A","",IFERROR(MOD(F26,5)=0,""))</f>
        <v>#N/A</v>
      </c>
      <c r="G27" s="140" t="e">
        <f t="shared" ref="G27:I27" si="38">IF(G26="N/A","",IFERROR(MOD(G26,5)=0,""))</f>
        <v>#N/A</v>
      </c>
      <c r="H27" s="186" t="e">
        <f t="shared" si="38"/>
        <v>#N/A</v>
      </c>
      <c r="I27" s="140" t="e">
        <f t="shared" si="38"/>
        <v>#N/A</v>
      </c>
      <c r="J27" s="140" t="e">
        <f t="shared" si="37"/>
        <v>#N/A</v>
      </c>
      <c r="K27" s="140" t="e">
        <f t="shared" si="37"/>
        <v>#N/A</v>
      </c>
      <c r="L27" s="140" t="e">
        <f t="shared" si="37"/>
        <v>#N/A</v>
      </c>
      <c r="M27" s="142" t="e">
        <f t="shared" si="37"/>
        <v>#N/A</v>
      </c>
      <c r="N27" s="154"/>
      <c r="O27" s="154"/>
      <c r="P27" s="179">
        <v>3</v>
      </c>
      <c r="Q27" s="176" t="s">
        <v>91</v>
      </c>
      <c r="R27" s="169" t="s">
        <v>81</v>
      </c>
      <c r="S27" s="170">
        <v>1.155</v>
      </c>
      <c r="T27" s="162">
        <v>1.01</v>
      </c>
    </row>
    <row r="28" spans="1:20" x14ac:dyDescent="0.25">
      <c r="A28" s="135" t="s">
        <v>70</v>
      </c>
      <c r="B28" s="140" t="e">
        <f t="shared" ref="B28:E28" si="39">IF(B26="N/A","",MOD(B26,3)=0)</f>
        <v>#N/A</v>
      </c>
      <c r="C28" s="140" t="e">
        <f t="shared" si="39"/>
        <v>#N/A</v>
      </c>
      <c r="D28" s="140" t="e">
        <f t="shared" si="39"/>
        <v>#N/A</v>
      </c>
      <c r="E28" s="140" t="e">
        <f t="shared" si="39"/>
        <v>#N/A</v>
      </c>
      <c r="F28" s="140" t="e">
        <f t="shared" ref="F28:M28" si="40">IF(F26="N/A","",MOD(F26,3)=0)</f>
        <v>#N/A</v>
      </c>
      <c r="G28" s="140" t="e">
        <f t="shared" ref="G28:I28" si="41">IF(G26="N/A","",MOD(G26,3)=0)</f>
        <v>#N/A</v>
      </c>
      <c r="H28" s="186" t="e">
        <f t="shared" si="41"/>
        <v>#N/A</v>
      </c>
      <c r="I28" s="140" t="e">
        <f t="shared" si="41"/>
        <v>#N/A</v>
      </c>
      <c r="J28" s="140" t="e">
        <f t="shared" si="40"/>
        <v>#N/A</v>
      </c>
      <c r="K28" s="140" t="e">
        <f t="shared" si="40"/>
        <v>#N/A</v>
      </c>
      <c r="L28" s="140" t="e">
        <f t="shared" si="40"/>
        <v>#N/A</v>
      </c>
      <c r="M28" s="142" t="e">
        <f t="shared" si="40"/>
        <v>#N/A</v>
      </c>
      <c r="N28" s="154"/>
      <c r="O28" s="154"/>
      <c r="P28" s="178">
        <v>2</v>
      </c>
      <c r="Q28" s="174" t="s">
        <v>31</v>
      </c>
      <c r="R28" s="166" t="s">
        <v>80</v>
      </c>
      <c r="S28" s="167">
        <v>1.236</v>
      </c>
      <c r="T28" s="160">
        <v>1.03</v>
      </c>
    </row>
    <row r="29" spans="1:20" ht="15.75" thickBot="1" x14ac:dyDescent="0.3">
      <c r="A29" s="136" t="s">
        <v>71</v>
      </c>
      <c r="B29" s="141" t="e">
        <f t="shared" ref="B29:E29" si="42">IF(B26="N/A","",MOD(B26,4)=0)</f>
        <v>#N/A</v>
      </c>
      <c r="C29" s="141" t="e">
        <f t="shared" si="42"/>
        <v>#N/A</v>
      </c>
      <c r="D29" s="141" t="e">
        <f t="shared" si="42"/>
        <v>#N/A</v>
      </c>
      <c r="E29" s="141" t="e">
        <f t="shared" si="42"/>
        <v>#N/A</v>
      </c>
      <c r="F29" s="141" t="e">
        <f t="shared" ref="F29:M29" si="43">IF(F26="N/A","",MOD(F26,4)=0)</f>
        <v>#N/A</v>
      </c>
      <c r="G29" s="141" t="e">
        <f t="shared" ref="G29:I29" si="44">IF(G26="N/A","",MOD(G26,4)=0)</f>
        <v>#N/A</v>
      </c>
      <c r="H29" s="187" t="e">
        <f t="shared" si="44"/>
        <v>#N/A</v>
      </c>
      <c r="I29" s="141" t="e">
        <f t="shared" si="44"/>
        <v>#N/A</v>
      </c>
      <c r="J29" s="141" t="e">
        <f t="shared" si="43"/>
        <v>#N/A</v>
      </c>
      <c r="K29" s="141" t="e">
        <f t="shared" si="43"/>
        <v>#N/A</v>
      </c>
      <c r="L29" s="141" t="e">
        <f t="shared" si="43"/>
        <v>#N/A</v>
      </c>
      <c r="M29" s="143" t="e">
        <f t="shared" si="43"/>
        <v>#N/A</v>
      </c>
      <c r="N29" s="154"/>
      <c r="O29" s="154"/>
      <c r="P29" s="179">
        <v>3</v>
      </c>
      <c r="Q29" s="176" t="s">
        <v>34</v>
      </c>
      <c r="R29" s="169" t="s">
        <v>81</v>
      </c>
      <c r="S29" s="170">
        <v>1.236</v>
      </c>
      <c r="T29" s="162">
        <v>1.03</v>
      </c>
    </row>
    <row r="30" spans="1:20" ht="15.75" thickBot="1" x14ac:dyDescent="0.3">
      <c r="A30" s="137" t="s">
        <v>75</v>
      </c>
      <c r="B30" s="129" t="e">
        <f t="shared" ref="B30:M30" si="45">IF(B26="N/A","N/A",IF($D4&lt;49,IF(B26&gt;NOOFENDSMAX,IF(B27=TRUE,B26/5,IF(B28=TRUE,B26/3,IF(B29=TRUE,B26/4,"N/A"))),"N/A"),IF(B26&lt;21,"N/A",IF(AND(B27=TRUE,B26/5&gt;9),B26/5,IF(AND(B28=TRUE,B26/3&gt;9),B26/3,IF(AND(B29=TRUE,B26/4&gt;9),B26/4,"N/A"))))))</f>
        <v>#N/A</v>
      </c>
      <c r="C30" s="129" t="e">
        <f t="shared" si="45"/>
        <v>#N/A</v>
      </c>
      <c r="D30" s="129" t="e">
        <f t="shared" si="45"/>
        <v>#N/A</v>
      </c>
      <c r="E30" s="129" t="e">
        <f t="shared" si="45"/>
        <v>#N/A</v>
      </c>
      <c r="F30" s="129" t="e">
        <f t="shared" si="45"/>
        <v>#N/A</v>
      </c>
      <c r="G30" s="129" t="e">
        <f t="shared" si="45"/>
        <v>#N/A</v>
      </c>
      <c r="H30" s="185" t="e">
        <f t="shared" si="45"/>
        <v>#N/A</v>
      </c>
      <c r="I30" s="129" t="e">
        <f t="shared" si="45"/>
        <v>#N/A</v>
      </c>
      <c r="J30" s="129" t="e">
        <f t="shared" si="45"/>
        <v>#N/A</v>
      </c>
      <c r="K30" s="129" t="e">
        <f t="shared" si="45"/>
        <v>#N/A</v>
      </c>
      <c r="L30" s="129" t="e">
        <f t="shared" si="45"/>
        <v>#N/A</v>
      </c>
      <c r="M30" s="153" t="e">
        <f t="shared" si="45"/>
        <v>#N/A</v>
      </c>
      <c r="N30" s="154"/>
      <c r="O30" s="154"/>
      <c r="P30" s="178">
        <v>4</v>
      </c>
      <c r="Q30" s="506" t="s">
        <v>39</v>
      </c>
      <c r="R30" s="166" t="s">
        <v>82</v>
      </c>
      <c r="S30" s="167">
        <v>1.2709999999999999</v>
      </c>
      <c r="T30" s="151">
        <v>1.0509999999999999</v>
      </c>
    </row>
    <row r="31" spans="1:20" ht="15.75" thickBot="1" x14ac:dyDescent="0.3">
      <c r="A31" s="130" t="s">
        <v>77</v>
      </c>
      <c r="B31" s="131" t="e">
        <f t="shared" ref="B31:E31" si="46">IF(B30="N/A",IF(B26="N/A",IF(B22="N/A",IF(B18="N/A",B14,B18),B22),B26),B30)</f>
        <v>#N/A</v>
      </c>
      <c r="C31" s="131" t="e">
        <f t="shared" si="46"/>
        <v>#N/A</v>
      </c>
      <c r="D31" s="131" t="e">
        <f t="shared" si="46"/>
        <v>#N/A</v>
      </c>
      <c r="E31" s="131" t="e">
        <f t="shared" si="46"/>
        <v>#N/A</v>
      </c>
      <c r="F31" s="131" t="e">
        <f t="shared" ref="F31:M31" si="47">IF(F30="N/A",IF(F26="N/A",IF(F22="N/A",IF(F18="N/A",F14,F18),F22),F26),F30)</f>
        <v>#N/A</v>
      </c>
      <c r="G31" s="131" t="e">
        <f t="shared" ref="G31:I31" si="48">IF(G30="N/A",IF(G26="N/A",IF(G22="N/A",IF(G18="N/A",G14,G18),G22),G26),G30)</f>
        <v>#N/A</v>
      </c>
      <c r="H31" s="185" t="e">
        <f>IF(H30="N/A",IF(H26="N/A",IF(H22="N/A",IF(H18="N/A",H14,H18),H22),H26),H30)</f>
        <v>#N/A</v>
      </c>
      <c r="I31" s="131" t="e">
        <f t="shared" si="48"/>
        <v>#N/A</v>
      </c>
      <c r="J31" s="131" t="e">
        <f t="shared" si="47"/>
        <v>#N/A</v>
      </c>
      <c r="K31" s="131" t="e">
        <f t="shared" si="47"/>
        <v>#N/A</v>
      </c>
      <c r="L31" s="131" t="e">
        <f t="shared" si="47"/>
        <v>#N/A</v>
      </c>
      <c r="M31" s="132" t="e">
        <f t="shared" si="47"/>
        <v>#N/A</v>
      </c>
      <c r="N31" s="154"/>
      <c r="O31" s="154"/>
      <c r="P31" s="179">
        <v>4</v>
      </c>
      <c r="Q31" s="508"/>
      <c r="R31" s="169" t="s">
        <v>37</v>
      </c>
      <c r="S31" s="170">
        <v>1.363</v>
      </c>
      <c r="T31" s="152">
        <v>1.0509999999999999</v>
      </c>
    </row>
    <row r="32" spans="1:20" ht="16.5" thickBot="1" x14ac:dyDescent="0.3">
      <c r="A32" s="139" t="s">
        <v>78</v>
      </c>
      <c r="B32" s="144" t="e">
        <f t="shared" ref="B32:G32" si="49">IF($D4&lt;32,IF(B31&lt;($M10+1),TRUE,FALSE),IF($D4&lt;47,IF(B31&lt;67,TRUE,FALSE),IF($D4&lt;49,IF(B31&lt;25,TRUE,FALSE),IF(OR(B31&lt;10,B31&gt;20),FALSE,TRUE))))</f>
        <v>#N/A</v>
      </c>
      <c r="C32" s="144" t="e">
        <f t="shared" si="49"/>
        <v>#N/A</v>
      </c>
      <c r="D32" s="144" t="e">
        <f t="shared" si="49"/>
        <v>#N/A</v>
      </c>
      <c r="E32" s="144" t="e">
        <f t="shared" si="49"/>
        <v>#N/A</v>
      </c>
      <c r="F32" s="144" t="e">
        <f t="shared" si="49"/>
        <v>#N/A</v>
      </c>
      <c r="G32" s="144" t="e">
        <f t="shared" si="49"/>
        <v>#N/A</v>
      </c>
      <c r="H32" s="188" t="e">
        <f>IF($D4&lt;32,IF(H31&lt;($M10+1),TRUE,FALSE),IF($D4&lt;47,IF(H31&lt;67,TRUE,FALSE),IF($D4&lt;49,IF(H31&lt;25,TRUE,FALSE),IF(OR(H31&lt;10,H31&gt;20),FALSE,TRUE))))</f>
        <v>#N/A</v>
      </c>
      <c r="I32" s="144" t="e">
        <f t="shared" ref="I32:M32" si="50">IF($D4&lt;32,IF(I31&lt;($M10+1),TRUE,FALSE),IF($D4&lt;47,IF(I31&lt;67,TRUE,FALSE),IF($D4&lt;49,IF(I31&lt;25,TRUE,FALSE),IF(OR(I31&lt;10,I31&gt;20),FALSE,TRUE))))</f>
        <v>#N/A</v>
      </c>
      <c r="J32" s="144" t="e">
        <f t="shared" si="50"/>
        <v>#N/A</v>
      </c>
      <c r="K32" s="144" t="e">
        <f t="shared" si="50"/>
        <v>#N/A</v>
      </c>
      <c r="L32" s="144" t="e">
        <f t="shared" si="50"/>
        <v>#N/A</v>
      </c>
      <c r="M32" s="145" t="e">
        <f t="shared" si="50"/>
        <v>#N/A</v>
      </c>
      <c r="N32" s="155"/>
      <c r="O32" s="155"/>
      <c r="P32" s="181">
        <v>5</v>
      </c>
      <c r="Q32" s="177" t="s">
        <v>44</v>
      </c>
      <c r="R32" s="171" t="s">
        <v>81</v>
      </c>
      <c r="S32" s="172">
        <v>1.363</v>
      </c>
      <c r="T32" s="162">
        <v>1.0820000000000001</v>
      </c>
    </row>
    <row r="33" spans="1:20" ht="15.75" thickBot="1" x14ac:dyDescent="0.3">
      <c r="A33" s="138" t="s">
        <v>79</v>
      </c>
      <c r="B33" s="133" t="e">
        <f t="shared" ref="B33:E33" si="51">IF(B32=FALSE,"",IF(B30="N/A",IF(B26="N/A",IF(B22="N/A",IF(B18="N/A",1,2),3),4),5))</f>
        <v>#N/A</v>
      </c>
      <c r="C33" s="133" t="e">
        <f t="shared" si="51"/>
        <v>#N/A</v>
      </c>
      <c r="D33" s="133" t="e">
        <f t="shared" si="51"/>
        <v>#N/A</v>
      </c>
      <c r="E33" s="133" t="e">
        <f t="shared" si="51"/>
        <v>#N/A</v>
      </c>
      <c r="F33" s="133" t="e">
        <f t="shared" ref="F33:M33" si="52">IF(F32=FALSE,"",IF(F30="N/A",IF(F26="N/A",IF(F22="N/A",IF(F18="N/A",1,2),3),4),5))</f>
        <v>#N/A</v>
      </c>
      <c r="G33" s="133" t="e">
        <f t="shared" ref="G33:I33" si="53">IF(G32=FALSE,"",IF(G30="N/A",IF(G26="N/A",IF(G22="N/A",IF(G18="N/A",1,2),3),4),5))</f>
        <v>#N/A</v>
      </c>
      <c r="H33" s="184" t="e">
        <f>IF(H32=FALSE,"",IF(H30="N/A",IF(H26="N/A",IF(H22="N/A",IF(H18="N/A",1,2),3),4),5))</f>
        <v>#N/A</v>
      </c>
      <c r="I33" s="133" t="e">
        <f t="shared" si="53"/>
        <v>#N/A</v>
      </c>
      <c r="J33" s="133" t="e">
        <f t="shared" si="52"/>
        <v>#N/A</v>
      </c>
      <c r="K33" s="133" t="e">
        <f t="shared" si="52"/>
        <v>#N/A</v>
      </c>
      <c r="L33" s="133" t="e">
        <f t="shared" si="52"/>
        <v>#N/A</v>
      </c>
      <c r="M33" s="146" t="e">
        <f t="shared" si="52"/>
        <v>#N/A</v>
      </c>
      <c r="N33" s="156"/>
      <c r="O33" s="156"/>
      <c r="P33" s="154"/>
      <c r="Q33" s="190" t="s">
        <v>45</v>
      </c>
      <c r="R33" s="149" t="s">
        <v>46</v>
      </c>
      <c r="S33" s="149"/>
      <c r="T33" s="150"/>
    </row>
    <row r="34" spans="1:20" x14ac:dyDescent="0.25">
      <c r="B34" s="189" t="str">
        <f>IF(D4&gt;49,"FOR STRAND SIZES SMALLER THAN 48 AWG, PLEASE CONFIRM FINAL CONSTRUCTION WITH RUBADUE ENGINEERING.",IF(AND(D4&lt;23,D3&gt;8),"CONSULT RUBADUE ENGINEERING.",""))</f>
        <v/>
      </c>
    </row>
    <row r="35" spans="1:20" ht="21.75" thickBot="1" x14ac:dyDescent="0.4">
      <c r="B35" s="264" t="s">
        <v>104</v>
      </c>
      <c r="H35" s="270" t="s">
        <v>128</v>
      </c>
    </row>
    <row r="36" spans="1:20" ht="16.5" thickBot="1" x14ac:dyDescent="0.3">
      <c r="B36" s="262" t="s">
        <v>118</v>
      </c>
      <c r="C36" s="263"/>
      <c r="D36" s="261"/>
      <c r="E36" s="156"/>
      <c r="H36" s="99" t="s">
        <v>129</v>
      </c>
      <c r="Q36" t="s">
        <v>119</v>
      </c>
      <c r="R36">
        <v>79</v>
      </c>
    </row>
    <row r="37" spans="1:20" ht="15.75" thickBot="1" x14ac:dyDescent="0.3">
      <c r="B37" s="517" t="s">
        <v>92</v>
      </c>
      <c r="C37" s="518"/>
      <c r="D37" s="519"/>
      <c r="E37" s="517" t="s">
        <v>132</v>
      </c>
      <c r="F37" s="519"/>
      <c r="G37" s="191"/>
      <c r="H37" s="511" t="s">
        <v>93</v>
      </c>
      <c r="I37" s="512"/>
      <c r="J37" s="513"/>
      <c r="K37" s="192"/>
      <c r="L37" s="511" t="s">
        <v>103</v>
      </c>
      <c r="M37" s="512"/>
      <c r="N37" s="513"/>
      <c r="O37" s="273"/>
      <c r="Q37" t="s">
        <v>120</v>
      </c>
      <c r="R37">
        <v>80</v>
      </c>
    </row>
    <row r="38" spans="1:20" ht="15.75" thickBot="1" x14ac:dyDescent="0.3">
      <c r="B38" s="317"/>
      <c r="C38" s="286" t="s">
        <v>130</v>
      </c>
      <c r="D38" s="306" t="s">
        <v>131</v>
      </c>
      <c r="E38" s="286" t="s">
        <v>130</v>
      </c>
      <c r="F38" s="306" t="s">
        <v>131</v>
      </c>
      <c r="G38" s="314"/>
      <c r="H38" s="315"/>
      <c r="I38" s="286" t="s">
        <v>130</v>
      </c>
      <c r="J38" s="283" t="s">
        <v>131</v>
      </c>
      <c r="K38" s="316"/>
      <c r="L38" s="315"/>
      <c r="M38" s="357" t="s">
        <v>130</v>
      </c>
      <c r="N38" s="306" t="s">
        <v>131</v>
      </c>
      <c r="O38" s="273"/>
      <c r="Q38" t="s">
        <v>121</v>
      </c>
      <c r="R38">
        <v>77</v>
      </c>
    </row>
    <row r="39" spans="1:20" x14ac:dyDescent="0.25">
      <c r="B39" s="193" t="s">
        <v>40</v>
      </c>
      <c r="C39" s="318" t="e">
        <f>IF(H32=FALSE,"ERROR",IFERROR(ROUND(SQRT($D$3)*E39*$D$7,3),""))</f>
        <v>#N/A</v>
      </c>
      <c r="D39" s="381" t="e">
        <f>C39*25.4</f>
        <v>#N/A</v>
      </c>
      <c r="E39" s="342" t="str">
        <f>IFERROR(INDEX(litzSINGLE[#Data],MATCH($D$4,litzSINGLE[AWG],0),MATCH("MIN",litzSINGLE[#Headers],0)),"")</f>
        <v/>
      </c>
      <c r="F39" s="366" t="e">
        <f t="shared" ref="F39:F41" si="54">E39*25.4</f>
        <v>#VALUE!</v>
      </c>
      <c r="G39" s="226"/>
      <c r="H39" s="193" t="s">
        <v>40</v>
      </c>
      <c r="I39" s="318" t="e">
        <f>IF(C39="","",ROUND(C39+0.002,3))</f>
        <v>#N/A</v>
      </c>
      <c r="J39" s="339" t="e">
        <f t="shared" ref="J39:J41" si="55">I39*25.4</f>
        <v>#N/A</v>
      </c>
      <c r="K39" s="194"/>
      <c r="L39" s="193" t="s">
        <v>40</v>
      </c>
      <c r="M39" s="318" t="e">
        <f>IF(C39="","",ROUND(C39+0.004,3))</f>
        <v>#N/A</v>
      </c>
      <c r="N39" s="339" t="e">
        <f t="shared" ref="N39:N41" si="56">M39*25.4</f>
        <v>#N/A</v>
      </c>
      <c r="O39" s="274"/>
      <c r="Q39" t="s">
        <v>122</v>
      </c>
      <c r="R39">
        <v>35</v>
      </c>
    </row>
    <row r="40" spans="1:20" x14ac:dyDescent="0.25">
      <c r="B40" s="195" t="s">
        <v>41</v>
      </c>
      <c r="C40" s="307" t="e">
        <f>IF(H32=FALSE,"ERROR",IFERROR(ROUND(SQRT($D$3)*E40*$D$7,3),""))</f>
        <v>#N/A</v>
      </c>
      <c r="D40" s="382" t="e">
        <f t="shared" ref="D40:D41" si="57">C40*25.4</f>
        <v>#N/A</v>
      </c>
      <c r="E40" s="343" t="str">
        <f>IFERROR(INDEX(litzSINGLE[#Data],MATCH($D$4,litzSINGLE[AWG],0),MATCH("NOM",litzSINGLE[#Headers],0)),"")</f>
        <v/>
      </c>
      <c r="F40" s="376" t="e">
        <f t="shared" si="54"/>
        <v>#VALUE!</v>
      </c>
      <c r="G40" s="226"/>
      <c r="H40" s="195" t="s">
        <v>41</v>
      </c>
      <c r="I40" s="307" t="e">
        <f>IF(C40="","",ROUND(C40+0.002,3))</f>
        <v>#N/A</v>
      </c>
      <c r="J40" s="340" t="e">
        <f t="shared" si="55"/>
        <v>#N/A</v>
      </c>
      <c r="K40" s="194"/>
      <c r="L40" s="195" t="s">
        <v>41</v>
      </c>
      <c r="M40" s="307" t="e">
        <f>IF(C40="","",ROUND(C40+0.004,3))</f>
        <v>#N/A</v>
      </c>
      <c r="N40" s="340" t="e">
        <f t="shared" si="56"/>
        <v>#N/A</v>
      </c>
      <c r="O40" s="274"/>
      <c r="Q40" t="s">
        <v>123</v>
      </c>
      <c r="R40">
        <v>16</v>
      </c>
    </row>
    <row r="41" spans="1:20" ht="15.75" thickBot="1" x14ac:dyDescent="0.3">
      <c r="B41" s="196" t="s">
        <v>43</v>
      </c>
      <c r="C41" s="319" t="e">
        <f>IF(H32=FALSE,"ERROR",IFERROR(ROUND(SQRT($D$3)*E41*$D$7,3),""))</f>
        <v>#N/A</v>
      </c>
      <c r="D41" s="383" t="e">
        <f t="shared" si="57"/>
        <v>#N/A</v>
      </c>
      <c r="E41" s="344" t="str">
        <f>IFERROR(INDEX(litzSINGLE[#Data],MATCH($D$4,litzSINGLE[AWG],0),MATCH("MAX",litzSINGLE[#Headers],0)),"")</f>
        <v/>
      </c>
      <c r="F41" s="368" t="e">
        <f t="shared" si="54"/>
        <v>#VALUE!</v>
      </c>
      <c r="G41" s="226"/>
      <c r="H41" s="196" t="s">
        <v>43</v>
      </c>
      <c r="I41" s="319" t="e">
        <f>IF(C41="","",ROUND(C41+0.003,3))</f>
        <v>#N/A</v>
      </c>
      <c r="J41" s="341" t="e">
        <f t="shared" si="55"/>
        <v>#N/A</v>
      </c>
      <c r="K41" s="194"/>
      <c r="L41" s="196" t="s">
        <v>43</v>
      </c>
      <c r="M41" s="319" t="e">
        <f>IF(C41="","",ROUND(C41+0.006,3))</f>
        <v>#N/A</v>
      </c>
      <c r="N41" s="341" t="e">
        <f t="shared" si="56"/>
        <v>#N/A</v>
      </c>
      <c r="O41" s="274"/>
      <c r="Q41" t="s">
        <v>124</v>
      </c>
      <c r="R41">
        <v>82</v>
      </c>
    </row>
    <row r="42" spans="1:20" ht="15.75" thickBot="1" x14ac:dyDescent="0.3">
      <c r="B42" s="227" t="e">
        <f>"Rubadue Part Number:"&amp;" RL-"&amp;$D$3&amp;"-"&amp;$D$4&amp;"S"&amp;VLOOKUP($D$36,MagGrade,2,0)&amp;"-XX"</f>
        <v>#N/A</v>
      </c>
      <c r="C42" s="197"/>
      <c r="D42" s="241"/>
      <c r="E42" s="241"/>
      <c r="F42" s="197"/>
      <c r="G42" s="197"/>
      <c r="H42" s="197" t="e">
        <f>"Rubadue Part Number:"&amp;" RL-"&amp;$D$3&amp;"-"&amp;$D$4&amp;"S"&amp;VLOOKUP($D$36,MagGrade,2,0)&amp;"-SN-XX"</f>
        <v>#N/A</v>
      </c>
      <c r="I42" s="197"/>
      <c r="J42" s="197"/>
      <c r="K42" s="197"/>
      <c r="L42" s="197" t="e">
        <f>"Rubadue Part Number:"&amp;" RL-"&amp;$D$3&amp;"-"&amp;$D$4&amp;"S"&amp;VLOOKUP($D$36,MagGrade,2,0)&amp;"-DN-XX"</f>
        <v>#N/A</v>
      </c>
      <c r="M42" s="197"/>
      <c r="N42" s="198"/>
      <c r="O42" s="257"/>
      <c r="Q42" t="s">
        <v>125</v>
      </c>
      <c r="R42">
        <v>83</v>
      </c>
    </row>
    <row r="43" spans="1:20" ht="15.75" thickBot="1" x14ac:dyDescent="0.3">
      <c r="B43" s="267"/>
      <c r="C43" s="202"/>
      <c r="D43" s="268"/>
      <c r="E43" s="268"/>
      <c r="F43" s="202"/>
      <c r="G43" s="202"/>
      <c r="H43" s="202"/>
      <c r="I43" s="202"/>
      <c r="J43" s="202"/>
      <c r="K43" s="202"/>
      <c r="L43" s="202"/>
      <c r="M43" s="202"/>
      <c r="N43" s="269"/>
      <c r="O43" s="257"/>
      <c r="Q43" t="s">
        <v>126</v>
      </c>
      <c r="R43" t="s">
        <v>127</v>
      </c>
    </row>
    <row r="44" spans="1:20" ht="15.75" thickBot="1" x14ac:dyDescent="0.3">
      <c r="B44" s="520" t="s">
        <v>94</v>
      </c>
      <c r="C44" s="521"/>
      <c r="D44" s="522"/>
      <c r="E44" s="525" t="s">
        <v>132</v>
      </c>
      <c r="F44" s="526"/>
      <c r="G44" s="200"/>
      <c r="H44" s="514" t="s">
        <v>95</v>
      </c>
      <c r="I44" s="515"/>
      <c r="J44" s="516"/>
      <c r="K44" s="200"/>
      <c r="L44" s="514" t="s">
        <v>96</v>
      </c>
      <c r="M44" s="515"/>
      <c r="N44" s="516"/>
      <c r="O44" s="275"/>
    </row>
    <row r="45" spans="1:20" ht="15.75" thickBot="1" x14ac:dyDescent="0.3">
      <c r="B45" s="312"/>
      <c r="C45" s="354" t="s">
        <v>130</v>
      </c>
      <c r="D45" s="298" t="s">
        <v>131</v>
      </c>
      <c r="E45" s="281" t="s">
        <v>130</v>
      </c>
      <c r="F45" s="298" t="s">
        <v>131</v>
      </c>
      <c r="G45" s="200"/>
      <c r="H45" s="313"/>
      <c r="I45" s="354" t="s">
        <v>130</v>
      </c>
      <c r="J45" s="282" t="s">
        <v>131</v>
      </c>
      <c r="K45" s="200"/>
      <c r="L45" s="313"/>
      <c r="M45" s="354" t="s">
        <v>130</v>
      </c>
      <c r="N45" s="282" t="s">
        <v>131</v>
      </c>
      <c r="O45" s="275"/>
    </row>
    <row r="46" spans="1:20" x14ac:dyDescent="0.25">
      <c r="B46" s="228" t="s">
        <v>40</v>
      </c>
      <c r="C46" s="320" t="e">
        <f>IF(H32=FALSE,"ERROR",IFERROR(ROUND(SQRT($D$3)*E46*$D$7,3),""))</f>
        <v>#N/A</v>
      </c>
      <c r="D46" s="384" t="e">
        <f t="shared" ref="D46:D48" si="58">C46*25.4</f>
        <v>#N/A</v>
      </c>
      <c r="E46" s="345" t="str">
        <f>IFERROR(INDEX(litzHEAVY[#Data],MATCH($D$4,litzHEAVY[AWG],0),MATCH("MIN",litzHEAVY[#Headers],0)),"")</f>
        <v/>
      </c>
      <c r="F46" s="369" t="e">
        <f>E46*25.4</f>
        <v>#VALUE!</v>
      </c>
      <c r="G46" s="200"/>
      <c r="H46" s="358" t="s">
        <v>40</v>
      </c>
      <c r="I46" s="320" t="e">
        <f>IF(C46="","",ROUND(C46+0.002,3))</f>
        <v>#N/A</v>
      </c>
      <c r="J46" s="336" t="e">
        <f t="shared" ref="J46:J48" si="59">I46*25.4</f>
        <v>#N/A</v>
      </c>
      <c r="K46" s="202"/>
      <c r="L46" s="201" t="s">
        <v>40</v>
      </c>
      <c r="M46" s="320" t="e">
        <f>IF(C46="","",ROUND(C46+0.004,3))</f>
        <v>#N/A</v>
      </c>
      <c r="N46" s="336" t="e">
        <f t="shared" ref="N46:N48" si="60">M46*25.4</f>
        <v>#N/A</v>
      </c>
      <c r="O46" s="274"/>
    </row>
    <row r="47" spans="1:20" x14ac:dyDescent="0.25">
      <c r="B47" s="203" t="s">
        <v>41</v>
      </c>
      <c r="C47" s="305" t="e">
        <f>IF(H32=FALSE,"ERROR",IFERROR(ROUND(SQRT($D$3)*E47*$D$7,3),""))</f>
        <v>#N/A</v>
      </c>
      <c r="D47" s="385" t="e">
        <f t="shared" si="58"/>
        <v>#N/A</v>
      </c>
      <c r="E47" s="346" t="str">
        <f>IFERROR(INDEX(litzHEAVY[#Data],MATCH($D$4,litzHEAVY[AWG],0),MATCH("NOM",litzHEAVY[#Headers],0)),"")</f>
        <v/>
      </c>
      <c r="F47" s="370" t="e">
        <f t="shared" ref="F47:F48" si="61">E47*25.4</f>
        <v>#VALUE!</v>
      </c>
      <c r="G47" s="200"/>
      <c r="H47" s="303" t="s">
        <v>41</v>
      </c>
      <c r="I47" s="305" t="e">
        <f>IF(C47="","",ROUND(C47+0.002,3))</f>
        <v>#N/A</v>
      </c>
      <c r="J47" s="337" t="e">
        <f t="shared" si="59"/>
        <v>#N/A</v>
      </c>
      <c r="K47" s="202"/>
      <c r="L47" s="203" t="s">
        <v>41</v>
      </c>
      <c r="M47" s="305" t="e">
        <f>IF(C47="","",ROUND(C47+0.004,3))</f>
        <v>#N/A</v>
      </c>
      <c r="N47" s="337" t="e">
        <f t="shared" si="60"/>
        <v>#N/A</v>
      </c>
      <c r="O47" s="274"/>
    </row>
    <row r="48" spans="1:20" ht="15.75" thickBot="1" x14ac:dyDescent="0.3">
      <c r="B48" s="229" t="s">
        <v>43</v>
      </c>
      <c r="C48" s="321" t="e">
        <f>IF(H32=FALSE,"ERROR",IFERROR(ROUND(SQRT($D$3)*E48*$D$7,3),""))</f>
        <v>#N/A</v>
      </c>
      <c r="D48" s="386" t="e">
        <f t="shared" si="58"/>
        <v>#N/A</v>
      </c>
      <c r="E48" s="279" t="str">
        <f>IFERROR(INDEX(litzHEAVY[#Data],MATCH($D$4,litzHEAVY[AWG],0),MATCH("MAX",litzHEAVY[#Headers],0)),"")</f>
        <v/>
      </c>
      <c r="F48" s="371" t="e">
        <f t="shared" si="61"/>
        <v>#VALUE!</v>
      </c>
      <c r="G48" s="200"/>
      <c r="H48" s="359" t="s">
        <v>43</v>
      </c>
      <c r="I48" s="321" t="e">
        <f>IF(C48="","",ROUND(C48+0.003,3))</f>
        <v>#N/A</v>
      </c>
      <c r="J48" s="338" t="e">
        <f t="shared" si="59"/>
        <v>#N/A</v>
      </c>
      <c r="K48" s="202"/>
      <c r="L48" s="204" t="s">
        <v>43</v>
      </c>
      <c r="M48" s="321" t="e">
        <f>IF(C48="","",ROUND(C48+0.006,3))</f>
        <v>#N/A</v>
      </c>
      <c r="N48" s="338" t="e">
        <f t="shared" si="60"/>
        <v>#N/A</v>
      </c>
      <c r="O48" s="274"/>
    </row>
    <row r="49" spans="2:15" ht="15.75" thickBot="1" x14ac:dyDescent="0.3">
      <c r="B49" s="230" t="e">
        <f>"Rubadue Part Number:"&amp;" RL-"&amp;$D$3&amp;"-"&amp;$D$4&amp;"H"&amp;VLOOKUP($D$36,MagGrade,2,0)&amp;"-XX"</f>
        <v>#N/A</v>
      </c>
      <c r="C49" s="205"/>
      <c r="D49" s="243"/>
      <c r="E49" s="243"/>
      <c r="F49" s="205"/>
      <c r="G49" s="205"/>
      <c r="H49" s="205" t="e">
        <f>"Rubadue Part Number:"&amp;" RL-"&amp;$D$3&amp;"-"&amp;$D$4&amp;"H"&amp;VLOOKUP($D$36,MagGrade,2,0)&amp;"-SN-XX"</f>
        <v>#N/A</v>
      </c>
      <c r="I49" s="205"/>
      <c r="J49" s="205"/>
      <c r="K49" s="205"/>
      <c r="L49" s="205" t="e">
        <f>"Rubadue Part Number:"&amp;" RL-"&amp;$D$3&amp;"-"&amp;$D$4&amp;"H"&amp;VLOOKUP($D$36,MagGrade,2,0)&amp;"-DN-XX"</f>
        <v>#N/A</v>
      </c>
      <c r="M49" s="205"/>
      <c r="N49" s="206"/>
      <c r="O49" s="257"/>
    </row>
    <row r="50" spans="2:15" ht="15.75" thickBot="1" x14ac:dyDescent="0.3">
      <c r="B50" s="231"/>
      <c r="C50" s="207"/>
      <c r="D50" s="244"/>
      <c r="E50" s="244"/>
      <c r="F50" s="207"/>
      <c r="G50" s="207"/>
      <c r="H50" s="207"/>
      <c r="I50" s="207"/>
      <c r="J50" s="207"/>
      <c r="K50" s="207"/>
      <c r="L50" s="207"/>
      <c r="M50" s="208"/>
      <c r="N50" s="209"/>
      <c r="O50" s="276"/>
    </row>
    <row r="51" spans="2:15" ht="15.75" thickBot="1" x14ac:dyDescent="0.3">
      <c r="B51" s="553" t="s">
        <v>97</v>
      </c>
      <c r="C51" s="554"/>
      <c r="D51" s="555"/>
      <c r="E51" s="523" t="s">
        <v>132</v>
      </c>
      <c r="F51" s="524"/>
      <c r="G51" s="232"/>
      <c r="H51" s="532" t="s">
        <v>98</v>
      </c>
      <c r="I51" s="533"/>
      <c r="J51" s="534"/>
      <c r="K51" s="210"/>
      <c r="L51" s="532" t="s">
        <v>99</v>
      </c>
      <c r="M51" s="533"/>
      <c r="N51" s="534"/>
      <c r="O51" s="277"/>
    </row>
    <row r="52" spans="2:15" ht="15.75" thickBot="1" x14ac:dyDescent="0.3">
      <c r="B52" s="296"/>
      <c r="C52" s="355" t="s">
        <v>130</v>
      </c>
      <c r="D52" s="297" t="s">
        <v>131</v>
      </c>
      <c r="E52" s="280" t="s">
        <v>130</v>
      </c>
      <c r="F52" s="297" t="s">
        <v>131</v>
      </c>
      <c r="G52" s="232"/>
      <c r="H52" s="311"/>
      <c r="I52" s="355" t="s">
        <v>130</v>
      </c>
      <c r="J52" s="284" t="s">
        <v>131</v>
      </c>
      <c r="K52" s="210"/>
      <c r="L52" s="311"/>
      <c r="M52" s="355" t="s">
        <v>130</v>
      </c>
      <c r="N52" s="284" t="s">
        <v>131</v>
      </c>
      <c r="O52" s="277"/>
    </row>
    <row r="53" spans="2:15" x14ac:dyDescent="0.25">
      <c r="B53" s="233" t="s">
        <v>40</v>
      </c>
      <c r="C53" s="322" t="e">
        <f>IF(H32=FALSE,"ERROR",IFERROR(ROUND(SQRT($D$3)*E53*$D$7,3),""))</f>
        <v>#N/A</v>
      </c>
      <c r="D53" s="387" t="e">
        <f t="shared" ref="D53:D55" si="62">C53*25.4</f>
        <v>#N/A</v>
      </c>
      <c r="E53" s="347" t="str">
        <f>IFERROR(INDEX(litzTRIPLE[#Data],MATCH($D$4,litzTRIPLE[AWG],0),MATCH("MIN",litzTRIPLE[#Headers],0)),"")</f>
        <v/>
      </c>
      <c r="F53" s="372" t="e">
        <f t="shared" ref="F53:F55" si="63">E53*25.4</f>
        <v>#VALUE!</v>
      </c>
      <c r="G53" s="232"/>
      <c r="H53" s="360" t="s">
        <v>40</v>
      </c>
      <c r="I53" s="322" t="e">
        <f>IF(OR(C53="",C53=0),"",ROUND(C53+0.002,3))</f>
        <v>#N/A</v>
      </c>
      <c r="J53" s="333" t="e">
        <f t="shared" ref="J53:J55" si="64">I53*25.4</f>
        <v>#N/A</v>
      </c>
      <c r="K53" s="210"/>
      <c r="L53" s="211" t="s">
        <v>40</v>
      </c>
      <c r="M53" s="322" t="e">
        <f>IF(OR(C53="",C53=0),"",ROUND(C53+0.004,3))</f>
        <v>#N/A</v>
      </c>
      <c r="N53" s="333" t="e">
        <f t="shared" ref="N53:N55" si="65">M53*25.4</f>
        <v>#N/A</v>
      </c>
      <c r="O53" s="274"/>
    </row>
    <row r="54" spans="2:15" x14ac:dyDescent="0.25">
      <c r="B54" s="212" t="s">
        <v>41</v>
      </c>
      <c r="C54" s="323" t="e">
        <f>IF(H32=FALSE,"ERROR",IFERROR(ROUND(SQRT($D$3)*E54*$D$7,3),""))</f>
        <v>#N/A</v>
      </c>
      <c r="D54" s="388" t="e">
        <f t="shared" si="62"/>
        <v>#N/A</v>
      </c>
      <c r="E54" s="348" t="str">
        <f>IFERROR(INDEX(litzTRIPLE[#Data],MATCH($D$4,litzTRIPLE[AWG],0),MATCH("NOM",litzTRIPLE[#Headers],0)),"")</f>
        <v/>
      </c>
      <c r="F54" s="377" t="e">
        <f t="shared" si="63"/>
        <v>#VALUE!</v>
      </c>
      <c r="G54" s="232"/>
      <c r="H54" s="361" t="s">
        <v>41</v>
      </c>
      <c r="I54" s="323" t="e">
        <f>IF(OR(C54="",C54=0),"",ROUND(C54+0.002,3))</f>
        <v>#N/A</v>
      </c>
      <c r="J54" s="334" t="e">
        <f t="shared" si="64"/>
        <v>#N/A</v>
      </c>
      <c r="K54" s="210"/>
      <c r="L54" s="212" t="s">
        <v>41</v>
      </c>
      <c r="M54" s="323" t="e">
        <f>IF(OR(C54="",C54=0),"",ROUND(C54+0.004,3))</f>
        <v>#N/A</v>
      </c>
      <c r="N54" s="334" t="e">
        <f t="shared" si="65"/>
        <v>#N/A</v>
      </c>
      <c r="O54" s="274"/>
    </row>
    <row r="55" spans="2:15" ht="15.75" thickBot="1" x14ac:dyDescent="0.3">
      <c r="B55" s="234" t="s">
        <v>43</v>
      </c>
      <c r="C55" s="324" t="e">
        <f>IF(H32=FALSE,"ERROR",IFERROR(ROUND(SQRT($D$3)*E55*$D$7,3),""))</f>
        <v>#N/A</v>
      </c>
      <c r="D55" s="389" t="e">
        <f t="shared" si="62"/>
        <v>#N/A</v>
      </c>
      <c r="E55" s="278" t="str">
        <f>IFERROR(INDEX(litzTRIPLE[#Data],MATCH($D$4,litzTRIPLE[AWG],0),MATCH("MAX",litzTRIPLE[#Headers],0)),"")</f>
        <v/>
      </c>
      <c r="F55" s="374" t="e">
        <f t="shared" si="63"/>
        <v>#VALUE!</v>
      </c>
      <c r="G55" s="232"/>
      <c r="H55" s="362" t="s">
        <v>43</v>
      </c>
      <c r="I55" s="324" t="e">
        <f>IF(OR(C55="",C55=0),"",ROUND(C55+0.003,3))</f>
        <v>#N/A</v>
      </c>
      <c r="J55" s="335" t="e">
        <f t="shared" si="64"/>
        <v>#N/A</v>
      </c>
      <c r="K55" s="210"/>
      <c r="L55" s="213" t="s">
        <v>43</v>
      </c>
      <c r="M55" s="324" t="e">
        <f>IF(OR(C55="",C55=0),"",ROUND(C55+0.006,3))</f>
        <v>#N/A</v>
      </c>
      <c r="N55" s="335" t="e">
        <f t="shared" si="65"/>
        <v>#N/A</v>
      </c>
      <c r="O55" s="274"/>
    </row>
    <row r="56" spans="2:15" ht="15.75" thickBot="1" x14ac:dyDescent="0.3">
      <c r="B56" s="235" t="e">
        <f>"Rubadue Part Number:"&amp;" RL-"&amp;$D$3&amp;"-"&amp;$D$4&amp;"T"&amp;VLOOKUP($D$36,MagGrade,2,0)&amp;"-XX"</f>
        <v>#N/A</v>
      </c>
      <c r="C56" s="214"/>
      <c r="D56" s="245"/>
      <c r="E56" s="245"/>
      <c r="F56" s="214"/>
      <c r="G56" s="214"/>
      <c r="H56" s="214" t="e">
        <f>"Rubadue Part Number:"&amp;" RL-"&amp;$D$3&amp;"-"&amp;$D$4&amp;"T"&amp;VLOOKUP($D$36,MagGrade,2,0)&amp;"-SN-XX"</f>
        <v>#N/A</v>
      </c>
      <c r="I56" s="214"/>
      <c r="J56" s="214"/>
      <c r="K56" s="214"/>
      <c r="L56" s="214" t="e">
        <f>"Rubadue Part Number:"&amp;" RL-"&amp;$D$3&amp;"-"&amp;$D$4&amp;"T"&amp;VLOOKUP($D$36,MagGrade,2,0)&amp;"-DN-XX"</f>
        <v>#N/A</v>
      </c>
      <c r="M56" s="215"/>
      <c r="N56" s="216"/>
      <c r="O56" s="276"/>
    </row>
    <row r="57" spans="2:15" ht="15.75" thickBot="1" x14ac:dyDescent="0.3">
      <c r="B57" s="236"/>
      <c r="C57" s="219"/>
      <c r="D57" s="246"/>
      <c r="E57" s="246"/>
      <c r="F57" s="219"/>
      <c r="G57" s="219"/>
      <c r="H57" s="217"/>
      <c r="I57" s="218"/>
      <c r="J57" s="219"/>
      <c r="K57" s="219"/>
      <c r="L57" s="217"/>
      <c r="M57" s="218"/>
      <c r="N57" s="220"/>
      <c r="O57" s="257"/>
    </row>
    <row r="58" spans="2:15" ht="15.75" thickBot="1" x14ac:dyDescent="0.3">
      <c r="B58" s="556" t="s">
        <v>100</v>
      </c>
      <c r="C58" s="557"/>
      <c r="D58" s="558"/>
      <c r="E58" s="530" t="s">
        <v>132</v>
      </c>
      <c r="F58" s="531"/>
      <c r="G58" s="237"/>
      <c r="H58" s="527" t="s">
        <v>101</v>
      </c>
      <c r="I58" s="528"/>
      <c r="J58" s="529"/>
      <c r="K58" s="221"/>
      <c r="L58" s="527" t="s">
        <v>102</v>
      </c>
      <c r="M58" s="528"/>
      <c r="N58" s="529"/>
      <c r="O58" s="277"/>
    </row>
    <row r="59" spans="2:15" ht="15.75" thickBot="1" x14ac:dyDescent="0.3">
      <c r="B59" s="309"/>
      <c r="C59" s="356" t="s">
        <v>130</v>
      </c>
      <c r="D59" s="352" t="s">
        <v>131</v>
      </c>
      <c r="E59" s="353" t="s">
        <v>130</v>
      </c>
      <c r="F59" s="352" t="s">
        <v>131</v>
      </c>
      <c r="G59" s="237"/>
      <c r="H59" s="310"/>
      <c r="I59" s="393" t="s">
        <v>130</v>
      </c>
      <c r="J59" s="328" t="s">
        <v>131</v>
      </c>
      <c r="K59" s="221"/>
      <c r="L59" s="310"/>
      <c r="M59" s="356" t="s">
        <v>130</v>
      </c>
      <c r="N59" s="285" t="s">
        <v>131</v>
      </c>
      <c r="O59" s="277"/>
    </row>
    <row r="60" spans="2:15" x14ac:dyDescent="0.25">
      <c r="B60" s="238" t="s">
        <v>40</v>
      </c>
      <c r="C60" s="325" t="e">
        <f>IF(H32=FALSE,"ERROR",IFERROR(ROUND(SQRT($D$3)*E60*$D$7,3),""))</f>
        <v>#N/A</v>
      </c>
      <c r="D60" s="390" t="e">
        <f t="shared" ref="D60:D62" si="66">C60*25.4</f>
        <v>#N/A</v>
      </c>
      <c r="E60" s="349" t="str">
        <f>IFERROR(INDEX(litzQUAD[#Data],MATCH($D$4,litzQUAD[AWG],0),MATCH("MIN",litzQUAD[#Headers],0)),"")</f>
        <v/>
      </c>
      <c r="F60" s="378" t="e">
        <f t="shared" ref="F60:F62" si="67">E60*25.4</f>
        <v>#VALUE!</v>
      </c>
      <c r="G60" s="237"/>
      <c r="H60" s="363" t="s">
        <v>40</v>
      </c>
      <c r="I60" s="325" t="e">
        <f>IF(OR(C60="",C60=0),"",ROUND(C60+0.002,3))</f>
        <v>#N/A</v>
      </c>
      <c r="J60" s="330" t="e">
        <f t="shared" ref="J60:J62" si="68">I60*25.4</f>
        <v>#N/A</v>
      </c>
      <c r="K60" s="221"/>
      <c r="L60" s="222" t="s">
        <v>40</v>
      </c>
      <c r="M60" s="325" t="e">
        <f>IF(OR(C60="",C60=0),"",ROUND(C60+0.004,3))</f>
        <v>#N/A</v>
      </c>
      <c r="N60" s="330" t="e">
        <f t="shared" ref="N60:N62" si="69">M60*25.4</f>
        <v>#N/A</v>
      </c>
      <c r="O60" s="274"/>
    </row>
    <row r="61" spans="2:15" x14ac:dyDescent="0.25">
      <c r="B61" s="223" t="s">
        <v>41</v>
      </c>
      <c r="C61" s="326" t="e">
        <f>IF(H32=FALSE,"ERROR",IFERROR(ROUND(SQRT($D$3)*E61*$D$7,3),""))</f>
        <v>#N/A</v>
      </c>
      <c r="D61" s="391" t="e">
        <f t="shared" si="66"/>
        <v>#N/A</v>
      </c>
      <c r="E61" s="350" t="str">
        <f>IFERROR(INDEX(litzQUAD[#Data],MATCH($D$4,litzQUAD[AWG],0),MATCH("NOM",litzQUAD[#Headers],0)),"")</f>
        <v/>
      </c>
      <c r="F61" s="379" t="e">
        <f t="shared" si="67"/>
        <v>#VALUE!</v>
      </c>
      <c r="G61" s="237"/>
      <c r="H61" s="364" t="s">
        <v>41</v>
      </c>
      <c r="I61" s="326" t="e">
        <f>IF(OR(C61="",C61=0),"",ROUND(C61+0.002,3))</f>
        <v>#N/A</v>
      </c>
      <c r="J61" s="331" t="e">
        <f t="shared" si="68"/>
        <v>#N/A</v>
      </c>
      <c r="K61" s="221"/>
      <c r="L61" s="223" t="s">
        <v>41</v>
      </c>
      <c r="M61" s="326" t="e">
        <f>IF(OR(C61="",C61=0),"",ROUND(C61+0.004,3))</f>
        <v>#N/A</v>
      </c>
      <c r="N61" s="331" t="e">
        <f t="shared" si="69"/>
        <v>#N/A</v>
      </c>
      <c r="O61" s="274"/>
    </row>
    <row r="62" spans="2:15" ht="15.75" thickBot="1" x14ac:dyDescent="0.3">
      <c r="B62" s="239" t="s">
        <v>43</v>
      </c>
      <c r="C62" s="327" t="e">
        <f>IF(H32=FALSE,"ERROR",IFERROR(ROUND(SQRT($D$3)*E62*$D$7,3),""))</f>
        <v>#N/A</v>
      </c>
      <c r="D62" s="392" t="e">
        <f t="shared" si="66"/>
        <v>#N/A</v>
      </c>
      <c r="E62" s="351" t="str">
        <f>IFERROR(INDEX(litzQUAD[#Data],MATCH($D$4,litzQUAD[AWG],0),MATCH("MAX",litzQUAD[#Headers],0)),"")</f>
        <v/>
      </c>
      <c r="F62" s="380" t="e">
        <f t="shared" si="67"/>
        <v>#VALUE!</v>
      </c>
      <c r="G62" s="237"/>
      <c r="H62" s="365" t="s">
        <v>43</v>
      </c>
      <c r="I62" s="327" t="e">
        <f>IF(OR(C62="",C62=0),"",ROUND(C62+0.003,3))</f>
        <v>#N/A</v>
      </c>
      <c r="J62" s="332" t="e">
        <f t="shared" si="68"/>
        <v>#N/A</v>
      </c>
      <c r="K62" s="221"/>
      <c r="L62" s="224" t="s">
        <v>43</v>
      </c>
      <c r="M62" s="327" t="e">
        <f>IF(OR(C62="",C62=0),"",ROUND(C62+0.006,3))</f>
        <v>#N/A</v>
      </c>
      <c r="N62" s="332" t="e">
        <f t="shared" si="69"/>
        <v>#N/A</v>
      </c>
      <c r="O62" s="274"/>
    </row>
    <row r="63" spans="2:15" ht="15.75" thickBot="1" x14ac:dyDescent="0.3">
      <c r="B63" s="265" t="e">
        <f>"Rubadue Part Number:"&amp;" RL-"&amp;$D$3&amp;"-"&amp;$D$4&amp;"Q"&amp;VLOOKUP($D$36,MagGrade,2,0)&amp;"-XX"</f>
        <v>#N/A</v>
      </c>
      <c r="C63" s="225"/>
      <c r="D63" s="225"/>
      <c r="E63" s="225"/>
      <c r="F63" s="225"/>
      <c r="G63" s="225"/>
      <c r="H63" s="266" t="e">
        <f>"Rubadue Part Number:"&amp;" RL-"&amp;$D$3&amp;"-"&amp;$D$4&amp;"Q"&amp;VLOOKUP($D$36,MagGrade,2,0)&amp;"-SN-XX"</f>
        <v>#N/A</v>
      </c>
      <c r="I63" s="225"/>
      <c r="J63" s="225"/>
      <c r="K63" s="225"/>
      <c r="L63" s="266" t="e">
        <f>"Rubadue Part Number:"&amp;" RL-"&amp;$D$3&amp;"-"&amp;$D$4&amp;"Q"&amp;VLOOKUP($D$36,MagGrade,2,0)&amp;"-DN-XX"</f>
        <v>#N/A</v>
      </c>
      <c r="M63" s="225"/>
      <c r="N63" s="329"/>
      <c r="O63" s="257"/>
    </row>
    <row r="66" spans="2:16" ht="21.75" thickBot="1" x14ac:dyDescent="0.4">
      <c r="B66" s="264" t="s">
        <v>110</v>
      </c>
    </row>
    <row r="67" spans="2:16" ht="16.5" thickBot="1" x14ac:dyDescent="0.3">
      <c r="B67" s="262" t="s">
        <v>118</v>
      </c>
      <c r="C67" s="263"/>
      <c r="D67" s="272">
        <f>D36</f>
        <v>0</v>
      </c>
      <c r="E67" s="480"/>
      <c r="G67" s="189" t="e">
        <f>IF(C40&gt;0.2,"THIS PRODUCT WILL NOT CARRY ANY UL APPROVALS. CONDUCTOR DIAMETER EXCEEDS UL MAXIMUM OF 0.200 inches / 5mm.","")</f>
        <v>#N/A</v>
      </c>
    </row>
    <row r="68" spans="2:16" ht="16.5" thickBot="1" x14ac:dyDescent="0.3">
      <c r="B68" s="290" t="s">
        <v>114</v>
      </c>
      <c r="C68" s="291"/>
      <c r="D68" s="292"/>
      <c r="E68" s="156"/>
      <c r="F68" s="126" t="str">
        <f>IF(D68="ETFE","T",IF(D68="FEP","F",IF(D68="PFA","P","_")))</f>
        <v>_</v>
      </c>
      <c r="G68" s="259" t="e">
        <f>IF(C40&gt;0.2,"MAXIMUM UL CONDUCTOR DIAMETER IS .200 in. / 5.0mm FOR INSULATED WINDING WIRES.",IF(D68="FEP","",IF(D9&gt;12404,"SELECT FEP INSULATION IF UL APPROVALS ARE DESIRED/NECESSARY.","")))</f>
        <v>#N/A</v>
      </c>
      <c r="P68" t="s">
        <v>115</v>
      </c>
    </row>
    <row r="69" spans="2:16" ht="15.75" thickBot="1" x14ac:dyDescent="0.3">
      <c r="B69" s="293" t="s">
        <v>111</v>
      </c>
      <c r="C69" s="294"/>
      <c r="D69" s="295"/>
      <c r="E69" s="295"/>
      <c r="F69" s="251"/>
      <c r="G69" s="270" t="s">
        <v>128</v>
      </c>
      <c r="P69" t="s">
        <v>116</v>
      </c>
    </row>
    <row r="70" spans="2:16" ht="15.75" thickBot="1" x14ac:dyDescent="0.3">
      <c r="B70" s="517" t="s">
        <v>105</v>
      </c>
      <c r="C70" s="518"/>
      <c r="D70" s="519"/>
      <c r="E70" s="517" t="s">
        <v>108</v>
      </c>
      <c r="F70" s="519"/>
      <c r="G70" s="99" t="s">
        <v>129</v>
      </c>
      <c r="P70" t="s">
        <v>117</v>
      </c>
    </row>
    <row r="71" spans="2:16" ht="15.75" thickBot="1" x14ac:dyDescent="0.3">
      <c r="B71" s="299"/>
      <c r="C71" s="286" t="s">
        <v>130</v>
      </c>
      <c r="D71" s="283" t="s">
        <v>131</v>
      </c>
      <c r="E71" s="286" t="s">
        <v>130</v>
      </c>
      <c r="F71" s="283" t="s">
        <v>131</v>
      </c>
      <c r="G71" s="99"/>
    </row>
    <row r="72" spans="2:16" x14ac:dyDescent="0.25">
      <c r="B72" s="193" t="s">
        <v>40</v>
      </c>
      <c r="C72" s="420" t="e">
        <f>ROUND($C$39+2*E73-IF(C40&gt;0.1,0.002,0.001),3)</f>
        <v>#N/A</v>
      </c>
      <c r="D72" s="366" t="e">
        <f>C72*25.4</f>
        <v>#N/A</v>
      </c>
      <c r="E72" s="548" t="s">
        <v>109</v>
      </c>
      <c r="F72" s="549"/>
      <c r="G72" s="260"/>
      <c r="H72" s="260"/>
      <c r="I72" s="260"/>
      <c r="J72" s="260"/>
    </row>
    <row r="73" spans="2:16" x14ac:dyDescent="0.25">
      <c r="B73" s="195" t="s">
        <v>41</v>
      </c>
      <c r="C73" s="307" t="e">
        <f>ROUND($C$40+2*E73,3)</f>
        <v>#N/A</v>
      </c>
      <c r="D73" s="367" t="e">
        <f t="shared" ref="D73:D74" si="70">C73*25.4</f>
        <v>#N/A</v>
      </c>
      <c r="E73" s="474" t="e">
        <f>IF(OR(D68="ETFE",D68="PFA"),IF(H73&lt;0.0015,0.0015,H73),IF(AND(D68="FEP",D9&lt;1939,H73&lt;0.002),0.002,IF(AND(D68="FEP",D9&gt;1938,D9&lt;12405,H73&lt;0.003),0.003,IF(AND(D68="FEP",D9&gt;12404,D9&lt;24978,H73&lt;0.01),0.01,IF(AND(D68="FEP",D9&gt;24977,H73&lt;0.012),0.012,H73)))))</f>
        <v>#N/A</v>
      </c>
      <c r="F73" s="475" t="e">
        <f>E73*25.4</f>
        <v>#N/A</v>
      </c>
      <c r="G73" s="126" t="e">
        <f>$C$40*0.06</f>
        <v>#N/A</v>
      </c>
      <c r="H73" s="126" t="e">
        <f>IF(ROUND(G73,3)&lt;G73,ROUND(G73,3)+0.0005,MROUND(G73,0.0005))</f>
        <v>#N/A</v>
      </c>
      <c r="I73" s="260"/>
      <c r="J73" s="260"/>
    </row>
    <row r="74" spans="2:16" ht="15.75" thickBot="1" x14ac:dyDescent="0.3">
      <c r="B74" s="196" t="s">
        <v>43</v>
      </c>
      <c r="C74" s="421" t="e">
        <f>ROUND($C$41+2*E73+IF(C40&gt;0.1,0.002,0.001),3)</f>
        <v>#N/A</v>
      </c>
      <c r="D74" s="368" t="e">
        <f t="shared" si="70"/>
        <v>#N/A</v>
      </c>
      <c r="E74" s="546" t="s">
        <v>109</v>
      </c>
      <c r="F74" s="547"/>
      <c r="G74" s="189" t="e">
        <f>IF(OR(D73&lt;H73,D73&lt;0.0015,),"CONSULT RUBADUE ENGINEERING TO VERIFY MANUFACTURING CAPABILITY ON THIS WALL THICKNESS.",IF(D9&lt;9.61,"CONSULT RUBADUE ENGINEERING TO VERIFY MANUFACTURING CAPABILITY.",""))</f>
        <v>#N/A</v>
      </c>
      <c r="H74" s="260"/>
      <c r="I74" s="260"/>
      <c r="J74" s="260"/>
    </row>
    <row r="75" spans="2:16" ht="15.75" thickBot="1" x14ac:dyDescent="0.3">
      <c r="B75" s="256" t="e">
        <f>"Rubadue Part Number: SXXL"&amp;$D$3&amp;"/"&amp;$D$4&amp;F68&amp;"X-"&amp;E73*1000&amp;"(MW"&amp;VLOOKUP($D$36,MagGrade,2,0)&amp;")"</f>
        <v>#N/A</v>
      </c>
      <c r="C75" s="197"/>
      <c r="D75" s="241"/>
      <c r="E75" s="241"/>
      <c r="F75" s="247"/>
      <c r="G75" s="189" t="e">
        <f>IF(D9&lt;9.61,"CONSULT PLANT TO CONFIRM MANUFACURING CAPABILITY. THIS PART WILL NOT CARRY UL APPROVALS.",IF(OR(AND(D68="FEP",D9&lt;1939,E73&lt;0.002),AND(D68="FEP",D9&gt;1938,D9&lt;12405,E73&lt;0.003),AND(D68="FEP",D9&gt;12404,D9&lt;24978,E73&lt;0.01),AND(D68="FEP",D9&gt;24977,D9&lt;40000,E73&lt;0.012),AND(D68="ETFE",E73&lt;0.0015),AND(D68="FEP",E73&lt;0.002),AND(D68="PFA",OR(AND(D9&lt;187,E73&lt;0.0015),AND(D9&gt;186,D9&lt;770,E73&lt;0.002)))),"INCREASE WALL THICKNESSES IF UL APPROVALS ARE REQUIRED. IF UL APPROVALS ARE NOT REQUIRED, CONSULT THE FACTORY TO CONFIRM MANUFACTURABILITY.",IF(AND(OR(D68="ETFE",D68="PFA"),D9&gt;769),"THIS PART WILL NOT CARRY UL APPROVALS. CONSIDER FEP INSULATION OR SUPPLEMENTAL/REINFORCED INSULATION.","")))</f>
        <v>#N/A</v>
      </c>
      <c r="H75" s="260"/>
      <c r="I75" s="260"/>
      <c r="J75" s="260"/>
    </row>
    <row r="76" spans="2:16" ht="15.75" thickBot="1" x14ac:dyDescent="0.3">
      <c r="B76" s="271"/>
      <c r="C76" s="257"/>
      <c r="D76" s="258"/>
      <c r="E76" s="258"/>
      <c r="F76" s="479" t="str">
        <f>IF(D68="ETFE","T",IF(D68="FEP","F",IF(D68="PFA","P","_")))</f>
        <v>_</v>
      </c>
      <c r="G76" s="260"/>
      <c r="H76" s="260"/>
      <c r="I76" s="260"/>
      <c r="J76" s="260"/>
    </row>
    <row r="77" spans="2:16" ht="15.75" thickBot="1" x14ac:dyDescent="0.3">
      <c r="B77" s="253" t="s">
        <v>112</v>
      </c>
      <c r="C77" s="199"/>
      <c r="D77" s="242"/>
      <c r="E77" s="242"/>
      <c r="F77" s="248"/>
      <c r="G77" s="260"/>
      <c r="H77" s="260"/>
      <c r="I77" s="260"/>
      <c r="J77" s="260"/>
    </row>
    <row r="78" spans="2:16" ht="15.75" thickBot="1" x14ac:dyDescent="0.3">
      <c r="B78" s="550" t="s">
        <v>106</v>
      </c>
      <c r="C78" s="551"/>
      <c r="D78" s="552"/>
      <c r="E78" s="525" t="s">
        <v>108</v>
      </c>
      <c r="F78" s="526"/>
      <c r="G78" s="260"/>
      <c r="H78" s="260"/>
      <c r="I78" s="260"/>
      <c r="J78" s="260"/>
    </row>
    <row r="79" spans="2:16" ht="15.75" thickBot="1" x14ac:dyDescent="0.3">
      <c r="B79" s="301"/>
      <c r="C79" s="375" t="s">
        <v>130</v>
      </c>
      <c r="D79" s="300" t="s">
        <v>131</v>
      </c>
      <c r="E79" s="375" t="s">
        <v>130</v>
      </c>
      <c r="F79" s="300" t="s">
        <v>131</v>
      </c>
      <c r="G79" s="260"/>
      <c r="H79" s="260"/>
      <c r="I79" s="260"/>
      <c r="J79" s="260"/>
    </row>
    <row r="80" spans="2:16" x14ac:dyDescent="0.25">
      <c r="B80" s="302" t="s">
        <v>40</v>
      </c>
      <c r="C80" s="422" t="e">
        <f>ROUND($C$39+2*2*E81-IF(C47&gt;0.1,0.002,0.001),3)</f>
        <v>#N/A</v>
      </c>
      <c r="D80" s="369" t="e">
        <f>C80*25.4</f>
        <v>#N/A</v>
      </c>
      <c r="E80" s="542" t="s">
        <v>109</v>
      </c>
      <c r="F80" s="543"/>
      <c r="G80" s="260"/>
      <c r="H80" s="260"/>
      <c r="I80" s="260"/>
      <c r="J80" s="260"/>
    </row>
    <row r="81" spans="2:11" x14ac:dyDescent="0.25">
      <c r="B81" s="303" t="s">
        <v>41</v>
      </c>
      <c r="C81" s="305" t="e">
        <f>ROUND($C$40+2*2*E81,3)</f>
        <v>#N/A</v>
      </c>
      <c r="D81" s="370" t="e">
        <f t="shared" ref="D81:D82" si="71">C81*25.4</f>
        <v>#N/A</v>
      </c>
      <c r="E81" s="476" t="b">
        <f>IF(D68="ETFE",IF(H81&lt;0.001,0.001,H81),IF(D68="PFA",IF(H81&lt;0.0015,0.0015,H81),IF(D68="FEP",IF(D9&lt;12405,IF(H81&lt;0.002,0.002,H81),IF(D9&lt;24978,IF(H81&lt;0.005,0.005,H81),IF(H81&lt;0.006,0.006,H81))))))</f>
        <v>0</v>
      </c>
      <c r="F81" s="475">
        <f>E81*25.4</f>
        <v>0</v>
      </c>
      <c r="G81" s="126" t="e">
        <f>$C$40*0.06</f>
        <v>#N/A</v>
      </c>
      <c r="H81" s="126" t="e">
        <f>IF(ROUND(G81/2,3)&lt;G81/2,ROUND(G81/2,3)+0.0005,IF(MROUND(G81/2,0.0005)&lt;G81/2,ROUND(G81/2,3),MROUND(G81/2,0.0005)))</f>
        <v>#N/A</v>
      </c>
      <c r="I81" s="260"/>
      <c r="J81" s="260"/>
    </row>
    <row r="82" spans="2:11" ht="15.75" thickBot="1" x14ac:dyDescent="0.3">
      <c r="B82" s="304" t="s">
        <v>43</v>
      </c>
      <c r="C82" s="423" t="e">
        <f>ROUND($C$41+2*2*E81+IF(C47&gt;0.1,0.002,0.001),3)</f>
        <v>#N/A</v>
      </c>
      <c r="D82" s="371" t="e">
        <f t="shared" si="71"/>
        <v>#N/A</v>
      </c>
      <c r="E82" s="544" t="s">
        <v>109</v>
      </c>
      <c r="F82" s="545"/>
      <c r="G82" s="189" t="e">
        <f>IF(D81&lt;H81,"CONSULT RUBADUE ENGINEERING TO VERIFY MANUFACTURING CAPABILITY ON THIS WALL THICKNESS.","")</f>
        <v>#N/A</v>
      </c>
      <c r="H82" s="260"/>
      <c r="I82" s="260"/>
      <c r="J82" s="260"/>
    </row>
    <row r="83" spans="2:11" ht="15.75" thickBot="1" x14ac:dyDescent="0.3">
      <c r="B83" s="255" t="e">
        <f>"Rubadue Part Number: DXXL"&amp;$D$3&amp;"/"&amp;$D$4&amp;F76&amp;"XX-"&amp;E81*1000&amp;"(MW"&amp;VLOOKUP($D$36,MagGrade,2,0)&amp;")"</f>
        <v>#N/A</v>
      </c>
      <c r="C83" s="205"/>
      <c r="D83" s="243"/>
      <c r="E83" s="243"/>
      <c r="F83" s="249"/>
      <c r="G83" s="189" t="str">
        <f>IF(D9&lt;9.61,"CONSULT PLANT TO CONFIRM MANUFACURING CAPABILITY. THIS PART WILL NOT CARRY UL APPROVALS.",IF(OR(AND(D68="ETFE",D9&lt;122,E81&lt;0.001),AND(D68="ETFE",D9&gt;121,D9&lt;2886,E81&lt;0.0015),AND(D68="ETFE",D9&gt;2885,D9&lt;12405,E81&lt;0.003)),"THIS PART WILL NOT CARRY UL APPROVALS. CONSIDER FEP INSULATION OR REINFORCED INSULATION.",IF(AND(D68="ETFE",D9&gt;12404),"THIS PART WILL NOT CARRY UL APPROVALS. CONSIDER FEP INSULATION.",IF(AND(D68="PFA",D9&gt;1938),"THIS PART WILL NOT CARRY UL APPROVALS. CONSIDER FEP INSULATION OR REINFORCED INSULATION.",IF(OR(AND(D68="FEP",D9&lt;12405,E81&lt;0.002),AND(D68="FEP",D9&gt;12404,D9&lt;24978,E81&lt;0.005),AND(D68="FEP",D9&gt;24977,D9&lt;40000,E81&lt;0.006)),"INCREASE WALL THICKNESS IF UL APPROVAL IS REQUIRED.","")))))</f>
        <v/>
      </c>
      <c r="H83" s="260"/>
      <c r="I83" s="260"/>
      <c r="J83" s="260"/>
    </row>
    <row r="84" spans="2:11" ht="15.75" thickBot="1" x14ac:dyDescent="0.3">
      <c r="B84" s="271"/>
      <c r="C84" s="257"/>
      <c r="D84" s="258"/>
      <c r="E84" s="258"/>
      <c r="F84" s="479" t="str">
        <f>IF(D68="ETFE","T",IF(D68="FEP","F",IF(D68="PFA","P","_")))</f>
        <v>_</v>
      </c>
      <c r="G84" s="260"/>
      <c r="H84" s="260"/>
      <c r="I84" s="260"/>
      <c r="J84" s="260"/>
    </row>
    <row r="85" spans="2:11" ht="15.75" thickBot="1" x14ac:dyDescent="0.3">
      <c r="B85" s="252" t="s">
        <v>113</v>
      </c>
      <c r="C85" s="207"/>
      <c r="D85" s="244"/>
      <c r="E85" s="244"/>
      <c r="F85" s="250"/>
      <c r="G85" s="260"/>
      <c r="H85" s="260"/>
      <c r="I85" s="260"/>
      <c r="J85" s="260"/>
    </row>
    <row r="86" spans="2:11" ht="15.75" thickBot="1" x14ac:dyDescent="0.3">
      <c r="B86" s="539" t="s">
        <v>107</v>
      </c>
      <c r="C86" s="540"/>
      <c r="D86" s="541"/>
      <c r="E86" s="523" t="s">
        <v>108</v>
      </c>
      <c r="F86" s="524"/>
      <c r="G86" s="260"/>
      <c r="H86" s="260"/>
      <c r="I86" s="260"/>
      <c r="J86" s="260"/>
    </row>
    <row r="87" spans="2:11" ht="15.75" thickBot="1" x14ac:dyDescent="0.3">
      <c r="B87" s="296"/>
      <c r="C87" s="355" t="s">
        <v>130</v>
      </c>
      <c r="D87" s="284" t="s">
        <v>131</v>
      </c>
      <c r="E87" s="280" t="s">
        <v>130</v>
      </c>
      <c r="F87" s="297" t="s">
        <v>131</v>
      </c>
      <c r="G87" s="260"/>
      <c r="H87" s="260"/>
      <c r="I87" s="260"/>
      <c r="J87" s="260"/>
    </row>
    <row r="88" spans="2:11" x14ac:dyDescent="0.25">
      <c r="B88" s="233" t="s">
        <v>40</v>
      </c>
      <c r="C88" s="424" t="e">
        <f>ROUND($C$39+2*3*E89-IF(C54&gt;0.1,0.002,0.001),3)</f>
        <v>#N/A</v>
      </c>
      <c r="D88" s="372" t="e">
        <f>C88*25.4</f>
        <v>#N/A</v>
      </c>
      <c r="E88" s="535" t="s">
        <v>109</v>
      </c>
      <c r="F88" s="536"/>
      <c r="G88" s="260"/>
      <c r="H88" s="260"/>
      <c r="I88" s="260"/>
      <c r="J88" s="260"/>
    </row>
    <row r="89" spans="2:11" x14ac:dyDescent="0.25">
      <c r="B89" s="212" t="s">
        <v>41</v>
      </c>
      <c r="C89" s="323" t="e">
        <f>ROUND($C$40+2*3*E89,3)</f>
        <v>#N/A</v>
      </c>
      <c r="D89" s="373" t="e">
        <f>C89*25.4</f>
        <v>#N/A</v>
      </c>
      <c r="E89" s="477" t="b">
        <f>IF(D68="ETFE",IF(H89&lt;0.001,0.001,H89),IF(D68="PFA",IF(H89&lt;0.0015,0.0015,H89),IF(D68="FEP",IF(D9&lt;12405,IF(H89&lt;0.002,0.002,H89),IF(H89&lt;0.004,0.004,H89)))))</f>
        <v>0</v>
      </c>
      <c r="F89" s="475">
        <f>E89*25.4</f>
        <v>0</v>
      </c>
      <c r="G89" s="126" t="e">
        <f>$C$40*0.06</f>
        <v>#N/A</v>
      </c>
      <c r="H89" s="126" t="e">
        <f>IF(ROUND(G89/3,3)&lt;G89/3,ROUND(G89/3,3)+0.0005,IF(MROUND(G89/3,0.0005)&lt;G89/3,ROUND(G89/3,3),MROUND(G89/3,0.0005)))</f>
        <v>#N/A</v>
      </c>
      <c r="I89" s="260"/>
      <c r="J89" s="260"/>
    </row>
    <row r="90" spans="2:11" ht="15.75" thickBot="1" x14ac:dyDescent="0.3">
      <c r="B90" s="234" t="s">
        <v>43</v>
      </c>
      <c r="C90" s="425" t="e">
        <f>ROUND($C$41+2*3*E89+IF(C54&gt;0.1,0.002,0.001),3)</f>
        <v>#N/A</v>
      </c>
      <c r="D90" s="374" t="e">
        <f t="shared" ref="D90" si="72">C90*25.4</f>
        <v>#N/A</v>
      </c>
      <c r="E90" s="537" t="s">
        <v>109</v>
      </c>
      <c r="F90" s="538"/>
      <c r="G90" s="189" t="e">
        <f>IF(D89&lt;H89,"CONSULT RUBADUE ENGINEERING TO VERIFY MANUFACTURING CAPABILITY ON THIS WALL THICKNESS.","")</f>
        <v>#N/A</v>
      </c>
      <c r="H90" s="260"/>
      <c r="I90" s="260"/>
      <c r="J90" s="260"/>
    </row>
    <row r="91" spans="2:11" ht="15.75" thickBot="1" x14ac:dyDescent="0.3">
      <c r="B91" s="254" t="e">
        <f>"Rubadue Part Number: TXXL"&amp;$D$3&amp;"/"&amp;$D$4&amp;F84&amp;"XXX-"&amp;E89*1000&amp;"(MW"&amp;VLOOKUP($D$36,MagGrade,2,0)&amp;")"</f>
        <v>#N/A</v>
      </c>
      <c r="C91" s="214"/>
      <c r="D91" s="214"/>
      <c r="E91" s="214"/>
      <c r="F91" s="240"/>
      <c r="G91" s="189" t="str">
        <f>IF(D9&lt;9.61,"CONSULT PLANT TO CONFIRM MANUFACURING CAPABILITY. THIS PART WILL NOT CARRY UL APPROVALS.",IF(AND(D68="FEP",D9&lt;12405,E89&lt;0.002),"THIS PART WILL NOT CARRY UL APPROVALS. INCREASE INSULATION WALL THICKNESS TO AT LEAST 0.0020 INCHES.",IF(AND(D68="FEP",D9&gt;12404,E89&lt;0.004),"THIS PART WILL NOT CARRY UL APPROVALS. INCREASE INSULATION WALL THICKNESS TO AT LEAST 0.0040 INCHES.",IF(OR(AND(D68="ETFE",D9&lt;1241,E89&lt;0.001),AND(D68="ETFE",D9&gt;1240,D9&lt;4900,E89&lt;0.0015),AND(D68="ETFE",D9&gt;4899,D9&lt;12405,E89&lt;0.002),AND(OR(D68="PFA",D68="ETFE"),D9&gt;12404)),"THIS PART WILL NOT CARRY UL APPROVALS. CONSIDER FEP INSULATION.",""))))</f>
        <v/>
      </c>
      <c r="H91" s="260"/>
      <c r="I91" s="260"/>
      <c r="J91" s="260"/>
    </row>
    <row r="92" spans="2:11" x14ac:dyDescent="0.25">
      <c r="H92" s="260"/>
      <c r="I92" s="260"/>
      <c r="J92" s="260"/>
      <c r="K92" s="260"/>
    </row>
  </sheetData>
  <mergeCells count="54">
    <mergeCell ref="I3:J3"/>
    <mergeCell ref="I4:J4"/>
    <mergeCell ref="F5:G5"/>
    <mergeCell ref="I9:K9"/>
    <mergeCell ref="I10:K10"/>
    <mergeCell ref="F6:G6"/>
    <mergeCell ref="F9:G9"/>
    <mergeCell ref="F10:G10"/>
    <mergeCell ref="E74:F74"/>
    <mergeCell ref="E72:F72"/>
    <mergeCell ref="B78:D78"/>
    <mergeCell ref="E78:F78"/>
    <mergeCell ref="B51:D51"/>
    <mergeCell ref="B58:D58"/>
    <mergeCell ref="E70:F70"/>
    <mergeCell ref="B70:D70"/>
    <mergeCell ref="E86:F86"/>
    <mergeCell ref="E88:F88"/>
    <mergeCell ref="E90:F90"/>
    <mergeCell ref="B86:D86"/>
    <mergeCell ref="E80:F80"/>
    <mergeCell ref="E82:F82"/>
    <mergeCell ref="B37:D37"/>
    <mergeCell ref="B44:D44"/>
    <mergeCell ref="E51:F51"/>
    <mergeCell ref="E44:F44"/>
    <mergeCell ref="L58:N58"/>
    <mergeCell ref="E37:F37"/>
    <mergeCell ref="E58:F58"/>
    <mergeCell ref="H51:J51"/>
    <mergeCell ref="L51:N51"/>
    <mergeCell ref="H58:J58"/>
    <mergeCell ref="Q18:Q20"/>
    <mergeCell ref="Q30:Q31"/>
    <mergeCell ref="H37:J37"/>
    <mergeCell ref="L37:N37"/>
    <mergeCell ref="H44:J44"/>
    <mergeCell ref="L44:N44"/>
    <mergeCell ref="T18:T21"/>
    <mergeCell ref="B9:C9"/>
    <mergeCell ref="B10:C10"/>
    <mergeCell ref="B2:D2"/>
    <mergeCell ref="B3:C3"/>
    <mergeCell ref="B4:C4"/>
    <mergeCell ref="B7:C7"/>
    <mergeCell ref="B8:C8"/>
    <mergeCell ref="T9:T10"/>
    <mergeCell ref="T11:T12"/>
    <mergeCell ref="T13:T15"/>
    <mergeCell ref="T16:T17"/>
    <mergeCell ref="Q13:Q15"/>
    <mergeCell ref="Q16:Q17"/>
    <mergeCell ref="F2:H2"/>
    <mergeCell ref="I2:N2"/>
  </mergeCells>
  <dataValidations count="4">
    <dataValidation type="whole" allowBlank="1" showInputMessage="1" showErrorMessage="1" sqref="D4:E4" xr:uid="{644ABC3B-0064-4B0C-8E87-494FCD78023A}">
      <formula1>12</formula1>
      <formula2>50</formula2>
    </dataValidation>
    <dataValidation type="list" allowBlank="1" showInputMessage="1" showErrorMessage="1" sqref="D6" xr:uid="{BCCF8917-C03A-4E37-BCFC-BEF33CE081D4}">
      <formula1>$V$1:$V$3</formula1>
    </dataValidation>
    <dataValidation type="list" allowBlank="1" showInputMessage="1" showErrorMessage="1" sqref="D68" xr:uid="{2515FF7F-BC0F-4A00-8144-74C9336761C6}">
      <formula1>$P$68:$P$70</formula1>
    </dataValidation>
    <dataValidation type="list" allowBlank="1" showInputMessage="1" showErrorMessage="1" sqref="D36 D67" xr:uid="{AB8DD103-C62F-4950-9AB7-E6D6AF7A1E67}">
      <formula1>$Q$36:$Q$43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E08-8091-4479-96A9-1DDDE737B8C2}">
  <sheetPr codeName="Sheet5"/>
  <dimension ref="A1:Q23"/>
  <sheetViews>
    <sheetView workbookViewId="0">
      <selection activeCell="N6" sqref="N6"/>
    </sheetView>
  </sheetViews>
  <sheetFormatPr defaultRowHeight="15" x14ac:dyDescent="0.25"/>
  <cols>
    <col min="5" max="5" width="12" bestFit="1" customWidth="1"/>
    <col min="17" max="17" width="12" bestFit="1" customWidth="1"/>
  </cols>
  <sheetData>
    <row r="1" spans="1:17" ht="15.75" thickBot="1" x14ac:dyDescent="0.3"/>
    <row r="2" spans="1:17" ht="15.75" thickBot="1" x14ac:dyDescent="0.3">
      <c r="E2" s="489" t="s">
        <v>173</v>
      </c>
      <c r="G2" s="488" t="s">
        <v>174</v>
      </c>
    </row>
    <row r="3" spans="1:17" x14ac:dyDescent="0.25">
      <c r="B3" t="s">
        <v>155</v>
      </c>
    </row>
    <row r="4" spans="1:17" x14ac:dyDescent="0.25">
      <c r="A4" t="s">
        <v>156</v>
      </c>
      <c r="B4" t="s">
        <v>157</v>
      </c>
      <c r="E4" s="484">
        <f>1.72*10^-8</f>
        <v>1.7199999999999999E-8</v>
      </c>
      <c r="F4" t="s">
        <v>158</v>
      </c>
      <c r="K4" s="487" t="s">
        <v>177</v>
      </c>
      <c r="L4" s="490" t="s">
        <v>175</v>
      </c>
    </row>
    <row r="5" spans="1:17" x14ac:dyDescent="0.25">
      <c r="B5" t="s">
        <v>159</v>
      </c>
      <c r="E5" s="484">
        <v>1200</v>
      </c>
      <c r="F5" t="s">
        <v>160</v>
      </c>
      <c r="K5" s="487" t="s">
        <v>178</v>
      </c>
      <c r="L5" s="490" t="s">
        <v>176</v>
      </c>
    </row>
    <row r="6" spans="1:17" x14ac:dyDescent="0.25">
      <c r="B6" t="s">
        <v>161</v>
      </c>
      <c r="E6" s="491">
        <f>PI()*4*(10^-7)</f>
        <v>1.2566370614359173E-6</v>
      </c>
      <c r="F6" t="s">
        <v>162</v>
      </c>
      <c r="K6" s="487" t="s">
        <v>184</v>
      </c>
      <c r="L6" s="490" t="s">
        <v>183</v>
      </c>
      <c r="N6">
        <v>3.9300000000000003E-3</v>
      </c>
      <c r="O6">
        <v>20</v>
      </c>
      <c r="P6">
        <v>180</v>
      </c>
      <c r="Q6">
        <f>E4*(1+N6*(P6-O6))</f>
        <v>2.8015359999999999E-8</v>
      </c>
    </row>
    <row r="7" spans="1:17" x14ac:dyDescent="0.25">
      <c r="E7" s="154"/>
      <c r="K7" s="487" t="s">
        <v>185</v>
      </c>
      <c r="L7" s="490" t="s">
        <v>186</v>
      </c>
    </row>
    <row r="8" spans="1:17" x14ac:dyDescent="0.25">
      <c r="D8" s="487" t="s">
        <v>155</v>
      </c>
      <c r="E8" s="491">
        <f>SQRT(E4/(PI()*E5*E6))</f>
        <v>1.9054332177181571E-3</v>
      </c>
      <c r="F8" t="s">
        <v>163</v>
      </c>
    </row>
    <row r="9" spans="1:17" x14ac:dyDescent="0.25">
      <c r="E9" s="491">
        <f>E8*1000</f>
        <v>1.905433217718157</v>
      </c>
      <c r="F9" t="s">
        <v>131</v>
      </c>
      <c r="G9" s="486">
        <f>E9/25.4</f>
        <v>7.5017055815675471E-2</v>
      </c>
      <c r="H9" t="s">
        <v>164</v>
      </c>
    </row>
    <row r="10" spans="1:17" x14ac:dyDescent="0.25">
      <c r="E10" s="154"/>
    </row>
    <row r="11" spans="1:17" x14ac:dyDescent="0.25">
      <c r="D11" s="487" t="s">
        <v>165</v>
      </c>
      <c r="E11" s="491">
        <f>E9*2</f>
        <v>3.810866435436314</v>
      </c>
      <c r="F11" t="s">
        <v>131</v>
      </c>
      <c r="G11" s="486">
        <f>E11/25.4</f>
        <v>0.15003411163135094</v>
      </c>
      <c r="H11" t="s">
        <v>164</v>
      </c>
    </row>
    <row r="12" spans="1:17" x14ac:dyDescent="0.25">
      <c r="E12" s="154"/>
    </row>
    <row r="13" spans="1:17" x14ac:dyDescent="0.25">
      <c r="D13" s="487" t="s">
        <v>172</v>
      </c>
      <c r="E13" s="484">
        <v>12</v>
      </c>
    </row>
    <row r="14" spans="1:17" x14ac:dyDescent="0.25">
      <c r="D14" s="487" t="s">
        <v>166</v>
      </c>
      <c r="E14" s="491">
        <f>VLOOKUP(E13,litzBARE11[[AWG]:[NOM BARE OD (in.)]],3,0)</f>
        <v>8.0799999999999997E-2</v>
      </c>
      <c r="F14" t="s">
        <v>167</v>
      </c>
    </row>
    <row r="15" spans="1:17" x14ac:dyDescent="0.25">
      <c r="D15" s="487" t="s">
        <v>166</v>
      </c>
      <c r="E15" s="492">
        <f>E14*25.4</f>
        <v>2.0523199999999999</v>
      </c>
      <c r="F15" t="s">
        <v>179</v>
      </c>
    </row>
    <row r="16" spans="1:17" x14ac:dyDescent="0.25">
      <c r="D16" s="487" t="s">
        <v>166</v>
      </c>
      <c r="E16" s="493">
        <f>E14*25.4/1000</f>
        <v>2.0523199999999998E-3</v>
      </c>
      <c r="F16" t="s">
        <v>163</v>
      </c>
    </row>
    <row r="17" spans="4:5" x14ac:dyDescent="0.25">
      <c r="D17" s="487" t="s">
        <v>168</v>
      </c>
      <c r="E17" s="491">
        <f>ROUNDDOWN(4*(E8*E8/(E16*E16)),0)</f>
        <v>3</v>
      </c>
    </row>
    <row r="19" spans="4:5" x14ac:dyDescent="0.25">
      <c r="D19" t="s">
        <v>169</v>
      </c>
    </row>
    <row r="20" spans="4:5" x14ac:dyDescent="0.25">
      <c r="D20" s="99" t="s">
        <v>170</v>
      </c>
    </row>
    <row r="22" spans="4:5" x14ac:dyDescent="0.25">
      <c r="D22" t="s">
        <v>180</v>
      </c>
    </row>
    <row r="23" spans="4:5" x14ac:dyDescent="0.25">
      <c r="D23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B3547A-208B-4D91-835F-BF53E792E41E}">
          <x14:formula1>
            <xm:f>'Preferred strand sizes'!$A$3:$A$41</xm:f>
          </x14:formula1>
          <xm:sqref>E13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06F3-CD02-4BF5-BD5D-3F0442EDF0FB}">
  <sheetPr codeName="Sheet4"/>
  <dimension ref="A1:L41"/>
  <sheetViews>
    <sheetView workbookViewId="0">
      <selection activeCell="E35" sqref="E35"/>
    </sheetView>
  </sheetViews>
  <sheetFormatPr defaultRowHeight="15" x14ac:dyDescent="0.25"/>
  <cols>
    <col min="3" max="3" width="10.85546875" customWidth="1"/>
    <col min="6" max="6" width="17.7109375" customWidth="1"/>
  </cols>
  <sheetData>
    <row r="1" spans="1:12" ht="15" customHeight="1" thickBot="1" x14ac:dyDescent="0.3">
      <c r="A1" s="585" t="s">
        <v>4</v>
      </c>
      <c r="B1" s="586"/>
      <c r="C1" s="586"/>
      <c r="D1" s="586"/>
      <c r="E1" s="586"/>
      <c r="F1" s="457"/>
    </row>
    <row r="2" spans="1:12" ht="26.25" thickBot="1" x14ac:dyDescent="0.3">
      <c r="A2" s="429" t="s">
        <v>3</v>
      </c>
      <c r="B2" s="430" t="s">
        <v>131</v>
      </c>
      <c r="C2" s="431" t="s">
        <v>138</v>
      </c>
      <c r="D2" s="429" t="s">
        <v>11</v>
      </c>
      <c r="E2" s="458" t="s">
        <v>53</v>
      </c>
      <c r="F2" s="471" t="s">
        <v>143</v>
      </c>
    </row>
    <row r="3" spans="1:12" x14ac:dyDescent="0.25">
      <c r="A3" s="436">
        <v>12</v>
      </c>
      <c r="B3" s="437">
        <f>litzBARE11[[#This Row],[NOM BARE OD (in.)]]*25.4</f>
        <v>2.0523199999999999</v>
      </c>
      <c r="C3" s="442">
        <v>8.0799999999999997E-2</v>
      </c>
      <c r="D3" s="445">
        <f t="shared" ref="D3:D41" si="0">(C3*1000)^2</f>
        <v>6528.6399999999994</v>
      </c>
      <c r="E3" s="459">
        <v>6399</v>
      </c>
      <c r="F3" s="470"/>
      <c r="G3" s="573" t="s">
        <v>136</v>
      </c>
      <c r="H3" s="573"/>
      <c r="I3" s="573"/>
      <c r="J3" s="573"/>
      <c r="K3" s="573"/>
      <c r="L3" s="574"/>
    </row>
    <row r="4" spans="1:12" x14ac:dyDescent="0.25">
      <c r="A4" s="432">
        <v>13</v>
      </c>
      <c r="B4" s="428">
        <f>litzBARE11[[#This Row],[NOM BARE OD (in.)]]*25.4</f>
        <v>1.8287999999999998</v>
      </c>
      <c r="C4" s="443">
        <v>7.1999999999999995E-2</v>
      </c>
      <c r="D4" s="446">
        <f t="shared" si="0"/>
        <v>5184</v>
      </c>
      <c r="E4" s="460">
        <v>5076</v>
      </c>
      <c r="F4" s="466"/>
      <c r="G4" s="575"/>
      <c r="H4" s="575"/>
      <c r="I4" s="575"/>
      <c r="J4" s="575"/>
      <c r="K4" s="575"/>
      <c r="L4" s="576"/>
    </row>
    <row r="5" spans="1:12" x14ac:dyDescent="0.25">
      <c r="A5" s="432">
        <v>14</v>
      </c>
      <c r="B5" s="428">
        <f>litzBARE11[[#This Row],[NOM BARE OD (in.)]]*25.4</f>
        <v>1.6281399999999999</v>
      </c>
      <c r="C5" s="443">
        <v>6.4100000000000004E-2</v>
      </c>
      <c r="D5" s="446">
        <f t="shared" si="0"/>
        <v>4108.8100000000013</v>
      </c>
      <c r="E5" s="460">
        <v>4028</v>
      </c>
      <c r="F5" s="466"/>
      <c r="G5" s="575"/>
      <c r="H5" s="575"/>
      <c r="I5" s="575"/>
      <c r="J5" s="575"/>
      <c r="K5" s="575"/>
      <c r="L5" s="576"/>
    </row>
    <row r="6" spans="1:12" x14ac:dyDescent="0.25">
      <c r="A6" s="432">
        <v>15</v>
      </c>
      <c r="B6" s="428">
        <f>litzBARE11[[#This Row],[NOM BARE OD (in.)]]*25.4</f>
        <v>1.45034</v>
      </c>
      <c r="C6" s="443">
        <v>5.7099999999999998E-2</v>
      </c>
      <c r="D6" s="446">
        <f t="shared" si="0"/>
        <v>3260.4100000000003</v>
      </c>
      <c r="E6" s="460">
        <v>3195</v>
      </c>
      <c r="F6" s="466"/>
      <c r="G6" s="575"/>
      <c r="H6" s="575"/>
      <c r="I6" s="575"/>
      <c r="J6" s="575"/>
      <c r="K6" s="575"/>
      <c r="L6" s="576"/>
    </row>
    <row r="7" spans="1:12" x14ac:dyDescent="0.25">
      <c r="A7" s="432">
        <v>16</v>
      </c>
      <c r="B7" s="428">
        <f>litzBARE11[[#This Row],[NOM BARE OD (in.)]]*25.4</f>
        <v>1.2903199999999999</v>
      </c>
      <c r="C7" s="443">
        <v>5.0799999999999998E-2</v>
      </c>
      <c r="D7" s="446">
        <f t="shared" si="0"/>
        <v>2580.64</v>
      </c>
      <c r="E7" s="460">
        <v>2528</v>
      </c>
      <c r="F7" s="466"/>
      <c r="G7" s="575"/>
      <c r="H7" s="575"/>
      <c r="I7" s="575"/>
      <c r="J7" s="575"/>
      <c r="K7" s="575"/>
      <c r="L7" s="576"/>
    </row>
    <row r="8" spans="1:12" x14ac:dyDescent="0.25">
      <c r="A8" s="432">
        <v>17</v>
      </c>
      <c r="B8" s="428">
        <f>litzBARE11[[#This Row],[NOM BARE OD (in.)]]*25.4</f>
        <v>1.15062</v>
      </c>
      <c r="C8" s="443">
        <v>4.53E-2</v>
      </c>
      <c r="D8" s="446">
        <f t="shared" si="0"/>
        <v>2052.0899999999997</v>
      </c>
      <c r="E8" s="460">
        <v>2009</v>
      </c>
      <c r="F8" s="466"/>
      <c r="G8" s="575"/>
      <c r="H8" s="575"/>
      <c r="I8" s="575"/>
      <c r="J8" s="575"/>
      <c r="K8" s="575"/>
      <c r="L8" s="576"/>
    </row>
    <row r="9" spans="1:12" x14ac:dyDescent="0.25">
      <c r="A9" s="432">
        <v>18</v>
      </c>
      <c r="B9" s="428">
        <f>litzBARE11[[#This Row],[NOM BARE OD (in.)]]*25.4</f>
        <v>1.02362</v>
      </c>
      <c r="C9" s="443">
        <v>4.0300000000000002E-2</v>
      </c>
      <c r="D9" s="446">
        <f t="shared" si="0"/>
        <v>1624.0900000000004</v>
      </c>
      <c r="E9" s="460">
        <v>1588</v>
      </c>
      <c r="F9" s="466"/>
      <c r="G9" s="575"/>
      <c r="H9" s="575"/>
      <c r="I9" s="575"/>
      <c r="J9" s="575"/>
      <c r="K9" s="575"/>
      <c r="L9" s="576"/>
    </row>
    <row r="10" spans="1:12" x14ac:dyDescent="0.25">
      <c r="A10" s="432">
        <v>19</v>
      </c>
      <c r="B10" s="428">
        <f>litzBARE11[[#This Row],[NOM BARE OD (in.)]]*25.4</f>
        <v>0.91186</v>
      </c>
      <c r="C10" s="443">
        <v>3.5900000000000001E-2</v>
      </c>
      <c r="D10" s="446">
        <f t="shared" si="0"/>
        <v>1288.81</v>
      </c>
      <c r="E10" s="460">
        <v>1264</v>
      </c>
      <c r="F10" s="466"/>
      <c r="G10" s="575"/>
      <c r="H10" s="575"/>
      <c r="I10" s="575"/>
      <c r="J10" s="575"/>
      <c r="K10" s="575"/>
      <c r="L10" s="576"/>
    </row>
    <row r="11" spans="1:12" x14ac:dyDescent="0.25">
      <c r="A11" s="432">
        <v>20</v>
      </c>
      <c r="B11" s="428">
        <f>litzBARE11[[#This Row],[NOM BARE OD (in.)]]*25.4</f>
        <v>0.81279999999999997</v>
      </c>
      <c r="C11" s="443">
        <v>3.2000000000000001E-2</v>
      </c>
      <c r="D11" s="446">
        <f t="shared" si="0"/>
        <v>1024</v>
      </c>
      <c r="E11" s="460">
        <v>1000</v>
      </c>
      <c r="F11" s="466"/>
      <c r="G11" s="575"/>
      <c r="H11" s="575"/>
      <c r="I11" s="575"/>
      <c r="J11" s="575"/>
      <c r="K11" s="575"/>
      <c r="L11" s="576"/>
    </row>
    <row r="12" spans="1:12" x14ac:dyDescent="0.25">
      <c r="A12" s="432">
        <v>21</v>
      </c>
      <c r="B12" s="428">
        <f>litzBARE11[[#This Row],[NOM BARE OD (in.)]]*25.4</f>
        <v>0.72389999999999999</v>
      </c>
      <c r="C12" s="443">
        <v>2.8500000000000001E-2</v>
      </c>
      <c r="D12" s="446">
        <f t="shared" si="0"/>
        <v>812.25</v>
      </c>
      <c r="E12" s="461">
        <v>796</v>
      </c>
      <c r="F12" s="467"/>
      <c r="G12" s="575"/>
      <c r="H12" s="575"/>
      <c r="I12" s="575"/>
      <c r="J12" s="575"/>
      <c r="K12" s="575"/>
      <c r="L12" s="576"/>
    </row>
    <row r="13" spans="1:12" ht="15.75" thickBot="1" x14ac:dyDescent="0.3">
      <c r="A13" s="440">
        <v>22</v>
      </c>
      <c r="B13" s="441">
        <f>litzBARE11[[#This Row],[NOM BARE OD (in.)]]*25.4</f>
        <v>0.64261999999999997</v>
      </c>
      <c r="C13" s="444">
        <v>2.53E-2</v>
      </c>
      <c r="D13" s="447">
        <f t="shared" si="0"/>
        <v>640.09</v>
      </c>
      <c r="E13" s="462">
        <v>627</v>
      </c>
      <c r="F13" s="472"/>
      <c r="G13" s="577"/>
      <c r="H13" s="577"/>
      <c r="I13" s="577"/>
      <c r="J13" s="577"/>
      <c r="K13" s="577"/>
      <c r="L13" s="578"/>
    </row>
    <row r="14" spans="1:12" x14ac:dyDescent="0.25">
      <c r="A14" s="438">
        <v>23</v>
      </c>
      <c r="B14" s="439">
        <f>litzBARE11[[#This Row],[NOM BARE OD (in.)]]*25.4</f>
        <v>0.57403999999999988</v>
      </c>
      <c r="C14" s="448">
        <v>2.2599999999999999E-2</v>
      </c>
      <c r="D14" s="445">
        <f t="shared" si="0"/>
        <v>510.75999999999988</v>
      </c>
      <c r="E14" s="463">
        <v>501</v>
      </c>
      <c r="F14" s="473"/>
      <c r="G14" s="579" t="s">
        <v>137</v>
      </c>
      <c r="H14" s="579"/>
      <c r="I14" s="579"/>
      <c r="J14" s="579"/>
      <c r="K14" s="579"/>
      <c r="L14" s="580"/>
    </row>
    <row r="15" spans="1:12" x14ac:dyDescent="0.25">
      <c r="A15" s="433">
        <v>24</v>
      </c>
      <c r="B15" s="427">
        <f>litzBARE11[[#This Row],[NOM BARE OD (in.)]]*25.4</f>
        <v>0.51053999999999999</v>
      </c>
      <c r="C15" s="449">
        <v>2.01E-2</v>
      </c>
      <c r="D15" s="451">
        <f t="shared" si="0"/>
        <v>404.01000000000005</v>
      </c>
      <c r="E15" s="464">
        <v>396</v>
      </c>
      <c r="F15" s="468" t="s">
        <v>148</v>
      </c>
      <c r="G15" s="581"/>
      <c r="H15" s="581"/>
      <c r="I15" s="581"/>
      <c r="J15" s="581"/>
      <c r="K15" s="581"/>
      <c r="L15" s="582"/>
    </row>
    <row r="16" spans="1:12" x14ac:dyDescent="0.25">
      <c r="A16" s="432">
        <v>25</v>
      </c>
      <c r="B16" s="428">
        <f>litzBARE11[[#This Row],[NOM BARE OD (in.)]]*25.4</f>
        <v>0.45465999999999995</v>
      </c>
      <c r="C16" s="443">
        <v>1.7899999999999999E-2</v>
      </c>
      <c r="D16" s="446">
        <f t="shared" si="0"/>
        <v>320.40999999999997</v>
      </c>
      <c r="E16" s="461">
        <v>314</v>
      </c>
      <c r="F16" s="467" t="s">
        <v>148</v>
      </c>
      <c r="G16" s="581"/>
      <c r="H16" s="581"/>
      <c r="I16" s="581"/>
      <c r="J16" s="581"/>
      <c r="K16" s="581"/>
      <c r="L16" s="582"/>
    </row>
    <row r="17" spans="1:12" x14ac:dyDescent="0.25">
      <c r="A17" s="433">
        <v>26</v>
      </c>
      <c r="B17" s="427">
        <f>litzBARE11[[#This Row],[NOM BARE OD (in.)]]*25.4</f>
        <v>0.40386</v>
      </c>
      <c r="C17" s="449">
        <v>1.5900000000000001E-2</v>
      </c>
      <c r="D17" s="451">
        <f t="shared" si="0"/>
        <v>252.81</v>
      </c>
      <c r="E17" s="464">
        <v>248</v>
      </c>
      <c r="F17" s="468" t="s">
        <v>148</v>
      </c>
      <c r="G17" s="581"/>
      <c r="H17" s="581"/>
      <c r="I17" s="581"/>
      <c r="J17" s="581"/>
      <c r="K17" s="581"/>
      <c r="L17" s="582"/>
    </row>
    <row r="18" spans="1:12" x14ac:dyDescent="0.25">
      <c r="A18" s="432">
        <v>27</v>
      </c>
      <c r="B18" s="428">
        <f>litzBARE11[[#This Row],[NOM BARE OD (in.)]]*25.4</f>
        <v>0.36068</v>
      </c>
      <c r="C18" s="443">
        <v>1.4200000000000001E-2</v>
      </c>
      <c r="D18" s="446">
        <f t="shared" si="0"/>
        <v>201.64000000000004</v>
      </c>
      <c r="E18" s="461">
        <v>198</v>
      </c>
      <c r="F18" s="467" t="s">
        <v>148</v>
      </c>
      <c r="G18" s="581"/>
      <c r="H18" s="581"/>
      <c r="I18" s="581"/>
      <c r="J18" s="581"/>
      <c r="K18" s="581"/>
      <c r="L18" s="582"/>
    </row>
    <row r="19" spans="1:12" x14ac:dyDescent="0.25">
      <c r="A19" s="433">
        <v>28</v>
      </c>
      <c r="B19" s="427">
        <f>litzBARE11[[#This Row],[NOM BARE OD (in.)]]*25.4</f>
        <v>0.32003999999999999</v>
      </c>
      <c r="C19" s="449">
        <v>1.26E-2</v>
      </c>
      <c r="D19" s="451">
        <f t="shared" si="0"/>
        <v>158.76</v>
      </c>
      <c r="E19" s="464">
        <v>156</v>
      </c>
      <c r="F19" s="468" t="s">
        <v>148</v>
      </c>
      <c r="G19" s="581"/>
      <c r="H19" s="581"/>
      <c r="I19" s="581"/>
      <c r="J19" s="581"/>
      <c r="K19" s="581"/>
      <c r="L19" s="582"/>
    </row>
    <row r="20" spans="1:12" x14ac:dyDescent="0.25">
      <c r="A20" s="432">
        <v>29</v>
      </c>
      <c r="B20" s="428">
        <f>litzBARE11[[#This Row],[NOM BARE OD (in.)]]*25.4</f>
        <v>0.28701999999999994</v>
      </c>
      <c r="C20" s="443">
        <v>1.1299999999999999E-2</v>
      </c>
      <c r="D20" s="446">
        <f t="shared" si="0"/>
        <v>127.68999999999997</v>
      </c>
      <c r="E20" s="461">
        <v>125</v>
      </c>
      <c r="F20" s="467" t="s">
        <v>148</v>
      </c>
      <c r="G20" s="581"/>
      <c r="H20" s="581"/>
      <c r="I20" s="581"/>
      <c r="J20" s="581"/>
      <c r="K20" s="581"/>
      <c r="L20" s="582"/>
    </row>
    <row r="21" spans="1:12" x14ac:dyDescent="0.25">
      <c r="A21" s="433">
        <v>30</v>
      </c>
      <c r="B21" s="427">
        <f>litzBARE11[[#This Row],[NOM BARE OD (in.)]]*25.4</f>
        <v>0.254</v>
      </c>
      <c r="C21" s="449">
        <v>0.01</v>
      </c>
      <c r="D21" s="451">
        <f t="shared" si="0"/>
        <v>100</v>
      </c>
      <c r="E21" s="464">
        <v>98</v>
      </c>
      <c r="F21" s="468" t="s">
        <v>149</v>
      </c>
      <c r="G21" s="581"/>
      <c r="H21" s="581"/>
      <c r="I21" s="581"/>
      <c r="J21" s="581"/>
      <c r="K21" s="581"/>
      <c r="L21" s="582"/>
    </row>
    <row r="22" spans="1:12" x14ac:dyDescent="0.25">
      <c r="A22" s="432">
        <v>31</v>
      </c>
      <c r="B22" s="428">
        <f>litzBARE11[[#This Row],[NOM BARE OD (in.)]]*25.4</f>
        <v>0.22605999999999998</v>
      </c>
      <c r="C22" s="443">
        <v>8.8999999999999999E-3</v>
      </c>
      <c r="D22" s="452">
        <f t="shared" si="0"/>
        <v>79.210000000000008</v>
      </c>
      <c r="E22" s="461">
        <v>77.599999999999994</v>
      </c>
      <c r="F22" s="467" t="s">
        <v>149</v>
      </c>
      <c r="G22" s="581"/>
      <c r="H22" s="581"/>
      <c r="I22" s="581"/>
      <c r="J22" s="581"/>
      <c r="K22" s="581"/>
      <c r="L22" s="582"/>
    </row>
    <row r="23" spans="1:12" x14ac:dyDescent="0.25">
      <c r="A23" s="433">
        <v>32</v>
      </c>
      <c r="B23" s="427">
        <f>litzBARE11[[#This Row],[NOM BARE OD (in.)]]*25.4</f>
        <v>0.20319999999999999</v>
      </c>
      <c r="C23" s="449">
        <v>8.0000000000000002E-3</v>
      </c>
      <c r="D23" s="453">
        <f t="shared" si="0"/>
        <v>64</v>
      </c>
      <c r="E23" s="464">
        <v>62.7</v>
      </c>
      <c r="F23" s="468" t="s">
        <v>149</v>
      </c>
      <c r="G23" s="581"/>
      <c r="H23" s="581"/>
      <c r="I23" s="581"/>
      <c r="J23" s="581"/>
      <c r="K23" s="581"/>
      <c r="L23" s="582"/>
    </row>
    <row r="24" spans="1:12" x14ac:dyDescent="0.25">
      <c r="A24" s="433">
        <v>33</v>
      </c>
      <c r="B24" s="427">
        <f>litzBARE11[[#This Row],[NOM BARE OD (in.)]]*25.4</f>
        <v>0.18034</v>
      </c>
      <c r="C24" s="449">
        <v>7.1000000000000004E-3</v>
      </c>
      <c r="D24" s="453">
        <f t="shared" si="0"/>
        <v>50.410000000000011</v>
      </c>
      <c r="E24" s="464">
        <v>49.4</v>
      </c>
      <c r="F24" s="468" t="s">
        <v>139</v>
      </c>
      <c r="G24" s="581"/>
      <c r="H24" s="581"/>
      <c r="I24" s="581"/>
      <c r="J24" s="581"/>
      <c r="K24" s="581"/>
      <c r="L24" s="582"/>
    </row>
    <row r="25" spans="1:12" x14ac:dyDescent="0.25">
      <c r="A25" s="433">
        <v>34</v>
      </c>
      <c r="B25" s="427">
        <f>litzBARE11[[#This Row],[NOM BARE OD (in.)]]*25.4</f>
        <v>0.16002</v>
      </c>
      <c r="C25" s="449">
        <v>6.3E-3</v>
      </c>
      <c r="D25" s="453">
        <f t="shared" si="0"/>
        <v>39.69</v>
      </c>
      <c r="E25" s="464">
        <v>38.9</v>
      </c>
      <c r="F25" s="468" t="s">
        <v>139</v>
      </c>
      <c r="G25" s="581"/>
      <c r="H25" s="581"/>
      <c r="I25" s="581"/>
      <c r="J25" s="581"/>
      <c r="K25" s="581"/>
      <c r="L25" s="582"/>
    </row>
    <row r="26" spans="1:12" x14ac:dyDescent="0.25">
      <c r="A26" s="432">
        <v>35</v>
      </c>
      <c r="B26" s="428">
        <f>litzBARE11[[#This Row],[NOM BARE OD (in.)]]*25.4</f>
        <v>0.14223999999999998</v>
      </c>
      <c r="C26" s="443">
        <v>5.5999999999999999E-3</v>
      </c>
      <c r="D26" s="452">
        <f t="shared" si="0"/>
        <v>31.359999999999996</v>
      </c>
      <c r="E26" s="461">
        <v>30.8</v>
      </c>
      <c r="F26" s="467" t="s">
        <v>139</v>
      </c>
      <c r="G26" s="581"/>
      <c r="H26" s="581"/>
      <c r="I26" s="581"/>
      <c r="J26" s="581"/>
      <c r="K26" s="581"/>
      <c r="L26" s="582"/>
    </row>
    <row r="27" spans="1:12" x14ac:dyDescent="0.25">
      <c r="A27" s="433">
        <v>36</v>
      </c>
      <c r="B27" s="427">
        <f>litzBARE11[[#This Row],[NOM BARE OD (in.)]]*25.4</f>
        <v>0.127</v>
      </c>
      <c r="C27" s="449">
        <v>5.0000000000000001E-3</v>
      </c>
      <c r="D27" s="453">
        <f>(C27*1000)^2</f>
        <v>25</v>
      </c>
      <c r="E27" s="464">
        <v>24.5</v>
      </c>
      <c r="F27" s="468" t="s">
        <v>140</v>
      </c>
      <c r="G27" s="581"/>
      <c r="H27" s="581"/>
      <c r="I27" s="581"/>
      <c r="J27" s="581"/>
      <c r="K27" s="581"/>
      <c r="L27" s="582"/>
    </row>
    <row r="28" spans="1:12" x14ac:dyDescent="0.25">
      <c r="A28" s="432">
        <v>37</v>
      </c>
      <c r="B28" s="428">
        <f>litzBARE11[[#This Row],[NOM BARE OD (in.)]]*25.4</f>
        <v>0.11429999999999998</v>
      </c>
      <c r="C28" s="443">
        <v>4.4999999999999997E-3</v>
      </c>
      <c r="D28" s="452">
        <f t="shared" si="0"/>
        <v>20.25</v>
      </c>
      <c r="E28" s="461">
        <v>19.8</v>
      </c>
      <c r="F28" s="467" t="s">
        <v>140</v>
      </c>
      <c r="G28" s="581"/>
      <c r="H28" s="581"/>
      <c r="I28" s="581"/>
      <c r="J28" s="581"/>
      <c r="K28" s="581"/>
      <c r="L28" s="582"/>
    </row>
    <row r="29" spans="1:12" x14ac:dyDescent="0.25">
      <c r="A29" s="433">
        <v>38</v>
      </c>
      <c r="B29" s="427">
        <f>litzBARE11[[#This Row],[NOM BARE OD (in.)]]*25.4</f>
        <v>0.1016</v>
      </c>
      <c r="C29" s="449">
        <v>4.0000000000000001E-3</v>
      </c>
      <c r="D29" s="453">
        <f t="shared" si="0"/>
        <v>16</v>
      </c>
      <c r="E29" s="464">
        <v>15.7</v>
      </c>
      <c r="F29" s="468" t="s">
        <v>141</v>
      </c>
      <c r="G29" s="581"/>
      <c r="H29" s="581"/>
      <c r="I29" s="581"/>
      <c r="J29" s="581"/>
      <c r="K29" s="581"/>
      <c r="L29" s="582"/>
    </row>
    <row r="30" spans="1:12" x14ac:dyDescent="0.25">
      <c r="A30" s="432">
        <v>39</v>
      </c>
      <c r="B30" s="428">
        <f>litzBARE11[[#This Row],[NOM BARE OD (in.)]]*25.4</f>
        <v>8.8899999999999993E-2</v>
      </c>
      <c r="C30" s="443">
        <v>3.5000000000000001E-3</v>
      </c>
      <c r="D30" s="454">
        <f t="shared" si="0"/>
        <v>12.25</v>
      </c>
      <c r="E30" s="461">
        <v>11.9</v>
      </c>
      <c r="F30" s="467" t="s">
        <v>141</v>
      </c>
      <c r="G30" s="581"/>
      <c r="H30" s="581"/>
      <c r="I30" s="581"/>
      <c r="J30" s="581"/>
      <c r="K30" s="581"/>
      <c r="L30" s="582"/>
    </row>
    <row r="31" spans="1:12" x14ac:dyDescent="0.25">
      <c r="A31" s="433">
        <v>40</v>
      </c>
      <c r="B31" s="427">
        <f>litzBARE11[[#This Row],[NOM BARE OD (in.)]]*25.4</f>
        <v>7.8739999999999991E-2</v>
      </c>
      <c r="C31" s="449">
        <v>3.0999999999999999E-3</v>
      </c>
      <c r="D31" s="455">
        <f t="shared" si="0"/>
        <v>9.6100000000000012</v>
      </c>
      <c r="E31" s="464">
        <v>9.42</v>
      </c>
      <c r="F31" s="468" t="s">
        <v>142</v>
      </c>
      <c r="G31" s="581"/>
      <c r="H31" s="581"/>
      <c r="I31" s="581"/>
      <c r="J31" s="581"/>
      <c r="K31" s="581"/>
      <c r="L31" s="582"/>
    </row>
    <row r="32" spans="1:12" x14ac:dyDescent="0.25">
      <c r="A32" s="432">
        <v>41</v>
      </c>
      <c r="B32" s="428">
        <f>litzBARE11[[#This Row],[NOM BARE OD (in.)]]*25.4</f>
        <v>7.1119999999999989E-2</v>
      </c>
      <c r="C32" s="443">
        <v>2.8E-3</v>
      </c>
      <c r="D32" s="454">
        <f t="shared" si="0"/>
        <v>7.839999999999999</v>
      </c>
      <c r="E32" s="461">
        <v>7.68</v>
      </c>
      <c r="F32" s="467" t="s">
        <v>142</v>
      </c>
      <c r="G32" s="581"/>
      <c r="H32" s="581"/>
      <c r="I32" s="581"/>
      <c r="J32" s="581"/>
      <c r="K32" s="581"/>
      <c r="L32" s="582"/>
    </row>
    <row r="33" spans="1:12" x14ac:dyDescent="0.25">
      <c r="A33" s="433">
        <v>42</v>
      </c>
      <c r="B33" s="427">
        <f>litzBARE11[[#This Row],[NOM BARE OD (in.)]]*25.4</f>
        <v>6.3500000000000001E-2</v>
      </c>
      <c r="C33" s="449">
        <v>2.5000000000000001E-3</v>
      </c>
      <c r="D33" s="455">
        <f t="shared" si="0"/>
        <v>6.25</v>
      </c>
      <c r="E33" s="464">
        <v>6.13</v>
      </c>
      <c r="F33" s="468" t="s">
        <v>144</v>
      </c>
      <c r="G33" s="581"/>
      <c r="H33" s="581"/>
      <c r="I33" s="581"/>
      <c r="J33" s="581"/>
      <c r="K33" s="581"/>
      <c r="L33" s="582"/>
    </row>
    <row r="34" spans="1:12" x14ac:dyDescent="0.25">
      <c r="A34" s="432">
        <v>43</v>
      </c>
      <c r="B34" s="428">
        <f>litzBARE11[[#This Row],[NOM BARE OD (in.)]]*25.4</f>
        <v>5.5879999999999999E-2</v>
      </c>
      <c r="C34" s="443">
        <v>2.2000000000000001E-3</v>
      </c>
      <c r="D34" s="454">
        <f t="shared" si="0"/>
        <v>4.8400000000000007</v>
      </c>
      <c r="E34" s="461">
        <v>4.74</v>
      </c>
      <c r="F34" s="467" t="s">
        <v>144</v>
      </c>
      <c r="G34" s="581"/>
      <c r="H34" s="581"/>
      <c r="I34" s="581"/>
      <c r="J34" s="581"/>
      <c r="K34" s="581"/>
      <c r="L34" s="582"/>
    </row>
    <row r="35" spans="1:12" x14ac:dyDescent="0.25">
      <c r="A35" s="433">
        <v>44</v>
      </c>
      <c r="B35" s="427">
        <f>litzBARE11[[#This Row],[NOM BARE OD (in.)]]*25.4</f>
        <v>5.0799999999999998E-2</v>
      </c>
      <c r="C35" s="449">
        <v>2E-3</v>
      </c>
      <c r="D35" s="455">
        <f t="shared" si="0"/>
        <v>4</v>
      </c>
      <c r="E35" s="464">
        <v>3.92</v>
      </c>
      <c r="F35" s="468" t="s">
        <v>145</v>
      </c>
      <c r="G35" s="581"/>
      <c r="H35" s="581"/>
      <c r="I35" s="581"/>
      <c r="J35" s="581"/>
      <c r="K35" s="581"/>
      <c r="L35" s="582"/>
    </row>
    <row r="36" spans="1:12" x14ac:dyDescent="0.25">
      <c r="A36" s="432">
        <v>45</v>
      </c>
      <c r="B36" s="428">
        <f>litzBARE11[[#This Row],[NOM BARE OD (in.)]]*25.4</f>
        <v>4.4704000000000001E-2</v>
      </c>
      <c r="C36" s="443">
        <v>1.7600000000000001E-3</v>
      </c>
      <c r="D36" s="454">
        <f t="shared" si="0"/>
        <v>3.0975999999999999</v>
      </c>
      <c r="E36" s="461">
        <v>3.04</v>
      </c>
      <c r="F36" s="467" t="s">
        <v>145</v>
      </c>
      <c r="G36" s="581"/>
      <c r="H36" s="581"/>
      <c r="I36" s="581"/>
      <c r="J36" s="581"/>
      <c r="K36" s="581"/>
      <c r="L36" s="582"/>
    </row>
    <row r="37" spans="1:12" x14ac:dyDescent="0.25">
      <c r="A37" s="433">
        <v>46</v>
      </c>
      <c r="B37" s="427">
        <f>litzBARE11[[#This Row],[NOM BARE OD (in.)]]*25.4</f>
        <v>3.9877999999999997E-2</v>
      </c>
      <c r="C37" s="449">
        <v>1.57E-3</v>
      </c>
      <c r="D37" s="455">
        <f t="shared" si="0"/>
        <v>2.4649000000000001</v>
      </c>
      <c r="E37" s="464">
        <v>2.41</v>
      </c>
      <c r="F37" s="468" t="s">
        <v>146</v>
      </c>
      <c r="G37" s="581"/>
      <c r="H37" s="581"/>
      <c r="I37" s="581"/>
      <c r="J37" s="581"/>
      <c r="K37" s="581"/>
      <c r="L37" s="582"/>
    </row>
    <row r="38" spans="1:12" x14ac:dyDescent="0.25">
      <c r="A38" s="432">
        <v>47</v>
      </c>
      <c r="B38" s="428">
        <f>litzBARE11[[#This Row],[NOM BARE OD (in.)]]*25.4</f>
        <v>3.5559999999999994E-2</v>
      </c>
      <c r="C38" s="443">
        <v>1.4E-3</v>
      </c>
      <c r="D38" s="454">
        <f t="shared" si="0"/>
        <v>1.9599999999999997</v>
      </c>
      <c r="E38" s="461">
        <v>1.92</v>
      </c>
      <c r="F38" s="467" t="s">
        <v>146</v>
      </c>
      <c r="G38" s="581"/>
      <c r="H38" s="581"/>
      <c r="I38" s="581"/>
      <c r="J38" s="581"/>
      <c r="K38" s="581"/>
      <c r="L38" s="582"/>
    </row>
    <row r="39" spans="1:12" x14ac:dyDescent="0.25">
      <c r="A39" s="433">
        <v>48</v>
      </c>
      <c r="B39" s="427">
        <f>litzBARE11[[#This Row],[NOM BARE OD (in.)]]*25.4</f>
        <v>3.1495999999999996E-2</v>
      </c>
      <c r="C39" s="449">
        <v>1.24E-3</v>
      </c>
      <c r="D39" s="455">
        <f t="shared" si="0"/>
        <v>1.5376000000000001</v>
      </c>
      <c r="E39" s="464">
        <v>1.51</v>
      </c>
      <c r="F39" s="468" t="s">
        <v>147</v>
      </c>
      <c r="G39" s="581"/>
      <c r="H39" s="581"/>
      <c r="I39" s="581"/>
      <c r="J39" s="581"/>
      <c r="K39" s="581"/>
      <c r="L39" s="582"/>
    </row>
    <row r="40" spans="1:12" x14ac:dyDescent="0.25">
      <c r="A40" s="432">
        <v>49</v>
      </c>
      <c r="B40" s="428">
        <f>litzBARE11[[#This Row],[NOM BARE OD (in.)]]*25.4</f>
        <v>2.8194E-2</v>
      </c>
      <c r="C40" s="443">
        <v>1.1100000000000001E-3</v>
      </c>
      <c r="D40" s="454">
        <f t="shared" si="0"/>
        <v>1.2321000000000002</v>
      </c>
      <c r="E40" s="461">
        <v>1.21</v>
      </c>
      <c r="F40" s="467" t="s">
        <v>147</v>
      </c>
      <c r="G40" s="581"/>
      <c r="H40" s="581"/>
      <c r="I40" s="581"/>
      <c r="J40" s="581"/>
      <c r="K40" s="581"/>
      <c r="L40" s="582"/>
    </row>
    <row r="41" spans="1:12" ht="15.75" thickBot="1" x14ac:dyDescent="0.3">
      <c r="A41" s="434">
        <v>50</v>
      </c>
      <c r="B41" s="435">
        <f>litzBARE11[[#This Row],[NOM BARE OD (in.)]]*25.4</f>
        <v>2.5145999999999998E-2</v>
      </c>
      <c r="C41" s="450">
        <v>9.8999999999999999E-4</v>
      </c>
      <c r="D41" s="456">
        <f t="shared" si="0"/>
        <v>0.98009999999999997</v>
      </c>
      <c r="E41" s="465">
        <v>0.96</v>
      </c>
      <c r="F41" s="469"/>
      <c r="G41" s="583"/>
      <c r="H41" s="583"/>
      <c r="I41" s="583"/>
      <c r="J41" s="583"/>
      <c r="K41" s="583"/>
      <c r="L41" s="584"/>
    </row>
  </sheetData>
  <mergeCells count="3">
    <mergeCell ref="G3:L13"/>
    <mergeCell ref="G14:L41"/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9B9-7210-48AA-8045-21AC81CFEBB2}">
  <sheetPr codeName="Sheet2">
    <tabColor theme="7"/>
  </sheetPr>
  <dimension ref="A1:Y41"/>
  <sheetViews>
    <sheetView workbookViewId="0">
      <selection activeCell="A32" sqref="A32"/>
    </sheetView>
  </sheetViews>
  <sheetFormatPr defaultColWidth="8.7109375" defaultRowHeight="14.1" customHeight="1" x14ac:dyDescent="0.25"/>
  <cols>
    <col min="1" max="1" width="9.42578125" style="2" bestFit="1" customWidth="1"/>
    <col min="2" max="2" width="12.5703125" style="2" bestFit="1" customWidth="1"/>
    <col min="3" max="3" width="12.85546875" style="2" bestFit="1" customWidth="1"/>
    <col min="4" max="4" width="9.42578125" style="2" bestFit="1" customWidth="1"/>
    <col min="5" max="5" width="11.42578125" style="2" bestFit="1" customWidth="1"/>
    <col min="6" max="6" width="9.42578125" style="2" bestFit="1" customWidth="1"/>
    <col min="7" max="7" width="8.42578125" style="2" bestFit="1" customWidth="1"/>
    <col min="8" max="8" width="9.140625" style="2" bestFit="1" customWidth="1"/>
    <col min="9" max="9" width="9" style="2" bestFit="1" customWidth="1"/>
    <col min="10" max="10" width="12.42578125" style="2" bestFit="1" customWidth="1"/>
    <col min="11" max="11" width="9.42578125" style="2" bestFit="1" customWidth="1"/>
    <col min="12" max="12" width="8.42578125" style="2" bestFit="1" customWidth="1"/>
    <col min="13" max="13" width="9.140625" style="2" bestFit="1" customWidth="1"/>
    <col min="14" max="14" width="9" style="2" bestFit="1" customWidth="1"/>
    <col min="15" max="15" width="12.42578125" style="2" bestFit="1" customWidth="1"/>
    <col min="16" max="16" width="9.42578125" style="2" bestFit="1" customWidth="1"/>
    <col min="17" max="17" width="8.42578125" style="2" bestFit="1" customWidth="1"/>
    <col min="18" max="18" width="9.140625" style="2" bestFit="1" customWidth="1"/>
    <col min="19" max="19" width="9" style="2" bestFit="1" customWidth="1"/>
    <col min="20" max="20" width="12.42578125" style="2" bestFit="1" customWidth="1"/>
    <col min="21" max="21" width="9.42578125" style="2" bestFit="1" customWidth="1"/>
    <col min="22" max="22" width="8.42578125" style="2" bestFit="1" customWidth="1"/>
    <col min="23" max="23" width="9.140625" style="2" bestFit="1" customWidth="1"/>
    <col min="24" max="24" width="9" style="2" bestFit="1" customWidth="1"/>
    <col min="25" max="25" width="12.42578125" style="2" bestFit="1" customWidth="1"/>
    <col min="26" max="16384" width="8.7109375" style="2"/>
  </cols>
  <sheetData>
    <row r="1" spans="1:25" ht="14.1" customHeight="1" thickBot="1" x14ac:dyDescent="0.3">
      <c r="A1" s="585" t="s">
        <v>4</v>
      </c>
      <c r="B1" s="586"/>
      <c r="C1" s="586"/>
      <c r="D1" s="587"/>
      <c r="E1" s="1"/>
      <c r="F1" s="585" t="s">
        <v>5</v>
      </c>
      <c r="G1" s="586"/>
      <c r="H1" s="586"/>
      <c r="I1" s="586"/>
      <c r="J1" s="587"/>
      <c r="K1" s="585" t="s">
        <v>6</v>
      </c>
      <c r="L1" s="586"/>
      <c r="M1" s="586"/>
      <c r="N1" s="586"/>
      <c r="O1" s="587"/>
      <c r="P1" s="585" t="s">
        <v>7</v>
      </c>
      <c r="Q1" s="586"/>
      <c r="R1" s="586"/>
      <c r="S1" s="586"/>
      <c r="T1" s="586"/>
      <c r="U1" s="585" t="s">
        <v>8</v>
      </c>
      <c r="V1" s="586"/>
      <c r="W1" s="586"/>
      <c r="X1" s="586"/>
      <c r="Y1" s="587"/>
    </row>
    <row r="2" spans="1:25" ht="30" customHeight="1" thickBot="1" x14ac:dyDescent="0.3">
      <c r="A2" s="3" t="s">
        <v>3</v>
      </c>
      <c r="B2" s="4" t="s">
        <v>9</v>
      </c>
      <c r="C2" s="4" t="s">
        <v>10</v>
      </c>
      <c r="D2" s="5" t="s">
        <v>11</v>
      </c>
      <c r="E2" s="6" t="s">
        <v>12</v>
      </c>
      <c r="F2" s="3" t="s">
        <v>3</v>
      </c>
      <c r="G2" s="4" t="s">
        <v>0</v>
      </c>
      <c r="H2" s="7" t="s">
        <v>1</v>
      </c>
      <c r="I2" s="3" t="s">
        <v>2</v>
      </c>
      <c r="J2" s="8" t="s">
        <v>13</v>
      </c>
      <c r="K2" s="8" t="s">
        <v>3</v>
      </c>
      <c r="L2" s="9" t="s">
        <v>0</v>
      </c>
      <c r="M2" s="10" t="s">
        <v>1</v>
      </c>
      <c r="N2" s="11" t="s">
        <v>2</v>
      </c>
      <c r="O2" s="8" t="s">
        <v>13</v>
      </c>
      <c r="P2" s="8" t="s">
        <v>3</v>
      </c>
      <c r="Q2" s="9" t="s">
        <v>0</v>
      </c>
      <c r="R2" s="10" t="s">
        <v>1</v>
      </c>
      <c r="S2" s="12" t="s">
        <v>2</v>
      </c>
      <c r="T2" s="12" t="s">
        <v>13</v>
      </c>
      <c r="U2" s="13" t="s">
        <v>3</v>
      </c>
      <c r="V2" s="9" t="s">
        <v>0</v>
      </c>
      <c r="W2" s="10" t="s">
        <v>1</v>
      </c>
      <c r="X2" s="12" t="s">
        <v>2</v>
      </c>
      <c r="Y2" s="14" t="s">
        <v>13</v>
      </c>
    </row>
    <row r="3" spans="1:25" ht="14.1" customHeight="1" x14ac:dyDescent="0.25">
      <c r="A3" s="15">
        <v>12</v>
      </c>
      <c r="B3" s="122">
        <v>1.62</v>
      </c>
      <c r="C3" s="16">
        <v>8.0799999999999997E-2</v>
      </c>
      <c r="D3" s="17">
        <f t="shared" ref="D3:D41" si="0">(C3*1000)^2</f>
        <v>6528.6399999999994</v>
      </c>
      <c r="E3" s="18">
        <v>6399</v>
      </c>
      <c r="F3" s="19">
        <v>12</v>
      </c>
      <c r="G3" s="20">
        <v>8.14E-2</v>
      </c>
      <c r="H3" s="21">
        <v>8.2699999999999996E-2</v>
      </c>
      <c r="I3" s="22">
        <v>8.4000000000000005E-2</v>
      </c>
      <c r="J3" s="23">
        <v>19.93</v>
      </c>
      <c r="K3" s="24">
        <v>12</v>
      </c>
      <c r="L3" s="25">
        <v>8.2900000000000001E-2</v>
      </c>
      <c r="M3" s="26">
        <v>8.3699999999999997E-2</v>
      </c>
      <c r="N3" s="27">
        <v>8.4699999999999998E-2</v>
      </c>
      <c r="O3" s="28">
        <v>20.03</v>
      </c>
      <c r="P3" s="15">
        <v>12</v>
      </c>
      <c r="Q3" s="29"/>
      <c r="R3" s="30"/>
      <c r="S3" s="31"/>
      <c r="T3" s="32"/>
      <c r="U3" s="33">
        <v>12</v>
      </c>
      <c r="V3" s="29"/>
      <c r="W3" s="30"/>
      <c r="X3" s="31"/>
      <c r="Y3" s="34"/>
    </row>
    <row r="4" spans="1:25" ht="14.1" customHeight="1" x14ac:dyDescent="0.25">
      <c r="A4" s="15">
        <v>13</v>
      </c>
      <c r="B4" s="122">
        <v>2.04</v>
      </c>
      <c r="C4" s="16">
        <v>7.1999999999999995E-2</v>
      </c>
      <c r="D4" s="17">
        <f t="shared" si="0"/>
        <v>5184</v>
      </c>
      <c r="E4" s="35">
        <v>5076</v>
      </c>
      <c r="F4" s="36">
        <v>13</v>
      </c>
      <c r="G4" s="37">
        <v>7.2700000000000001E-2</v>
      </c>
      <c r="H4" s="38">
        <v>7.3899999999999993E-2</v>
      </c>
      <c r="I4" s="39">
        <v>7.4999999999999997E-2</v>
      </c>
      <c r="J4" s="40">
        <v>15.81</v>
      </c>
      <c r="K4" s="33">
        <v>13</v>
      </c>
      <c r="L4" s="41">
        <v>7.4099999999999999E-2</v>
      </c>
      <c r="M4" s="42">
        <v>7.4899999999999994E-2</v>
      </c>
      <c r="N4" s="43">
        <v>7.5700000000000003E-2</v>
      </c>
      <c r="O4" s="28">
        <v>15.9</v>
      </c>
      <c r="P4" s="15">
        <v>13</v>
      </c>
      <c r="Q4" s="29"/>
      <c r="R4" s="30"/>
      <c r="S4" s="31"/>
      <c r="T4" s="32"/>
      <c r="U4" s="33">
        <v>13</v>
      </c>
      <c r="V4" s="29"/>
      <c r="W4" s="30"/>
      <c r="X4" s="31"/>
      <c r="Y4" s="34"/>
    </row>
    <row r="5" spans="1:25" ht="14.1" customHeight="1" x14ac:dyDescent="0.25">
      <c r="A5" s="15">
        <v>14</v>
      </c>
      <c r="B5" s="122">
        <v>2.5720000000000001</v>
      </c>
      <c r="C5" s="16">
        <v>6.4100000000000004E-2</v>
      </c>
      <c r="D5" s="17">
        <f t="shared" si="0"/>
        <v>4108.8100000000013</v>
      </c>
      <c r="E5" s="35">
        <v>4028</v>
      </c>
      <c r="F5" s="36">
        <v>14</v>
      </c>
      <c r="G5" s="37">
        <v>6.5100000000000005E-2</v>
      </c>
      <c r="H5" s="38">
        <v>6.5799999999999997E-2</v>
      </c>
      <c r="I5" s="39">
        <v>6.6600000000000006E-2</v>
      </c>
      <c r="J5" s="40">
        <v>12.5</v>
      </c>
      <c r="K5" s="33">
        <v>14</v>
      </c>
      <c r="L5" s="41">
        <v>6.6699999999999995E-2</v>
      </c>
      <c r="M5" s="42">
        <v>6.7500000000000004E-2</v>
      </c>
      <c r="N5" s="43">
        <v>6.8199999999999997E-2</v>
      </c>
      <c r="O5" s="28">
        <v>12.57</v>
      </c>
      <c r="P5" s="15">
        <v>14</v>
      </c>
      <c r="Q5" s="41">
        <v>6.83E-2</v>
      </c>
      <c r="R5" s="42">
        <v>6.9199999999999998E-2</v>
      </c>
      <c r="S5" s="44">
        <v>7.0000000000000007E-2</v>
      </c>
      <c r="T5" s="45">
        <v>12.74</v>
      </c>
      <c r="U5" s="33">
        <v>14</v>
      </c>
      <c r="V5" s="41">
        <v>6.8400000000000002E-2</v>
      </c>
      <c r="W5" s="42">
        <v>7.0000000000000007E-2</v>
      </c>
      <c r="X5" s="44">
        <v>7.1499999999999994E-2</v>
      </c>
      <c r="Y5" s="46">
        <v>12.8</v>
      </c>
    </row>
    <row r="6" spans="1:25" ht="14.1" customHeight="1" x14ac:dyDescent="0.25">
      <c r="A6" s="15">
        <v>15</v>
      </c>
      <c r="B6" s="122">
        <v>3.2490000000000001</v>
      </c>
      <c r="C6" s="16">
        <v>5.7099999999999998E-2</v>
      </c>
      <c r="D6" s="17">
        <f t="shared" si="0"/>
        <v>3260.4100000000003</v>
      </c>
      <c r="E6" s="35">
        <v>3195</v>
      </c>
      <c r="F6" s="36">
        <v>15</v>
      </c>
      <c r="G6" s="37">
        <v>5.8000000000000003E-2</v>
      </c>
      <c r="H6" s="38">
        <v>5.8700000000000002E-2</v>
      </c>
      <c r="I6" s="39">
        <v>5.9400000000000001E-2</v>
      </c>
      <c r="J6" s="47">
        <v>9.9499999999999993</v>
      </c>
      <c r="K6" s="33">
        <v>15</v>
      </c>
      <c r="L6" s="41">
        <v>5.9499999999999997E-2</v>
      </c>
      <c r="M6" s="42">
        <v>6.0199999999999997E-2</v>
      </c>
      <c r="N6" s="43">
        <v>6.0900000000000003E-2</v>
      </c>
      <c r="O6" s="28">
        <v>10.01</v>
      </c>
      <c r="P6" s="15">
        <v>15</v>
      </c>
      <c r="Q6" s="41">
        <v>6.0999999999999999E-2</v>
      </c>
      <c r="R6" s="42">
        <v>6.1899999999999997E-2</v>
      </c>
      <c r="S6" s="44">
        <v>6.2700000000000006E-2</v>
      </c>
      <c r="T6" s="45">
        <v>10.130000000000001</v>
      </c>
      <c r="U6" s="33">
        <v>15</v>
      </c>
      <c r="V6" s="41">
        <v>6.13E-2</v>
      </c>
      <c r="W6" s="42">
        <v>6.2799999999999995E-2</v>
      </c>
      <c r="X6" s="44">
        <v>6.4399999999999999E-2</v>
      </c>
      <c r="Y6" s="48">
        <v>10.18</v>
      </c>
    </row>
    <row r="7" spans="1:25" ht="14.1" customHeight="1" x14ac:dyDescent="0.25">
      <c r="A7" s="15">
        <v>16</v>
      </c>
      <c r="B7" s="122">
        <v>4.0990000000000002</v>
      </c>
      <c r="C7" s="16">
        <v>5.0799999999999998E-2</v>
      </c>
      <c r="D7" s="17">
        <f t="shared" si="0"/>
        <v>2580.64</v>
      </c>
      <c r="E7" s="35">
        <v>2528</v>
      </c>
      <c r="F7" s="36">
        <v>16</v>
      </c>
      <c r="G7" s="37">
        <v>5.1700000000000003E-2</v>
      </c>
      <c r="H7" s="38">
        <v>5.2400000000000002E-2</v>
      </c>
      <c r="I7" s="39">
        <v>5.3100000000000001E-2</v>
      </c>
      <c r="J7" s="47">
        <v>7.89</v>
      </c>
      <c r="K7" s="33">
        <v>16</v>
      </c>
      <c r="L7" s="41">
        <v>5.3199999999999997E-2</v>
      </c>
      <c r="M7" s="42">
        <v>5.3900000000000003E-2</v>
      </c>
      <c r="N7" s="43">
        <v>5.45E-2</v>
      </c>
      <c r="O7" s="49">
        <v>7.95</v>
      </c>
      <c r="P7" s="15">
        <v>16</v>
      </c>
      <c r="Q7" s="41">
        <v>5.4600000000000003E-2</v>
      </c>
      <c r="R7" s="42">
        <v>5.5399999999999998E-2</v>
      </c>
      <c r="S7" s="44">
        <v>5.62E-2</v>
      </c>
      <c r="T7" s="50">
        <v>8.0389999999999997</v>
      </c>
      <c r="U7" s="33">
        <v>16</v>
      </c>
      <c r="V7" s="41">
        <v>5.4899999999999997E-2</v>
      </c>
      <c r="W7" s="42">
        <v>5.6300000000000003E-2</v>
      </c>
      <c r="X7" s="44">
        <v>5.7700000000000001E-2</v>
      </c>
      <c r="Y7" s="51">
        <v>8.0790000000000006</v>
      </c>
    </row>
    <row r="8" spans="1:25" ht="14.1" customHeight="1" x14ac:dyDescent="0.25">
      <c r="A8" s="15">
        <v>17</v>
      </c>
      <c r="B8" s="122">
        <v>5.1669999999999998</v>
      </c>
      <c r="C8" s="16">
        <v>4.53E-2</v>
      </c>
      <c r="D8" s="17">
        <f t="shared" si="0"/>
        <v>2052.0899999999997</v>
      </c>
      <c r="E8" s="35">
        <v>2009</v>
      </c>
      <c r="F8" s="36">
        <v>17</v>
      </c>
      <c r="G8" s="37">
        <v>4.6199999999999998E-2</v>
      </c>
      <c r="H8" s="38">
        <v>4.6800000000000001E-2</v>
      </c>
      <c r="I8" s="39">
        <v>4.7500000000000001E-2</v>
      </c>
      <c r="J8" s="47">
        <v>6.26</v>
      </c>
      <c r="K8" s="33">
        <v>17</v>
      </c>
      <c r="L8" s="41">
        <v>4.7600000000000003E-2</v>
      </c>
      <c r="M8" s="42">
        <v>4.82E-2</v>
      </c>
      <c r="N8" s="43">
        <v>4.8800000000000003E-2</v>
      </c>
      <c r="O8" s="49">
        <v>6.32</v>
      </c>
      <c r="P8" s="15">
        <v>17</v>
      </c>
      <c r="Q8" s="41">
        <v>4.8899999999999999E-2</v>
      </c>
      <c r="R8" s="42">
        <v>4.9700000000000001E-2</v>
      </c>
      <c r="S8" s="44">
        <v>5.04E-2</v>
      </c>
      <c r="T8" s="50">
        <v>6.4020000000000001</v>
      </c>
      <c r="U8" s="33">
        <v>17</v>
      </c>
      <c r="V8" s="41">
        <v>4.9299999999999997E-2</v>
      </c>
      <c r="W8" s="42">
        <v>5.0599999999999999E-2</v>
      </c>
      <c r="X8" s="44">
        <v>5.1999999999999998E-2</v>
      </c>
      <c r="Y8" s="51">
        <v>6.4340000000000002</v>
      </c>
    </row>
    <row r="9" spans="1:25" ht="14.1" customHeight="1" x14ac:dyDescent="0.25">
      <c r="A9" s="15">
        <v>18</v>
      </c>
      <c r="B9" s="122">
        <v>6.5140000000000002</v>
      </c>
      <c r="C9" s="16">
        <v>4.0300000000000002E-2</v>
      </c>
      <c r="D9" s="17">
        <f t="shared" si="0"/>
        <v>1624.0900000000004</v>
      </c>
      <c r="E9" s="35">
        <v>1588</v>
      </c>
      <c r="F9" s="36">
        <v>18</v>
      </c>
      <c r="G9" s="37">
        <v>4.1200000000000001E-2</v>
      </c>
      <c r="H9" s="38">
        <v>4.1799999999999997E-2</v>
      </c>
      <c r="I9" s="39">
        <v>4.24E-2</v>
      </c>
      <c r="J9" s="47">
        <v>4.97</v>
      </c>
      <c r="K9" s="33">
        <v>18</v>
      </c>
      <c r="L9" s="41">
        <v>4.2500000000000003E-2</v>
      </c>
      <c r="M9" s="42">
        <v>4.3099999999999999E-2</v>
      </c>
      <c r="N9" s="43">
        <v>4.3700000000000003E-2</v>
      </c>
      <c r="O9" s="49">
        <v>5.0199999999999996</v>
      </c>
      <c r="P9" s="15">
        <v>18</v>
      </c>
      <c r="Q9" s="41">
        <v>4.3799999999999999E-2</v>
      </c>
      <c r="R9" s="42">
        <v>4.4499999999999998E-2</v>
      </c>
      <c r="S9" s="44">
        <v>4.5199999999999997E-2</v>
      </c>
      <c r="T9" s="50">
        <v>5.0789999999999997</v>
      </c>
      <c r="U9" s="33">
        <v>18</v>
      </c>
      <c r="V9" s="41">
        <v>4.4299999999999999E-2</v>
      </c>
      <c r="W9" s="42">
        <v>4.5600000000000002E-2</v>
      </c>
      <c r="X9" s="44">
        <v>4.6800000000000001E-2</v>
      </c>
      <c r="Y9" s="51">
        <v>5.1050000000000004</v>
      </c>
    </row>
    <row r="10" spans="1:25" ht="14.1" customHeight="1" x14ac:dyDescent="0.25">
      <c r="A10" s="15">
        <v>19</v>
      </c>
      <c r="B10" s="122">
        <v>8.2289999999999992</v>
      </c>
      <c r="C10" s="16">
        <v>3.5900000000000001E-2</v>
      </c>
      <c r="D10" s="17">
        <f t="shared" si="0"/>
        <v>1288.81</v>
      </c>
      <c r="E10" s="35">
        <v>1264</v>
      </c>
      <c r="F10" s="36">
        <v>19</v>
      </c>
      <c r="G10" s="37">
        <v>3.6700000000000003E-2</v>
      </c>
      <c r="H10" s="38">
        <v>3.73E-2</v>
      </c>
      <c r="I10" s="39">
        <v>3.7900000000000003E-2</v>
      </c>
      <c r="J10" s="47">
        <v>3.95</v>
      </c>
      <c r="K10" s="33">
        <v>19</v>
      </c>
      <c r="L10" s="41">
        <v>3.7999999999999999E-2</v>
      </c>
      <c r="M10" s="42">
        <v>3.8600000000000002E-2</v>
      </c>
      <c r="N10" s="43">
        <v>3.9100000000000003E-2</v>
      </c>
      <c r="O10" s="49">
        <v>3.99</v>
      </c>
      <c r="P10" s="15">
        <v>19</v>
      </c>
      <c r="Q10" s="41">
        <v>3.9199999999999999E-2</v>
      </c>
      <c r="R10" s="42">
        <v>3.9899999999999998E-2</v>
      </c>
      <c r="S10" s="44">
        <v>4.0599999999999997E-2</v>
      </c>
      <c r="T10" s="50">
        <v>4.04</v>
      </c>
      <c r="U10" s="33">
        <v>19</v>
      </c>
      <c r="V10" s="41">
        <v>3.9699999999999999E-2</v>
      </c>
      <c r="W10" s="42">
        <v>4.1000000000000002E-2</v>
      </c>
      <c r="X10" s="44">
        <v>4.2200000000000001E-2</v>
      </c>
      <c r="Y10" s="48">
        <v>4.0599999999999996</v>
      </c>
    </row>
    <row r="11" spans="1:25" ht="14.1" customHeight="1" x14ac:dyDescent="0.25">
      <c r="A11" s="15">
        <v>20</v>
      </c>
      <c r="B11" s="122">
        <v>10.32</v>
      </c>
      <c r="C11" s="16">
        <v>3.2000000000000001E-2</v>
      </c>
      <c r="D11" s="17">
        <f t="shared" si="0"/>
        <v>1024</v>
      </c>
      <c r="E11" s="35">
        <v>1000</v>
      </c>
      <c r="F11" s="36">
        <v>20</v>
      </c>
      <c r="G11" s="37">
        <v>3.2899999999999999E-2</v>
      </c>
      <c r="H11" s="38">
        <v>3.3399999999999999E-2</v>
      </c>
      <c r="I11" s="39">
        <v>3.39E-2</v>
      </c>
      <c r="J11" s="47">
        <v>3.13</v>
      </c>
      <c r="K11" s="33">
        <v>20</v>
      </c>
      <c r="L11" s="41">
        <v>3.4000000000000002E-2</v>
      </c>
      <c r="M11" s="42">
        <v>3.4599999999999999E-2</v>
      </c>
      <c r="N11" s="43">
        <v>3.5099999999999999E-2</v>
      </c>
      <c r="O11" s="49">
        <v>3.16</v>
      </c>
      <c r="P11" s="15">
        <v>20</v>
      </c>
      <c r="Q11" s="41">
        <v>3.5200000000000002E-2</v>
      </c>
      <c r="R11" s="42">
        <v>3.5799999999999998E-2</v>
      </c>
      <c r="S11" s="44">
        <v>3.6400000000000002E-2</v>
      </c>
      <c r="T11" s="50">
        <v>3.218</v>
      </c>
      <c r="U11" s="33">
        <v>20</v>
      </c>
      <c r="V11" s="41">
        <v>3.5700000000000003E-2</v>
      </c>
      <c r="W11" s="42">
        <v>3.6799999999999999E-2</v>
      </c>
      <c r="X11" s="44">
        <v>3.7900000000000003E-2</v>
      </c>
      <c r="Y11" s="51">
        <v>3.234</v>
      </c>
    </row>
    <row r="12" spans="1:25" ht="14.1" customHeight="1" x14ac:dyDescent="0.25">
      <c r="A12" s="15">
        <v>21</v>
      </c>
      <c r="B12" s="122">
        <v>13.04</v>
      </c>
      <c r="C12" s="16">
        <v>2.8500000000000001E-2</v>
      </c>
      <c r="D12" s="17">
        <f t="shared" si="0"/>
        <v>812.25</v>
      </c>
      <c r="E12" s="52">
        <v>796</v>
      </c>
      <c r="F12" s="36">
        <v>21</v>
      </c>
      <c r="G12" s="37">
        <v>2.93E-2</v>
      </c>
      <c r="H12" s="38">
        <v>2.98E-2</v>
      </c>
      <c r="I12" s="39">
        <v>3.0300000000000001E-2</v>
      </c>
      <c r="J12" s="47">
        <v>2.4830000000000001</v>
      </c>
      <c r="K12" s="33">
        <v>21</v>
      </c>
      <c r="L12" s="41">
        <v>3.04E-2</v>
      </c>
      <c r="M12" s="42">
        <v>3.09E-2</v>
      </c>
      <c r="N12" s="43">
        <v>3.1399999999999997E-2</v>
      </c>
      <c r="O12" s="49">
        <v>2.5099999999999998</v>
      </c>
      <c r="P12" s="15">
        <v>21</v>
      </c>
      <c r="Q12" s="41">
        <v>3.15E-2</v>
      </c>
      <c r="R12" s="42">
        <v>3.2099999999999997E-2</v>
      </c>
      <c r="S12" s="44">
        <v>3.2599999999999997E-2</v>
      </c>
      <c r="T12" s="50">
        <v>2.5579999999999998</v>
      </c>
      <c r="U12" s="33">
        <v>21</v>
      </c>
      <c r="V12" s="41">
        <v>3.2099999999999997E-2</v>
      </c>
      <c r="W12" s="42">
        <v>3.32E-2</v>
      </c>
      <c r="X12" s="44">
        <v>3.4200000000000001E-2</v>
      </c>
      <c r="Y12" s="51">
        <v>2.5710000000000002</v>
      </c>
    </row>
    <row r="13" spans="1:25" ht="14.1" customHeight="1" x14ac:dyDescent="0.25">
      <c r="A13" s="15">
        <v>22</v>
      </c>
      <c r="B13" s="122">
        <v>16.59</v>
      </c>
      <c r="C13" s="16">
        <v>2.53E-2</v>
      </c>
      <c r="D13" s="17">
        <f t="shared" si="0"/>
        <v>640.09</v>
      </c>
      <c r="E13" s="52">
        <v>627</v>
      </c>
      <c r="F13" s="36">
        <v>22</v>
      </c>
      <c r="G13" s="37">
        <v>2.6100000000000002E-2</v>
      </c>
      <c r="H13" s="38">
        <v>2.6599999999999999E-2</v>
      </c>
      <c r="I13" s="39">
        <v>2.7E-2</v>
      </c>
      <c r="J13" s="47">
        <v>1.97</v>
      </c>
      <c r="K13" s="33">
        <v>22</v>
      </c>
      <c r="L13" s="41">
        <v>2.7099999999999999E-2</v>
      </c>
      <c r="M13" s="42">
        <v>2.76E-2</v>
      </c>
      <c r="N13" s="43">
        <v>2.81E-2</v>
      </c>
      <c r="O13" s="49">
        <v>1.99</v>
      </c>
      <c r="P13" s="15">
        <v>22</v>
      </c>
      <c r="Q13" s="41">
        <v>2.8199999999999999E-2</v>
      </c>
      <c r="R13" s="42">
        <v>2.8799999999999999E-2</v>
      </c>
      <c r="S13" s="44">
        <v>2.93E-2</v>
      </c>
      <c r="T13" s="50">
        <v>2.0230000000000001</v>
      </c>
      <c r="U13" s="33">
        <v>22</v>
      </c>
      <c r="V13" s="41">
        <v>2.87E-2</v>
      </c>
      <c r="W13" s="42">
        <v>2.98E-2</v>
      </c>
      <c r="X13" s="44">
        <v>3.0800000000000001E-2</v>
      </c>
      <c r="Y13" s="51">
        <v>2.0329999999999999</v>
      </c>
    </row>
    <row r="14" spans="1:25" ht="14.1" customHeight="1" x14ac:dyDescent="0.25">
      <c r="A14" s="15">
        <v>23</v>
      </c>
      <c r="B14" s="122">
        <v>20.67</v>
      </c>
      <c r="C14" s="16">
        <v>2.2599999999999999E-2</v>
      </c>
      <c r="D14" s="17">
        <f t="shared" si="0"/>
        <v>510.75999999999988</v>
      </c>
      <c r="E14" s="52">
        <v>501</v>
      </c>
      <c r="F14" s="36">
        <v>23</v>
      </c>
      <c r="G14" s="37">
        <v>2.3400000000000001E-2</v>
      </c>
      <c r="H14" s="38">
        <v>2.3800000000000002E-2</v>
      </c>
      <c r="I14" s="39">
        <v>2.4299999999999999E-2</v>
      </c>
      <c r="J14" s="47">
        <v>1.5649999999999999</v>
      </c>
      <c r="K14" s="33">
        <v>23</v>
      </c>
      <c r="L14" s="41">
        <v>2.4400000000000002E-2</v>
      </c>
      <c r="M14" s="42">
        <v>2.4899999999999999E-2</v>
      </c>
      <c r="N14" s="43">
        <v>2.53E-2</v>
      </c>
      <c r="O14" s="49">
        <v>1.59</v>
      </c>
      <c r="P14" s="15">
        <v>23</v>
      </c>
      <c r="Q14" s="41">
        <v>2.5399999999999999E-2</v>
      </c>
      <c r="R14" s="42">
        <v>2.5899999999999999E-2</v>
      </c>
      <c r="S14" s="44">
        <v>2.64E-2</v>
      </c>
      <c r="T14" s="50">
        <v>1.62</v>
      </c>
      <c r="U14" s="33">
        <v>23</v>
      </c>
      <c r="V14" s="41">
        <v>2.5999999999999999E-2</v>
      </c>
      <c r="W14" s="42">
        <v>2.7E-2</v>
      </c>
      <c r="X14" s="44">
        <v>2.7900000000000001E-2</v>
      </c>
      <c r="Y14" s="51">
        <v>1.6279999999999999</v>
      </c>
    </row>
    <row r="15" spans="1:25" ht="14.1" customHeight="1" x14ac:dyDescent="0.25">
      <c r="A15" s="15">
        <v>24</v>
      </c>
      <c r="B15" s="122">
        <v>26.19</v>
      </c>
      <c r="C15" s="16">
        <v>2.01E-2</v>
      </c>
      <c r="D15" s="17">
        <f t="shared" si="0"/>
        <v>404.01000000000005</v>
      </c>
      <c r="E15" s="52">
        <v>396</v>
      </c>
      <c r="F15" s="36">
        <v>24</v>
      </c>
      <c r="G15" s="37">
        <v>2.0899999999999998E-2</v>
      </c>
      <c r="H15" s="38">
        <v>2.1299999999999999E-2</v>
      </c>
      <c r="I15" s="39">
        <v>2.1700000000000001E-2</v>
      </c>
      <c r="J15" s="47">
        <v>1.24</v>
      </c>
      <c r="K15" s="33">
        <v>24</v>
      </c>
      <c r="L15" s="41">
        <v>2.18E-2</v>
      </c>
      <c r="M15" s="42">
        <v>2.23E-2</v>
      </c>
      <c r="N15" s="43">
        <v>2.2700000000000001E-2</v>
      </c>
      <c r="O15" s="49">
        <v>1.26</v>
      </c>
      <c r="P15" s="15">
        <v>24</v>
      </c>
      <c r="Q15" s="41">
        <v>2.2800000000000001E-2</v>
      </c>
      <c r="R15" s="42">
        <v>2.3300000000000001E-2</v>
      </c>
      <c r="S15" s="44">
        <v>2.3800000000000002E-2</v>
      </c>
      <c r="T15" s="50">
        <v>1.2869999999999999</v>
      </c>
      <c r="U15" s="33">
        <v>24</v>
      </c>
      <c r="V15" s="41">
        <v>2.3400000000000001E-2</v>
      </c>
      <c r="W15" s="42">
        <v>2.4299999999999999E-2</v>
      </c>
      <c r="X15" s="44">
        <v>2.52E-2</v>
      </c>
      <c r="Y15" s="51">
        <v>1.2929999999999999</v>
      </c>
    </row>
    <row r="16" spans="1:25" ht="14.1" customHeight="1" x14ac:dyDescent="0.25">
      <c r="A16" s="15">
        <v>25</v>
      </c>
      <c r="B16" s="122">
        <v>33.1</v>
      </c>
      <c r="C16" s="16">
        <v>1.7899999999999999E-2</v>
      </c>
      <c r="D16" s="17">
        <f t="shared" si="0"/>
        <v>320.40999999999997</v>
      </c>
      <c r="E16" s="52">
        <v>314</v>
      </c>
      <c r="F16" s="36">
        <v>25</v>
      </c>
      <c r="G16" s="37">
        <v>1.8599999999999998E-2</v>
      </c>
      <c r="H16" s="38">
        <v>1.9E-2</v>
      </c>
      <c r="I16" s="39">
        <v>1.9400000000000001E-2</v>
      </c>
      <c r="J16" s="53">
        <v>0.98799999999999999</v>
      </c>
      <c r="K16" s="33">
        <v>25</v>
      </c>
      <c r="L16" s="41">
        <v>1.95E-2</v>
      </c>
      <c r="M16" s="42">
        <v>1.9900000000000001E-2</v>
      </c>
      <c r="N16" s="43">
        <v>2.0299999999999999E-2</v>
      </c>
      <c r="O16" s="49">
        <v>1.0049999999999999</v>
      </c>
      <c r="P16" s="15">
        <v>25</v>
      </c>
      <c r="Q16" s="41">
        <v>2.0400000000000001E-2</v>
      </c>
      <c r="R16" s="42">
        <v>2.0899999999999998E-2</v>
      </c>
      <c r="S16" s="44">
        <v>2.1399999999999999E-2</v>
      </c>
      <c r="T16" s="50">
        <v>1.0229999999999999</v>
      </c>
      <c r="U16" s="33">
        <v>25</v>
      </c>
      <c r="V16" s="41">
        <v>2.1100000000000001E-2</v>
      </c>
      <c r="W16" s="42">
        <v>2.1999999999999999E-2</v>
      </c>
      <c r="X16" s="44">
        <v>2.2800000000000001E-2</v>
      </c>
      <c r="Y16" s="51">
        <v>1.028</v>
      </c>
    </row>
    <row r="17" spans="1:25" ht="14.1" customHeight="1" x14ac:dyDescent="0.25">
      <c r="A17" s="15">
        <v>26</v>
      </c>
      <c r="B17" s="122">
        <v>42.07</v>
      </c>
      <c r="C17" s="16">
        <v>1.5900000000000001E-2</v>
      </c>
      <c r="D17" s="17">
        <f t="shared" si="0"/>
        <v>252.81</v>
      </c>
      <c r="E17" s="52">
        <v>248</v>
      </c>
      <c r="F17" s="36">
        <v>26</v>
      </c>
      <c r="G17" s="37">
        <v>1.66E-2</v>
      </c>
      <c r="H17" s="38">
        <v>1.7000000000000001E-2</v>
      </c>
      <c r="I17" s="39">
        <v>1.7299999999999999E-2</v>
      </c>
      <c r="J17" s="53">
        <v>0.78400000000000003</v>
      </c>
      <c r="K17" s="33">
        <v>26</v>
      </c>
      <c r="L17" s="41">
        <v>1.7399999999999999E-2</v>
      </c>
      <c r="M17" s="42">
        <v>1.78E-2</v>
      </c>
      <c r="N17" s="43">
        <v>1.8200000000000001E-2</v>
      </c>
      <c r="O17" s="54">
        <v>0.79900000000000004</v>
      </c>
      <c r="P17" s="15">
        <v>26</v>
      </c>
      <c r="Q17" s="41">
        <v>1.83E-2</v>
      </c>
      <c r="R17" s="42">
        <v>1.8800000000000001E-2</v>
      </c>
      <c r="S17" s="44">
        <v>1.9300000000000001E-2</v>
      </c>
      <c r="T17" s="55">
        <v>0.81200000000000006</v>
      </c>
      <c r="U17" s="33">
        <v>26</v>
      </c>
      <c r="V17" s="41">
        <v>1.89E-2</v>
      </c>
      <c r="W17" s="42">
        <v>1.9800000000000002E-2</v>
      </c>
      <c r="X17" s="44">
        <v>2.06E-2</v>
      </c>
      <c r="Y17" s="56">
        <v>0.81610000000000005</v>
      </c>
    </row>
    <row r="18" spans="1:25" ht="14.1" customHeight="1" x14ac:dyDescent="0.25">
      <c r="A18" s="15">
        <v>27</v>
      </c>
      <c r="B18" s="122">
        <v>52.17</v>
      </c>
      <c r="C18" s="16">
        <v>1.4200000000000001E-2</v>
      </c>
      <c r="D18" s="17">
        <f t="shared" si="0"/>
        <v>201.64000000000004</v>
      </c>
      <c r="E18" s="52">
        <v>198</v>
      </c>
      <c r="F18" s="36">
        <v>27</v>
      </c>
      <c r="G18" s="37">
        <v>1.49E-2</v>
      </c>
      <c r="H18" s="38">
        <v>1.5299999999999999E-2</v>
      </c>
      <c r="I18" s="39">
        <v>1.5599999999999999E-2</v>
      </c>
      <c r="J18" s="53">
        <v>0.623</v>
      </c>
      <c r="K18" s="33">
        <v>27</v>
      </c>
      <c r="L18" s="41">
        <v>1.5699999999999999E-2</v>
      </c>
      <c r="M18" s="42">
        <v>1.61E-2</v>
      </c>
      <c r="N18" s="43">
        <v>1.6400000000000001E-2</v>
      </c>
      <c r="O18" s="54">
        <v>0.63400000000000001</v>
      </c>
      <c r="P18" s="15">
        <v>27</v>
      </c>
      <c r="Q18" s="41">
        <v>1.6500000000000001E-2</v>
      </c>
      <c r="R18" s="42">
        <v>1.6899999999999998E-2</v>
      </c>
      <c r="S18" s="44">
        <v>1.7299999999999999E-2</v>
      </c>
      <c r="T18" s="55">
        <v>0.64900000000000002</v>
      </c>
      <c r="U18" s="33">
        <v>27</v>
      </c>
      <c r="V18" s="41">
        <v>1.7100000000000001E-2</v>
      </c>
      <c r="W18" s="42">
        <v>1.78E-2</v>
      </c>
      <c r="X18" s="44">
        <v>1.8499999999999999E-2</v>
      </c>
      <c r="Y18" s="56">
        <v>0.65229999999999999</v>
      </c>
    </row>
    <row r="19" spans="1:25" ht="14.1" customHeight="1" x14ac:dyDescent="0.25">
      <c r="A19" s="15">
        <v>28</v>
      </c>
      <c r="B19" s="122">
        <v>66.37</v>
      </c>
      <c r="C19" s="16">
        <v>1.26E-2</v>
      </c>
      <c r="D19" s="17">
        <f t="shared" si="0"/>
        <v>158.76</v>
      </c>
      <c r="E19" s="52">
        <v>156</v>
      </c>
      <c r="F19" s="36">
        <v>28</v>
      </c>
      <c r="G19" s="37">
        <v>1.3299999999999999E-2</v>
      </c>
      <c r="H19" s="38">
        <v>1.37E-2</v>
      </c>
      <c r="I19" s="39">
        <v>1.4E-2</v>
      </c>
      <c r="J19" s="53">
        <v>0.495</v>
      </c>
      <c r="K19" s="33">
        <v>28</v>
      </c>
      <c r="L19" s="41">
        <v>1.41E-2</v>
      </c>
      <c r="M19" s="42">
        <v>1.44E-2</v>
      </c>
      <c r="N19" s="43">
        <v>1.47E-2</v>
      </c>
      <c r="O19" s="54">
        <v>0.504</v>
      </c>
      <c r="P19" s="15">
        <v>28</v>
      </c>
      <c r="Q19" s="41">
        <v>1.4800000000000001E-2</v>
      </c>
      <c r="R19" s="42">
        <v>1.52E-2</v>
      </c>
      <c r="S19" s="44">
        <v>1.5599999999999999E-2</v>
      </c>
      <c r="T19" s="55">
        <v>0.51400000000000001</v>
      </c>
      <c r="U19" s="33">
        <v>28</v>
      </c>
      <c r="V19" s="41">
        <v>1.54E-2</v>
      </c>
      <c r="W19" s="42">
        <v>1.6E-2</v>
      </c>
      <c r="X19" s="44">
        <v>1.66E-2</v>
      </c>
      <c r="Y19" s="56">
        <v>0.51659999999999995</v>
      </c>
    </row>
    <row r="20" spans="1:25" ht="14.1" customHeight="1" x14ac:dyDescent="0.25">
      <c r="A20" s="15">
        <v>29</v>
      </c>
      <c r="B20" s="122">
        <v>82.68</v>
      </c>
      <c r="C20" s="16">
        <v>1.1299999999999999E-2</v>
      </c>
      <c r="D20" s="17">
        <f t="shared" si="0"/>
        <v>127.68999999999997</v>
      </c>
      <c r="E20" s="52">
        <v>125</v>
      </c>
      <c r="F20" s="36">
        <v>29</v>
      </c>
      <c r="G20" s="37">
        <v>1.1900000000000001E-2</v>
      </c>
      <c r="H20" s="38">
        <v>1.23E-2</v>
      </c>
      <c r="I20" s="39">
        <v>1.26E-2</v>
      </c>
      <c r="J20" s="53">
        <v>0.39400000000000002</v>
      </c>
      <c r="K20" s="33">
        <v>29</v>
      </c>
      <c r="L20" s="41">
        <v>1.2699999999999999E-2</v>
      </c>
      <c r="M20" s="42">
        <v>1.2999999999999999E-2</v>
      </c>
      <c r="N20" s="43">
        <v>1.3299999999999999E-2</v>
      </c>
      <c r="O20" s="54">
        <v>0.40100000000000002</v>
      </c>
      <c r="P20" s="15">
        <v>29</v>
      </c>
      <c r="Q20" s="41">
        <v>1.34E-2</v>
      </c>
      <c r="R20" s="42">
        <v>1.38E-2</v>
      </c>
      <c r="S20" s="44">
        <v>1.4200000000000001E-2</v>
      </c>
      <c r="T20" s="55">
        <v>0.41499999999999998</v>
      </c>
      <c r="U20" s="33">
        <v>29</v>
      </c>
      <c r="V20" s="41">
        <v>1.4E-2</v>
      </c>
      <c r="W20" s="42">
        <v>1.46E-2</v>
      </c>
      <c r="X20" s="44">
        <v>1.52E-2</v>
      </c>
      <c r="Y20" s="56">
        <v>0.41710000000000003</v>
      </c>
    </row>
    <row r="21" spans="1:25" ht="14.1" customHeight="1" x14ac:dyDescent="0.25">
      <c r="A21" s="15">
        <v>30</v>
      </c>
      <c r="B21" s="122">
        <v>105.82</v>
      </c>
      <c r="C21" s="16">
        <v>0.01</v>
      </c>
      <c r="D21" s="17">
        <f t="shared" si="0"/>
        <v>100</v>
      </c>
      <c r="E21" s="52">
        <v>98</v>
      </c>
      <c r="F21" s="36">
        <v>30</v>
      </c>
      <c r="G21" s="37">
        <v>1.06E-2</v>
      </c>
      <c r="H21" s="38">
        <v>1.09E-2</v>
      </c>
      <c r="I21" s="39">
        <v>1.12E-2</v>
      </c>
      <c r="J21" s="53">
        <v>0.312</v>
      </c>
      <c r="K21" s="33">
        <v>30</v>
      </c>
      <c r="L21" s="41">
        <v>1.1299999999999999E-2</v>
      </c>
      <c r="M21" s="42">
        <v>1.1599999999999999E-2</v>
      </c>
      <c r="N21" s="43">
        <v>1.1900000000000001E-2</v>
      </c>
      <c r="O21" s="54">
        <v>0.318</v>
      </c>
      <c r="P21" s="15">
        <v>30</v>
      </c>
      <c r="Q21" s="41">
        <v>1.2E-2</v>
      </c>
      <c r="R21" s="42">
        <v>1.24E-2</v>
      </c>
      <c r="S21" s="44">
        <v>1.2800000000000001E-2</v>
      </c>
      <c r="T21" s="55">
        <v>0.32700000000000001</v>
      </c>
      <c r="U21" s="33">
        <v>30</v>
      </c>
      <c r="V21" s="41">
        <v>1.26E-2</v>
      </c>
      <c r="W21" s="42">
        <v>1.32E-2</v>
      </c>
      <c r="X21" s="44">
        <v>1.37E-2</v>
      </c>
      <c r="Y21" s="56">
        <v>0.3286</v>
      </c>
    </row>
    <row r="22" spans="1:25" ht="14.1" customHeight="1" x14ac:dyDescent="0.25">
      <c r="A22" s="15">
        <v>31</v>
      </c>
      <c r="B22" s="122">
        <v>133.91999999999999</v>
      </c>
      <c r="C22" s="16">
        <v>8.8999999999999999E-3</v>
      </c>
      <c r="D22" s="57">
        <f t="shared" si="0"/>
        <v>79.210000000000008</v>
      </c>
      <c r="E22" s="52">
        <v>77.599999999999994</v>
      </c>
      <c r="F22" s="36">
        <v>31</v>
      </c>
      <c r="G22" s="37">
        <v>9.4000000000000004E-3</v>
      </c>
      <c r="H22" s="38">
        <v>9.7000000000000003E-3</v>
      </c>
      <c r="I22" s="39">
        <v>0.01</v>
      </c>
      <c r="J22" s="53">
        <v>0.248</v>
      </c>
      <c r="K22" s="33">
        <v>31</v>
      </c>
      <c r="L22" s="41">
        <v>1.01E-2</v>
      </c>
      <c r="M22" s="42">
        <v>1.0500000000000001E-2</v>
      </c>
      <c r="N22" s="43">
        <v>1.0800000000000001E-2</v>
      </c>
      <c r="O22" s="54">
        <v>0.254</v>
      </c>
      <c r="P22" s="15">
        <v>31</v>
      </c>
      <c r="Q22" s="41">
        <v>1.0500000000000001E-2</v>
      </c>
      <c r="R22" s="42">
        <v>1.0999999999999999E-2</v>
      </c>
      <c r="S22" s="44">
        <v>1.14E-2</v>
      </c>
      <c r="T22" s="55">
        <v>0.25800000000000001</v>
      </c>
      <c r="U22" s="33">
        <v>31</v>
      </c>
      <c r="V22" s="41">
        <v>1.14E-2</v>
      </c>
      <c r="W22" s="42">
        <v>1.18E-2</v>
      </c>
      <c r="X22" s="44">
        <v>1.21E-2</v>
      </c>
      <c r="Y22" s="56">
        <v>0.25929999999999997</v>
      </c>
    </row>
    <row r="23" spans="1:25" ht="14.1" customHeight="1" x14ac:dyDescent="0.25">
      <c r="A23" s="15">
        <v>32</v>
      </c>
      <c r="B23" s="122">
        <v>166.18</v>
      </c>
      <c r="C23" s="16">
        <v>8.0000000000000002E-3</v>
      </c>
      <c r="D23" s="57">
        <f t="shared" si="0"/>
        <v>64</v>
      </c>
      <c r="E23" s="52">
        <v>62.7</v>
      </c>
      <c r="F23" s="36">
        <v>32</v>
      </c>
      <c r="G23" s="37">
        <v>8.5000000000000006E-3</v>
      </c>
      <c r="H23" s="38">
        <v>8.8000000000000005E-3</v>
      </c>
      <c r="I23" s="39">
        <v>9.1000000000000004E-3</v>
      </c>
      <c r="J23" s="53">
        <v>0.1966</v>
      </c>
      <c r="K23" s="33">
        <v>32</v>
      </c>
      <c r="L23" s="41">
        <v>9.1000000000000004E-3</v>
      </c>
      <c r="M23" s="42">
        <v>9.4999999999999998E-3</v>
      </c>
      <c r="N23" s="43">
        <v>9.7999999999999997E-3</v>
      </c>
      <c r="O23" s="54">
        <v>0.2019</v>
      </c>
      <c r="P23" s="15">
        <v>32</v>
      </c>
      <c r="Q23" s="41">
        <v>9.4999999999999998E-3</v>
      </c>
      <c r="R23" s="42">
        <v>9.9000000000000008E-3</v>
      </c>
      <c r="S23" s="44">
        <v>1.03E-2</v>
      </c>
      <c r="T23" s="55">
        <v>0.20899999999999999</v>
      </c>
      <c r="U23" s="33">
        <v>32</v>
      </c>
      <c r="V23" s="41">
        <v>1.03E-2</v>
      </c>
      <c r="W23" s="42">
        <v>1.0699999999999999E-2</v>
      </c>
      <c r="X23" s="44">
        <v>1.0999999999999999E-2</v>
      </c>
      <c r="Y23" s="56">
        <v>0.21010000000000001</v>
      </c>
    </row>
    <row r="24" spans="1:25" ht="14.1" customHeight="1" x14ac:dyDescent="0.25">
      <c r="A24" s="15">
        <v>33</v>
      </c>
      <c r="B24" s="122">
        <v>211.65</v>
      </c>
      <c r="C24" s="16">
        <v>7.1000000000000004E-3</v>
      </c>
      <c r="D24" s="57">
        <f t="shared" si="0"/>
        <v>50.410000000000011</v>
      </c>
      <c r="E24" s="52">
        <v>49.4</v>
      </c>
      <c r="F24" s="36">
        <v>33</v>
      </c>
      <c r="G24" s="37">
        <v>7.4999999999999997E-3</v>
      </c>
      <c r="H24" s="38">
        <v>7.7999999999999996E-3</v>
      </c>
      <c r="I24" s="39">
        <v>8.0999999999999996E-3</v>
      </c>
      <c r="J24" s="53">
        <v>0.157</v>
      </c>
      <c r="K24" s="33">
        <v>33</v>
      </c>
      <c r="L24" s="41">
        <v>8.0999999999999996E-3</v>
      </c>
      <c r="M24" s="42">
        <v>8.5000000000000006E-3</v>
      </c>
      <c r="N24" s="43">
        <v>8.8000000000000005E-3</v>
      </c>
      <c r="O24" s="54">
        <v>0.16109999999999999</v>
      </c>
      <c r="P24" s="15">
        <v>33</v>
      </c>
      <c r="Q24" s="41">
        <v>8.3999999999999995E-3</v>
      </c>
      <c r="R24" s="42">
        <v>8.8000000000000005E-3</v>
      </c>
      <c r="S24" s="44">
        <v>9.1999999999999998E-3</v>
      </c>
      <c r="T24" s="55">
        <v>0.16500000000000001</v>
      </c>
      <c r="U24" s="33">
        <v>33</v>
      </c>
      <c r="V24" s="41">
        <v>9.1999999999999998E-3</v>
      </c>
      <c r="W24" s="42">
        <v>9.5999999999999992E-3</v>
      </c>
      <c r="X24" s="44">
        <v>9.9000000000000008E-3</v>
      </c>
      <c r="Y24" s="56">
        <v>0.1658</v>
      </c>
    </row>
    <row r="25" spans="1:25" ht="14.1" customHeight="1" x14ac:dyDescent="0.25">
      <c r="A25" s="15">
        <v>34</v>
      </c>
      <c r="B25" s="122">
        <v>269.8</v>
      </c>
      <c r="C25" s="16">
        <v>6.3E-3</v>
      </c>
      <c r="D25" s="57">
        <f t="shared" si="0"/>
        <v>39.69</v>
      </c>
      <c r="E25" s="52">
        <v>38.9</v>
      </c>
      <c r="F25" s="36">
        <v>34</v>
      </c>
      <c r="G25" s="37">
        <v>6.7000000000000002E-3</v>
      </c>
      <c r="H25" s="38">
        <v>7.0000000000000001E-3</v>
      </c>
      <c r="I25" s="39">
        <v>7.1999999999999998E-3</v>
      </c>
      <c r="J25" s="53">
        <v>0.1244</v>
      </c>
      <c r="K25" s="33">
        <v>34</v>
      </c>
      <c r="L25" s="41">
        <v>7.1999999999999998E-3</v>
      </c>
      <c r="M25" s="42">
        <v>7.4999999999999997E-3</v>
      </c>
      <c r="N25" s="43">
        <v>7.7999999999999996E-3</v>
      </c>
      <c r="O25" s="54">
        <v>0.12690000000000001</v>
      </c>
      <c r="P25" s="15">
        <v>34</v>
      </c>
      <c r="Q25" s="41">
        <v>7.4999999999999997E-3</v>
      </c>
      <c r="R25" s="42">
        <v>7.9000000000000008E-3</v>
      </c>
      <c r="S25" s="44">
        <v>8.2000000000000007E-3</v>
      </c>
      <c r="T25" s="55">
        <v>0.13</v>
      </c>
      <c r="U25" s="33">
        <v>34</v>
      </c>
      <c r="V25" s="41">
        <v>8.2000000000000007E-3</v>
      </c>
      <c r="W25" s="42">
        <v>8.5000000000000006E-3</v>
      </c>
      <c r="X25" s="44">
        <v>8.8000000000000005E-3</v>
      </c>
      <c r="Y25" s="56">
        <v>0.13059999999999999</v>
      </c>
    </row>
    <row r="26" spans="1:25" ht="14.1" customHeight="1" x14ac:dyDescent="0.25">
      <c r="A26" s="15">
        <v>35</v>
      </c>
      <c r="B26" s="122">
        <v>342.84</v>
      </c>
      <c r="C26" s="16">
        <v>5.5999999999999999E-3</v>
      </c>
      <c r="D26" s="57">
        <f t="shared" si="0"/>
        <v>31.359999999999996</v>
      </c>
      <c r="E26" s="52">
        <v>30.8</v>
      </c>
      <c r="F26" s="36">
        <v>35</v>
      </c>
      <c r="G26" s="37">
        <v>5.8999999999999999E-3</v>
      </c>
      <c r="H26" s="38">
        <v>6.1999999999999998E-3</v>
      </c>
      <c r="I26" s="39">
        <v>6.4000000000000003E-3</v>
      </c>
      <c r="J26" s="53">
        <v>9.8900000000000002E-2</v>
      </c>
      <c r="K26" s="33">
        <v>35</v>
      </c>
      <c r="L26" s="41">
        <v>6.4000000000000003E-3</v>
      </c>
      <c r="M26" s="42">
        <v>6.7000000000000002E-3</v>
      </c>
      <c r="N26" s="43">
        <v>7.0000000000000001E-3</v>
      </c>
      <c r="O26" s="54">
        <v>0.10100000000000001</v>
      </c>
      <c r="P26" s="15">
        <v>35</v>
      </c>
      <c r="Q26" s="41">
        <v>6.7000000000000002E-3</v>
      </c>
      <c r="R26" s="42">
        <v>7.1000000000000004E-3</v>
      </c>
      <c r="S26" s="44">
        <v>7.4000000000000003E-3</v>
      </c>
      <c r="T26" s="55">
        <v>0.10299999999999999</v>
      </c>
      <c r="U26" s="33">
        <v>35</v>
      </c>
      <c r="V26" s="41">
        <v>7.3000000000000001E-3</v>
      </c>
      <c r="W26" s="42">
        <v>7.6E-3</v>
      </c>
      <c r="X26" s="44">
        <v>7.9000000000000008E-3</v>
      </c>
      <c r="Y26" s="56">
        <v>0.10349999999999999</v>
      </c>
    </row>
    <row r="27" spans="1:25" ht="14.1" customHeight="1" x14ac:dyDescent="0.25">
      <c r="A27" s="15">
        <v>36</v>
      </c>
      <c r="B27" s="122">
        <v>431.95</v>
      </c>
      <c r="C27" s="16">
        <v>5.0000000000000001E-3</v>
      </c>
      <c r="D27" s="57">
        <f>(C27*1000)^2</f>
        <v>25</v>
      </c>
      <c r="E27" s="52">
        <v>24.5</v>
      </c>
      <c r="F27" s="36">
        <v>36</v>
      </c>
      <c r="G27" s="37">
        <v>5.3E-3</v>
      </c>
      <c r="H27" s="38">
        <v>5.5999999999999999E-3</v>
      </c>
      <c r="I27" s="39">
        <v>5.7999999999999996E-3</v>
      </c>
      <c r="J27" s="53">
        <v>7.8799999999999995E-2</v>
      </c>
      <c r="K27" s="33">
        <v>36</v>
      </c>
      <c r="L27" s="41">
        <v>5.7000000000000002E-3</v>
      </c>
      <c r="M27" s="42">
        <v>6.0000000000000001E-3</v>
      </c>
      <c r="N27" s="43">
        <v>6.3E-3</v>
      </c>
      <c r="O27" s="54">
        <v>8.0299999999999996E-2</v>
      </c>
      <c r="P27" s="15">
        <v>36</v>
      </c>
      <c r="Q27" s="41">
        <v>6.0000000000000001E-3</v>
      </c>
      <c r="R27" s="42">
        <v>6.4000000000000003E-3</v>
      </c>
      <c r="S27" s="44">
        <v>6.7000000000000002E-3</v>
      </c>
      <c r="T27" s="55">
        <v>8.2699999999999996E-2</v>
      </c>
      <c r="U27" s="33">
        <v>36</v>
      </c>
      <c r="V27" s="41">
        <v>6.4999999999999997E-3</v>
      </c>
      <c r="W27" s="42">
        <v>6.7999999999999996E-3</v>
      </c>
      <c r="X27" s="44">
        <v>7.1000000000000004E-3</v>
      </c>
      <c r="Y27" s="56">
        <v>8.3099999999999993E-2</v>
      </c>
    </row>
    <row r="28" spans="1:25" ht="14.1" customHeight="1" x14ac:dyDescent="0.25">
      <c r="A28" s="15">
        <v>37</v>
      </c>
      <c r="B28" s="122">
        <v>535.69000000000005</v>
      </c>
      <c r="C28" s="16">
        <v>4.4999999999999997E-3</v>
      </c>
      <c r="D28" s="57">
        <f t="shared" si="0"/>
        <v>20.25</v>
      </c>
      <c r="E28" s="52">
        <v>19.8</v>
      </c>
      <c r="F28" s="36">
        <v>37</v>
      </c>
      <c r="G28" s="37">
        <v>4.7000000000000002E-3</v>
      </c>
      <c r="H28" s="38">
        <v>5.0000000000000001E-3</v>
      </c>
      <c r="I28" s="39">
        <v>5.1999999999999998E-3</v>
      </c>
      <c r="J28" s="53">
        <v>6.2399999999999997E-2</v>
      </c>
      <c r="K28" s="33">
        <v>37</v>
      </c>
      <c r="L28" s="41">
        <v>5.1999999999999998E-3</v>
      </c>
      <c r="M28" s="42">
        <v>5.4999999999999997E-3</v>
      </c>
      <c r="N28" s="43">
        <v>5.7000000000000002E-3</v>
      </c>
      <c r="O28" s="54">
        <v>6.4100000000000004E-2</v>
      </c>
      <c r="P28" s="15">
        <v>37</v>
      </c>
      <c r="Q28" s="41">
        <v>5.4000000000000003E-3</v>
      </c>
      <c r="R28" s="42">
        <v>5.7000000000000002E-3</v>
      </c>
      <c r="S28" s="44">
        <v>6.0000000000000001E-3</v>
      </c>
      <c r="T28" s="55">
        <v>6.6900000000000001E-2</v>
      </c>
      <c r="U28" s="33">
        <v>37</v>
      </c>
      <c r="V28" s="41">
        <v>6.0000000000000001E-3</v>
      </c>
      <c r="W28" s="42">
        <v>6.3E-3</v>
      </c>
      <c r="X28" s="44">
        <v>6.4999999999999997E-3</v>
      </c>
      <c r="Y28" s="56">
        <v>6.7199999999999996E-2</v>
      </c>
    </row>
    <row r="29" spans="1:25" ht="14.1" customHeight="1" x14ac:dyDescent="0.25">
      <c r="A29" s="15">
        <v>38</v>
      </c>
      <c r="B29" s="122">
        <v>681.85</v>
      </c>
      <c r="C29" s="16">
        <v>4.0000000000000001E-3</v>
      </c>
      <c r="D29" s="57">
        <f t="shared" si="0"/>
        <v>16</v>
      </c>
      <c r="E29" s="52">
        <v>15.7</v>
      </c>
      <c r="F29" s="36">
        <v>38</v>
      </c>
      <c r="G29" s="37">
        <v>4.1999999999999997E-3</v>
      </c>
      <c r="H29" s="38">
        <v>4.4999999999999997E-3</v>
      </c>
      <c r="I29" s="39">
        <v>4.7000000000000002E-3</v>
      </c>
      <c r="J29" s="53">
        <v>4.9399999999999999E-2</v>
      </c>
      <c r="K29" s="33">
        <v>38</v>
      </c>
      <c r="L29" s="41">
        <v>4.5999999999999999E-3</v>
      </c>
      <c r="M29" s="42">
        <v>4.8999999999999998E-3</v>
      </c>
      <c r="N29" s="43">
        <v>5.1000000000000004E-3</v>
      </c>
      <c r="O29" s="54">
        <v>5.0900000000000001E-2</v>
      </c>
      <c r="P29" s="15">
        <v>38</v>
      </c>
      <c r="Q29" s="41">
        <v>4.7999999999999996E-3</v>
      </c>
      <c r="R29" s="42">
        <v>5.1000000000000004E-3</v>
      </c>
      <c r="S29" s="44">
        <v>5.4000000000000003E-3</v>
      </c>
      <c r="T29" s="55">
        <v>5.2999999999999999E-2</v>
      </c>
      <c r="U29" s="33">
        <v>38</v>
      </c>
      <c r="V29" s="41">
        <v>5.3E-3</v>
      </c>
      <c r="W29" s="42">
        <v>5.5999999999999999E-3</v>
      </c>
      <c r="X29" s="44">
        <v>5.7999999999999996E-3</v>
      </c>
      <c r="Y29" s="56">
        <v>5.33E-2</v>
      </c>
    </row>
    <row r="30" spans="1:25" ht="14.1" customHeight="1" x14ac:dyDescent="0.25">
      <c r="A30" s="15">
        <v>39</v>
      </c>
      <c r="B30" s="122">
        <v>897.15</v>
      </c>
      <c r="C30" s="16">
        <v>3.5000000000000001E-3</v>
      </c>
      <c r="D30" s="58">
        <f t="shared" si="0"/>
        <v>12.25</v>
      </c>
      <c r="E30" s="52">
        <v>11.9</v>
      </c>
      <c r="F30" s="36">
        <v>39</v>
      </c>
      <c r="G30" s="37">
        <v>3.5999999999999999E-3</v>
      </c>
      <c r="H30" s="38">
        <v>3.8999999999999998E-3</v>
      </c>
      <c r="I30" s="39">
        <v>4.1000000000000003E-3</v>
      </c>
      <c r="J30" s="53">
        <v>3.9300000000000002E-2</v>
      </c>
      <c r="K30" s="33">
        <v>39</v>
      </c>
      <c r="L30" s="41">
        <v>4.0000000000000001E-3</v>
      </c>
      <c r="M30" s="42">
        <v>4.3E-3</v>
      </c>
      <c r="N30" s="43">
        <v>4.4999999999999997E-3</v>
      </c>
      <c r="O30" s="54">
        <v>4.0300000000000002E-2</v>
      </c>
      <c r="P30" s="15">
        <v>39</v>
      </c>
      <c r="Q30" s="41">
        <v>4.1999999999999997E-3</v>
      </c>
      <c r="R30" s="42">
        <v>4.4999999999999997E-3</v>
      </c>
      <c r="S30" s="44">
        <v>4.7999999999999996E-3</v>
      </c>
      <c r="T30" s="55">
        <v>4.0800000000000003E-2</v>
      </c>
      <c r="U30" s="33">
        <v>39</v>
      </c>
      <c r="V30" s="41">
        <v>4.5999999999999999E-3</v>
      </c>
      <c r="W30" s="42">
        <v>4.8999999999999998E-3</v>
      </c>
      <c r="X30" s="44">
        <v>5.1000000000000004E-3</v>
      </c>
      <c r="Y30" s="56">
        <v>4.1000000000000002E-2</v>
      </c>
    </row>
    <row r="31" spans="1:25" ht="14.1" customHeight="1" x14ac:dyDescent="0.25">
      <c r="A31" s="15">
        <v>40</v>
      </c>
      <c r="B31" s="122">
        <v>1152.33</v>
      </c>
      <c r="C31" s="16">
        <v>3.0999999999999999E-3</v>
      </c>
      <c r="D31" s="58">
        <f t="shared" si="0"/>
        <v>9.6100000000000012</v>
      </c>
      <c r="E31" s="52">
        <v>9.42</v>
      </c>
      <c r="F31" s="36">
        <v>40</v>
      </c>
      <c r="G31" s="37">
        <v>3.2000000000000002E-3</v>
      </c>
      <c r="H31" s="38">
        <v>3.5000000000000001E-3</v>
      </c>
      <c r="I31" s="39">
        <v>3.7000000000000002E-3</v>
      </c>
      <c r="J31" s="53">
        <v>3.1300000000000001E-2</v>
      </c>
      <c r="K31" s="33">
        <v>40</v>
      </c>
      <c r="L31" s="41">
        <v>3.5999999999999999E-3</v>
      </c>
      <c r="M31" s="42">
        <v>3.8E-3</v>
      </c>
      <c r="N31" s="43">
        <v>4.0000000000000001E-3</v>
      </c>
      <c r="O31" s="54">
        <v>3.1899999999999998E-2</v>
      </c>
      <c r="P31" s="15">
        <v>40</v>
      </c>
      <c r="Q31" s="41">
        <v>3.8E-3</v>
      </c>
      <c r="R31" s="42">
        <v>4.1000000000000003E-3</v>
      </c>
      <c r="S31" s="44">
        <v>4.3E-3</v>
      </c>
      <c r="T31" s="55">
        <v>3.2199999999999999E-2</v>
      </c>
      <c r="U31" s="33">
        <v>40</v>
      </c>
      <c r="V31" s="41">
        <v>4.1999999999999997E-3</v>
      </c>
      <c r="W31" s="42">
        <v>4.4000000000000003E-3</v>
      </c>
      <c r="X31" s="44">
        <v>4.5999999999999999E-3</v>
      </c>
      <c r="Y31" s="56">
        <v>3.2399999999999998E-2</v>
      </c>
    </row>
    <row r="32" spans="1:25" ht="14.1" customHeight="1" x14ac:dyDescent="0.25">
      <c r="A32" s="15">
        <v>41</v>
      </c>
      <c r="B32" s="122">
        <v>1422.63</v>
      </c>
      <c r="C32" s="16">
        <v>2.8E-3</v>
      </c>
      <c r="D32" s="58">
        <f t="shared" si="0"/>
        <v>7.839999999999999</v>
      </c>
      <c r="E32" s="52">
        <v>7.68</v>
      </c>
      <c r="F32" s="36">
        <v>41</v>
      </c>
      <c r="G32" s="37">
        <v>2.8999999999999998E-3</v>
      </c>
      <c r="H32" s="38">
        <v>3.0999999999999999E-3</v>
      </c>
      <c r="I32" s="39">
        <v>3.3E-3</v>
      </c>
      <c r="J32" s="53">
        <v>2.47E-2</v>
      </c>
      <c r="K32" s="33">
        <v>41</v>
      </c>
      <c r="L32" s="41">
        <v>3.2000000000000002E-3</v>
      </c>
      <c r="M32" s="42">
        <v>3.3999999999999998E-3</v>
      </c>
      <c r="N32" s="43">
        <v>3.5999999999999999E-3</v>
      </c>
      <c r="O32" s="54">
        <v>2.52E-2</v>
      </c>
      <c r="P32" s="15">
        <v>41</v>
      </c>
      <c r="Q32" s="41">
        <v>3.3999999999999998E-3</v>
      </c>
      <c r="R32" s="42">
        <v>3.7000000000000002E-3</v>
      </c>
      <c r="S32" s="44">
        <v>3.8999999999999998E-3</v>
      </c>
      <c r="T32" s="55">
        <v>2.63E-2</v>
      </c>
      <c r="U32" s="33">
        <v>41</v>
      </c>
      <c r="V32" s="41">
        <v>3.7000000000000002E-3</v>
      </c>
      <c r="W32" s="42">
        <v>3.8999999999999998E-3</v>
      </c>
      <c r="X32" s="44">
        <v>4.1000000000000003E-3</v>
      </c>
      <c r="Y32" s="56">
        <v>2.64E-2</v>
      </c>
    </row>
    <row r="33" spans="1:25" ht="14.1" customHeight="1" x14ac:dyDescent="0.25">
      <c r="A33" s="15">
        <v>42</v>
      </c>
      <c r="B33" s="122">
        <v>1800.52</v>
      </c>
      <c r="C33" s="16">
        <v>2.5000000000000001E-3</v>
      </c>
      <c r="D33" s="58">
        <f t="shared" si="0"/>
        <v>6.25</v>
      </c>
      <c r="E33" s="52">
        <v>6.13</v>
      </c>
      <c r="F33" s="36">
        <v>42</v>
      </c>
      <c r="G33" s="37">
        <v>2.5999999999999999E-3</v>
      </c>
      <c r="H33" s="38">
        <v>2.8E-3</v>
      </c>
      <c r="I33" s="39">
        <v>3.0000000000000001E-3</v>
      </c>
      <c r="J33" s="53">
        <v>1.95E-2</v>
      </c>
      <c r="K33" s="33">
        <v>42</v>
      </c>
      <c r="L33" s="41">
        <v>2.8E-3</v>
      </c>
      <c r="M33" s="42">
        <v>3.0000000000000001E-3</v>
      </c>
      <c r="N33" s="43">
        <v>3.2000000000000002E-3</v>
      </c>
      <c r="O33" s="54">
        <v>1.9900000000000001E-2</v>
      </c>
      <c r="P33" s="15">
        <v>42</v>
      </c>
      <c r="Q33" s="41">
        <v>3.0999999999999999E-3</v>
      </c>
      <c r="R33" s="42">
        <v>3.3E-3</v>
      </c>
      <c r="S33" s="44">
        <v>3.5000000000000001E-3</v>
      </c>
      <c r="T33" s="55">
        <v>2.1100000000000001E-2</v>
      </c>
      <c r="U33" s="33">
        <v>42</v>
      </c>
      <c r="V33" s="41">
        <v>3.2000000000000002E-3</v>
      </c>
      <c r="W33" s="42">
        <v>3.3999999999999998E-3</v>
      </c>
      <c r="X33" s="44">
        <v>3.5999999999999999E-3</v>
      </c>
      <c r="Y33" s="56">
        <v>2.12E-2</v>
      </c>
    </row>
    <row r="34" spans="1:25" ht="14.1" customHeight="1" x14ac:dyDescent="0.25">
      <c r="A34" s="15">
        <v>43</v>
      </c>
      <c r="B34" s="122">
        <v>2351.6999999999998</v>
      </c>
      <c r="C34" s="16">
        <v>2.2000000000000001E-3</v>
      </c>
      <c r="D34" s="58">
        <f t="shared" si="0"/>
        <v>4.8400000000000007</v>
      </c>
      <c r="E34" s="52">
        <v>4.74</v>
      </c>
      <c r="F34" s="36">
        <v>43</v>
      </c>
      <c r="G34" s="37">
        <v>2.3E-3</v>
      </c>
      <c r="H34" s="38">
        <v>2.5000000000000001E-3</v>
      </c>
      <c r="I34" s="39">
        <v>2.5999999999999999E-3</v>
      </c>
      <c r="J34" s="53">
        <v>1.55E-2</v>
      </c>
      <c r="K34" s="33">
        <v>43</v>
      </c>
      <c r="L34" s="41">
        <v>2.5000000000000001E-3</v>
      </c>
      <c r="M34" s="42">
        <v>2.7000000000000001E-3</v>
      </c>
      <c r="N34" s="43">
        <v>2.8999999999999998E-3</v>
      </c>
      <c r="O34" s="54">
        <v>1.5900000000000001E-2</v>
      </c>
      <c r="P34" s="15">
        <v>43</v>
      </c>
      <c r="Q34" s="41">
        <v>2.7000000000000001E-3</v>
      </c>
      <c r="R34" s="42">
        <v>3.0000000000000001E-3</v>
      </c>
      <c r="S34" s="44">
        <v>3.2000000000000002E-3</v>
      </c>
      <c r="T34" s="55">
        <v>1.6400000000000001E-2</v>
      </c>
      <c r="U34" s="33">
        <v>43</v>
      </c>
      <c r="V34" s="41">
        <v>2.8999999999999998E-3</v>
      </c>
      <c r="W34" s="42">
        <v>3.0999999999999999E-3</v>
      </c>
      <c r="X34" s="44">
        <v>3.3E-3</v>
      </c>
      <c r="Y34" s="56">
        <v>1.6500000000000001E-2</v>
      </c>
    </row>
    <row r="35" spans="1:25" ht="14.1" customHeight="1" thickBot="1" x14ac:dyDescent="0.3">
      <c r="A35" s="15">
        <v>44</v>
      </c>
      <c r="B35" s="122">
        <v>2872.85</v>
      </c>
      <c r="C35" s="16">
        <v>2E-3</v>
      </c>
      <c r="D35" s="58">
        <f t="shared" si="0"/>
        <v>4</v>
      </c>
      <c r="E35" s="52">
        <v>3.92</v>
      </c>
      <c r="F35" s="36">
        <v>44</v>
      </c>
      <c r="G35" s="37">
        <v>2.0999999999999999E-3</v>
      </c>
      <c r="H35" s="38">
        <v>2.3E-3</v>
      </c>
      <c r="I35" s="39">
        <v>2.3999999999999998E-3</v>
      </c>
      <c r="J35" s="53">
        <v>1.23E-2</v>
      </c>
      <c r="K35" s="33">
        <v>44</v>
      </c>
      <c r="L35" s="41">
        <v>2.3E-3</v>
      </c>
      <c r="M35" s="42">
        <v>2.5000000000000001E-3</v>
      </c>
      <c r="N35" s="43">
        <v>2.7000000000000001E-3</v>
      </c>
      <c r="O35" s="54">
        <v>1.2699999999999999E-2</v>
      </c>
      <c r="P35" s="59">
        <v>44</v>
      </c>
      <c r="Q35" s="60">
        <v>2.5000000000000001E-3</v>
      </c>
      <c r="R35" s="61">
        <v>2.7000000000000001E-3</v>
      </c>
      <c r="S35" s="62">
        <v>2.8999999999999998E-3</v>
      </c>
      <c r="T35" s="63">
        <v>1.3599999999999999E-2</v>
      </c>
      <c r="U35" s="64">
        <v>44</v>
      </c>
      <c r="V35" s="65">
        <v>2.7000000000000001E-3</v>
      </c>
      <c r="W35" s="66">
        <v>2.8999999999999998E-3</v>
      </c>
      <c r="X35" s="67">
        <v>3.0999999999999999E-3</v>
      </c>
      <c r="Y35" s="68">
        <v>1.37E-2</v>
      </c>
    </row>
    <row r="36" spans="1:25" ht="14.1" customHeight="1" x14ac:dyDescent="0.25">
      <c r="A36" s="15">
        <v>45</v>
      </c>
      <c r="B36" s="122">
        <v>3616</v>
      </c>
      <c r="C36" s="16">
        <v>1.7600000000000001E-3</v>
      </c>
      <c r="D36" s="58">
        <f t="shared" si="0"/>
        <v>3.0975999999999999</v>
      </c>
      <c r="E36" s="52">
        <v>3.04</v>
      </c>
      <c r="F36" s="36">
        <v>45</v>
      </c>
      <c r="G36" s="37">
        <v>1.7899999999999999E-3</v>
      </c>
      <c r="H36" s="38">
        <v>1.92E-3</v>
      </c>
      <c r="I36" s="39">
        <v>2.0500000000000002E-3</v>
      </c>
      <c r="J36" s="69">
        <v>9.6500000000000006E-3</v>
      </c>
      <c r="K36" s="33">
        <v>45</v>
      </c>
      <c r="L36" s="41">
        <v>1.99E-3</v>
      </c>
      <c r="M36" s="42">
        <v>2.15E-3</v>
      </c>
      <c r="N36" s="43">
        <v>2.3E-3</v>
      </c>
      <c r="O36" s="70">
        <v>0.01</v>
      </c>
      <c r="P36" s="71"/>
      <c r="Q36" s="71"/>
      <c r="R36" s="71"/>
      <c r="S36" s="71"/>
      <c r="T36" s="71"/>
      <c r="U36" s="71"/>
      <c r="V36" s="71"/>
      <c r="W36" s="71"/>
      <c r="X36" s="71"/>
      <c r="Y36" s="71"/>
    </row>
    <row r="37" spans="1:25" ht="14.1" customHeight="1" x14ac:dyDescent="0.25">
      <c r="A37" s="15">
        <v>46</v>
      </c>
      <c r="B37" s="122">
        <v>4544</v>
      </c>
      <c r="C37" s="16">
        <v>1.57E-3</v>
      </c>
      <c r="D37" s="58">
        <f t="shared" si="0"/>
        <v>2.4649000000000001</v>
      </c>
      <c r="E37" s="52">
        <v>2.41</v>
      </c>
      <c r="F37" s="36">
        <v>46</v>
      </c>
      <c r="G37" s="37">
        <v>1.6100000000000001E-3</v>
      </c>
      <c r="H37" s="38">
        <v>1.73E-3</v>
      </c>
      <c r="I37" s="39">
        <v>1.8500000000000001E-3</v>
      </c>
      <c r="J37" s="69">
        <v>7.6699999999999997E-3</v>
      </c>
      <c r="K37" s="33">
        <v>46</v>
      </c>
      <c r="L37" s="41">
        <v>1.81E-3</v>
      </c>
      <c r="M37" s="42">
        <v>1.9599999999999999E-3</v>
      </c>
      <c r="N37" s="43">
        <v>2.0999999999999999E-3</v>
      </c>
      <c r="O37" s="70">
        <v>8.0499999999999999E-3</v>
      </c>
      <c r="P37" s="71"/>
      <c r="Q37" s="71"/>
      <c r="R37" s="71"/>
      <c r="S37" s="71"/>
      <c r="T37" s="71"/>
      <c r="U37" s="71"/>
      <c r="V37" s="71"/>
      <c r="W37" s="71"/>
      <c r="X37" s="71"/>
      <c r="Y37" s="71"/>
    </row>
    <row r="38" spans="1:25" ht="14.1" customHeight="1" x14ac:dyDescent="0.25">
      <c r="A38" s="15">
        <v>47</v>
      </c>
      <c r="B38" s="122">
        <v>5714</v>
      </c>
      <c r="C38" s="16">
        <v>1.4E-3</v>
      </c>
      <c r="D38" s="58">
        <f t="shared" si="0"/>
        <v>1.9599999999999997</v>
      </c>
      <c r="E38" s="52">
        <v>1.92</v>
      </c>
      <c r="F38" s="36">
        <v>47</v>
      </c>
      <c r="G38" s="37">
        <v>1.4499999999999999E-3</v>
      </c>
      <c r="H38" s="38">
        <v>1.57E-3</v>
      </c>
      <c r="I38" s="39">
        <v>1.6999999999999999E-3</v>
      </c>
      <c r="J38" s="69">
        <v>6.1500000000000001E-3</v>
      </c>
      <c r="K38" s="33">
        <v>47</v>
      </c>
      <c r="L38" s="41">
        <v>1.65E-3</v>
      </c>
      <c r="M38" s="42">
        <v>1.7799999999999999E-3</v>
      </c>
      <c r="N38" s="43">
        <v>1.9E-3</v>
      </c>
      <c r="O38" s="70">
        <v>6.45E-3</v>
      </c>
      <c r="P38" s="71"/>
      <c r="Q38" s="71"/>
      <c r="R38" s="71"/>
      <c r="S38" s="71"/>
      <c r="T38" s="71"/>
      <c r="U38" s="71"/>
      <c r="V38" s="71"/>
      <c r="W38" s="71"/>
      <c r="X38" s="71"/>
      <c r="Y38" s="71"/>
    </row>
    <row r="39" spans="1:25" ht="14.1" customHeight="1" x14ac:dyDescent="0.25">
      <c r="A39" s="15">
        <v>48</v>
      </c>
      <c r="B39" s="122">
        <v>7285</v>
      </c>
      <c r="C39" s="16">
        <v>1.24E-3</v>
      </c>
      <c r="D39" s="58">
        <f t="shared" si="0"/>
        <v>1.5376000000000001</v>
      </c>
      <c r="E39" s="52">
        <v>1.51</v>
      </c>
      <c r="F39" s="36">
        <v>48</v>
      </c>
      <c r="G39" s="37">
        <v>1.2899999999999999E-3</v>
      </c>
      <c r="H39" s="38">
        <v>1.4E-3</v>
      </c>
      <c r="I39" s="39">
        <v>1.5E-3</v>
      </c>
      <c r="J39" s="69">
        <v>4.8700000000000002E-3</v>
      </c>
      <c r="K39" s="33">
        <v>48</v>
      </c>
      <c r="L39" s="41">
        <v>1.39E-3</v>
      </c>
      <c r="M39" s="42">
        <v>1.5499999999999999E-3</v>
      </c>
      <c r="N39" s="43">
        <v>1.6999999999999999E-3</v>
      </c>
      <c r="O39" s="70">
        <v>5.0699999999999999E-3</v>
      </c>
      <c r="P39" s="71"/>
      <c r="Q39" s="71"/>
      <c r="R39" s="71"/>
      <c r="S39" s="71"/>
      <c r="T39" s="71"/>
      <c r="U39" s="71"/>
      <c r="V39" s="71"/>
      <c r="W39" s="71"/>
      <c r="X39" s="71"/>
      <c r="Y39" s="71"/>
    </row>
    <row r="40" spans="1:25" ht="14.1" customHeight="1" x14ac:dyDescent="0.25">
      <c r="A40" s="15">
        <v>49</v>
      </c>
      <c r="B40" s="122">
        <v>9090</v>
      </c>
      <c r="C40" s="16">
        <v>1.1100000000000001E-3</v>
      </c>
      <c r="D40" s="58">
        <f t="shared" si="0"/>
        <v>1.2321000000000002</v>
      </c>
      <c r="E40" s="52">
        <v>1.21</v>
      </c>
      <c r="F40" s="36">
        <v>49</v>
      </c>
      <c r="G40" s="37">
        <v>1.17E-3</v>
      </c>
      <c r="H40" s="38">
        <v>1.24E-3</v>
      </c>
      <c r="I40" s="39">
        <v>1.2999999999999999E-3</v>
      </c>
      <c r="J40" s="69">
        <v>3.8999999999999998E-3</v>
      </c>
      <c r="K40" s="33">
        <v>49</v>
      </c>
      <c r="L40" s="41">
        <v>1.2700000000000001E-3</v>
      </c>
      <c r="M40" s="42">
        <v>1.39E-3</v>
      </c>
      <c r="N40" s="43">
        <v>1.5E-3</v>
      </c>
      <c r="O40" s="70">
        <v>4.0200000000000001E-3</v>
      </c>
      <c r="P40" s="71"/>
      <c r="Q40" s="71"/>
      <c r="R40" s="71"/>
      <c r="S40" s="71"/>
      <c r="T40" s="71"/>
      <c r="U40" s="71"/>
      <c r="V40" s="71"/>
      <c r="W40" s="71"/>
      <c r="X40" s="71"/>
      <c r="Y40" s="71"/>
    </row>
    <row r="41" spans="1:25" ht="14.1" customHeight="1" x14ac:dyDescent="0.25">
      <c r="A41" s="59">
        <v>50</v>
      </c>
      <c r="B41" s="123">
        <v>11430</v>
      </c>
      <c r="C41" s="72">
        <v>9.8999999999999999E-4</v>
      </c>
      <c r="D41" s="73">
        <f t="shared" si="0"/>
        <v>0.98009999999999997</v>
      </c>
      <c r="E41" s="74">
        <v>0.96</v>
      </c>
      <c r="F41" s="75">
        <v>50</v>
      </c>
      <c r="G41" s="76">
        <v>1.0499999999999999E-3</v>
      </c>
      <c r="H41" s="77">
        <v>1.1299999999999999E-3</v>
      </c>
      <c r="I41" s="78">
        <v>1.1999999999999999E-3</v>
      </c>
      <c r="J41" s="79">
        <v>3.0999999999999999E-3</v>
      </c>
      <c r="K41" s="80">
        <v>50</v>
      </c>
      <c r="L41" s="60">
        <v>1.15E-3</v>
      </c>
      <c r="M41" s="61">
        <v>1.2800000000000001E-3</v>
      </c>
      <c r="N41" s="81">
        <v>1.4E-3</v>
      </c>
      <c r="O41" s="82">
        <v>3.2399999999999998E-3</v>
      </c>
      <c r="P41" s="71"/>
      <c r="Q41" s="71"/>
      <c r="R41" s="71"/>
      <c r="S41" s="71"/>
      <c r="T41" s="71"/>
      <c r="U41" s="71"/>
      <c r="V41" s="71"/>
      <c r="W41" s="71"/>
      <c r="X41" s="71"/>
      <c r="Y41" s="71"/>
    </row>
  </sheetData>
  <mergeCells count="5">
    <mergeCell ref="A1:D1"/>
    <mergeCell ref="F1:J1"/>
    <mergeCell ref="K1:O1"/>
    <mergeCell ref="P1:T1"/>
    <mergeCell ref="U1:Y1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589A-0D7C-42D8-B079-B7630A86BED1}">
  <sheetPr codeName="Sheet3">
    <tabColor theme="8" tint="0.39997558519241921"/>
  </sheetPr>
  <dimension ref="A1:I65"/>
  <sheetViews>
    <sheetView workbookViewId="0">
      <selection activeCell="K35" sqref="K35"/>
    </sheetView>
  </sheetViews>
  <sheetFormatPr defaultColWidth="9.140625" defaultRowHeight="12.75" x14ac:dyDescent="0.25"/>
  <cols>
    <col min="1" max="1" width="11.42578125" style="108" bestFit="1" customWidth="1"/>
    <col min="2" max="2" width="14.140625" style="108" bestFit="1" customWidth="1"/>
    <col min="3" max="3" width="15.42578125" style="108" bestFit="1" customWidth="1"/>
    <col min="4" max="4" width="10.85546875" style="108" bestFit="1" customWidth="1"/>
    <col min="5" max="5" width="10.85546875" style="108" customWidth="1"/>
    <col min="6" max="6" width="11.42578125" style="108" bestFit="1" customWidth="1"/>
    <col min="7" max="7" width="10.85546875" style="108" bestFit="1" customWidth="1"/>
    <col min="8" max="8" width="10" style="108" bestFit="1" customWidth="1"/>
    <col min="9" max="9" width="12.28515625" style="108" bestFit="1" customWidth="1"/>
    <col min="10" max="16384" width="9.140625" style="108"/>
  </cols>
  <sheetData>
    <row r="1" spans="1:9" ht="24" thickBot="1" x14ac:dyDescent="0.3">
      <c r="A1" s="588" t="s">
        <v>47</v>
      </c>
      <c r="B1" s="588"/>
      <c r="C1" s="588"/>
      <c r="D1" s="588"/>
      <c r="E1" s="588"/>
      <c r="F1" s="588"/>
      <c r="G1" s="588"/>
      <c r="H1" s="588"/>
      <c r="I1" s="107"/>
    </row>
    <row r="2" spans="1:9" ht="15.75" customHeight="1" x14ac:dyDescent="0.25">
      <c r="A2" s="595" t="s">
        <v>48</v>
      </c>
      <c r="B2" s="596"/>
      <c r="C2" s="596"/>
      <c r="D2" s="596"/>
      <c r="E2" s="597"/>
      <c r="F2" s="589" t="s">
        <v>49</v>
      </c>
      <c r="G2" s="590"/>
      <c r="H2" s="591"/>
    </row>
    <row r="3" spans="1:9" ht="30.75" customHeight="1" thickBot="1" x14ac:dyDescent="0.3">
      <c r="A3" s="598" t="s">
        <v>50</v>
      </c>
      <c r="B3" s="599"/>
      <c r="C3" s="599"/>
      <c r="D3" s="599"/>
      <c r="E3" s="600"/>
      <c r="F3" s="592" t="s">
        <v>51</v>
      </c>
      <c r="G3" s="593"/>
      <c r="H3" s="594"/>
    </row>
    <row r="4" spans="1:9" ht="18" thickBot="1" x14ac:dyDescent="0.3">
      <c r="A4" s="415" t="s">
        <v>3</v>
      </c>
      <c r="B4" s="416" t="s">
        <v>135</v>
      </c>
      <c r="C4" s="416" t="s">
        <v>134</v>
      </c>
      <c r="D4" s="416" t="s">
        <v>52</v>
      </c>
      <c r="E4" s="417" t="s">
        <v>133</v>
      </c>
      <c r="F4" s="415" t="s">
        <v>3</v>
      </c>
      <c r="G4" s="416" t="s">
        <v>52</v>
      </c>
      <c r="H4" s="417" t="s">
        <v>53</v>
      </c>
    </row>
    <row r="5" spans="1:9" ht="15.75" x14ac:dyDescent="0.25">
      <c r="A5" s="411" t="s">
        <v>54</v>
      </c>
      <c r="B5" s="412">
        <f>SQRT(awg_Solid[[#This Row],[Nom CMA]])/1000</f>
        <v>0.70710678118654757</v>
      </c>
      <c r="C5" s="412">
        <f>awg_Solid[[#This Row],[Nom Dia. (in.)]]*25.4</f>
        <v>17.960512242138307</v>
      </c>
      <c r="D5" s="413">
        <v>500000</v>
      </c>
      <c r="E5" s="414">
        <f>awg_Solid[[#This Row],[Nom CMA]]/1973.52524139</f>
        <v>253.35373954874694</v>
      </c>
      <c r="F5" s="411" t="s">
        <v>54</v>
      </c>
      <c r="G5" s="413">
        <v>500000</v>
      </c>
      <c r="H5" s="414">
        <v>490000</v>
      </c>
    </row>
    <row r="6" spans="1:9" ht="15.75" x14ac:dyDescent="0.25">
      <c r="A6" s="399" t="s">
        <v>55</v>
      </c>
      <c r="B6" s="396">
        <f>SQRT(awg_Solid[[#This Row],[Nom CMA]])/1000</f>
        <v>0.67082039324993692</v>
      </c>
      <c r="C6" s="396">
        <f>awg_Solid[[#This Row],[Nom Dia. (in.)]]*25.4</f>
        <v>17.038837988548398</v>
      </c>
      <c r="D6" s="397">
        <v>450000</v>
      </c>
      <c r="E6" s="398">
        <f>awg_Solid[[#This Row],[Nom CMA]]/1973.52524139</f>
        <v>228.01836559387223</v>
      </c>
      <c r="F6" s="399" t="s">
        <v>55</v>
      </c>
      <c r="G6" s="397">
        <v>450000</v>
      </c>
      <c r="H6" s="398">
        <v>441000</v>
      </c>
    </row>
    <row r="7" spans="1:9" ht="15.75" x14ac:dyDescent="0.25">
      <c r="A7" s="399" t="s">
        <v>56</v>
      </c>
      <c r="B7" s="396">
        <f>SQRT(awg_Solid[[#This Row],[Nom CMA]])/1000</f>
        <v>0.63245553203367588</v>
      </c>
      <c r="C7" s="396">
        <f>awg_Solid[[#This Row],[Nom Dia. (in.)]]*25.4</f>
        <v>16.064370513655366</v>
      </c>
      <c r="D7" s="397">
        <v>400000</v>
      </c>
      <c r="E7" s="398">
        <f>awg_Solid[[#This Row],[Nom CMA]]/1973.52524139</f>
        <v>202.68299163899755</v>
      </c>
      <c r="F7" s="399" t="s">
        <v>56</v>
      </c>
      <c r="G7" s="397">
        <v>400000</v>
      </c>
      <c r="H7" s="398">
        <v>392000</v>
      </c>
    </row>
    <row r="8" spans="1:9" ht="15.75" x14ac:dyDescent="0.25">
      <c r="A8" s="399" t="s">
        <v>57</v>
      </c>
      <c r="B8" s="396">
        <f>SQRT(awg_Solid[[#This Row],[Nom CMA]])/1000</f>
        <v>0.59160797830996159</v>
      </c>
      <c r="C8" s="396">
        <f>awg_Solid[[#This Row],[Nom Dia. (in.)]]*25.4</f>
        <v>15.026842649073023</v>
      </c>
      <c r="D8" s="397">
        <v>350000</v>
      </c>
      <c r="E8" s="398">
        <f>awg_Solid[[#This Row],[Nom CMA]]/1973.52524139</f>
        <v>177.34761768412287</v>
      </c>
      <c r="F8" s="399" t="s">
        <v>57</v>
      </c>
      <c r="G8" s="397">
        <v>350000</v>
      </c>
      <c r="H8" s="398">
        <v>343000</v>
      </c>
    </row>
    <row r="9" spans="1:9" ht="15.75" x14ac:dyDescent="0.25">
      <c r="A9" s="399" t="s">
        <v>58</v>
      </c>
      <c r="B9" s="396">
        <f>SQRT(awg_Solid[[#This Row],[Nom CMA]])/1000</f>
        <v>0.54772255750516619</v>
      </c>
      <c r="C9" s="396">
        <f>awg_Solid[[#This Row],[Nom Dia. (in.)]]*25.4</f>
        <v>13.91215296063122</v>
      </c>
      <c r="D9" s="397">
        <v>300000</v>
      </c>
      <c r="E9" s="398">
        <f>awg_Solid[[#This Row],[Nom CMA]]/1973.52524139</f>
        <v>152.01224372924815</v>
      </c>
      <c r="F9" s="399" t="s">
        <v>58</v>
      </c>
      <c r="G9" s="397">
        <v>300000</v>
      </c>
      <c r="H9" s="398">
        <v>294000</v>
      </c>
    </row>
    <row r="10" spans="1:9" ht="15.75" x14ac:dyDescent="0.25">
      <c r="A10" s="399" t="s">
        <v>59</v>
      </c>
      <c r="B10" s="396">
        <f>SQRT(awg_Solid[[#This Row],[Nom CMA]])/1000</f>
        <v>0.5</v>
      </c>
      <c r="C10" s="396">
        <f>awg_Solid[[#This Row],[Nom Dia. (in.)]]*25.4</f>
        <v>12.7</v>
      </c>
      <c r="D10" s="397">
        <v>250000</v>
      </c>
      <c r="E10" s="398">
        <f>awg_Solid[[#This Row],[Nom CMA]]/1973.52524139</f>
        <v>126.67686977437347</v>
      </c>
      <c r="F10" s="399" t="s">
        <v>59</v>
      </c>
      <c r="G10" s="397">
        <v>250000</v>
      </c>
      <c r="H10" s="398">
        <v>245000</v>
      </c>
    </row>
    <row r="11" spans="1:9" ht="15.75" x14ac:dyDescent="0.25">
      <c r="A11" s="399" t="s">
        <v>60</v>
      </c>
      <c r="B11" s="396">
        <v>0.46</v>
      </c>
      <c r="C11" s="396">
        <f>awg_Solid[[#This Row],[Nom Dia. (in.)]]*25.4</f>
        <v>11.683999999999999</v>
      </c>
      <c r="D11" s="397">
        <v>211600</v>
      </c>
      <c r="E11" s="398">
        <f>awg_Solid[[#This Row],[Nom CMA]]/1973.52524139</f>
        <v>107.21930257702971</v>
      </c>
      <c r="F11" s="399" t="s">
        <v>60</v>
      </c>
      <c r="G11" s="397">
        <v>211600</v>
      </c>
      <c r="H11" s="398">
        <v>207368</v>
      </c>
    </row>
    <row r="12" spans="1:9" ht="15.75" x14ac:dyDescent="0.25">
      <c r="A12" s="399" t="s">
        <v>61</v>
      </c>
      <c r="B12" s="396">
        <v>0.40960000000000002</v>
      </c>
      <c r="C12" s="396">
        <f>awg_Solid[[#This Row],[Nom Dia. (in.)]]*25.4</f>
        <v>10.403840000000001</v>
      </c>
      <c r="D12" s="397">
        <v>167800</v>
      </c>
      <c r="E12" s="407">
        <f>awg_Solid[[#This Row],[Nom CMA]]/1973.52524139</f>
        <v>85.025514992559479</v>
      </c>
      <c r="F12" s="399" t="s">
        <v>61</v>
      </c>
      <c r="G12" s="397">
        <v>167800</v>
      </c>
      <c r="H12" s="398">
        <v>164444</v>
      </c>
    </row>
    <row r="13" spans="1:9" ht="15.75" x14ac:dyDescent="0.25">
      <c r="A13" s="399" t="s">
        <v>62</v>
      </c>
      <c r="B13" s="396">
        <v>0.36480000000000001</v>
      </c>
      <c r="C13" s="396">
        <f>awg_Solid[[#This Row],[Nom Dia. (in.)]]*25.4</f>
        <v>9.2659199999999995</v>
      </c>
      <c r="D13" s="397">
        <v>133100</v>
      </c>
      <c r="E13" s="407">
        <f>awg_Solid[[#This Row],[Nom CMA]]/1973.52524139</f>
        <v>67.442765467876441</v>
      </c>
      <c r="F13" s="399" t="s">
        <v>62</v>
      </c>
      <c r="G13" s="397">
        <v>133100</v>
      </c>
      <c r="H13" s="398">
        <v>130438</v>
      </c>
    </row>
    <row r="14" spans="1:9" ht="15.75" x14ac:dyDescent="0.25">
      <c r="A14" s="399" t="s">
        <v>63</v>
      </c>
      <c r="B14" s="396">
        <v>0.32490000000000002</v>
      </c>
      <c r="C14" s="396">
        <f>awg_Solid[[#This Row],[Nom Dia. (in.)]]*25.4</f>
        <v>8.2524599999999992</v>
      </c>
      <c r="D14" s="397">
        <v>105600</v>
      </c>
      <c r="E14" s="407">
        <f>awg_Solid[[#This Row],[Nom CMA]]/1973.52524139</f>
        <v>53.508309792695357</v>
      </c>
      <c r="F14" s="399" t="s">
        <v>63</v>
      </c>
      <c r="G14" s="397">
        <v>105600</v>
      </c>
      <c r="H14" s="398">
        <v>103438</v>
      </c>
    </row>
    <row r="15" spans="1:9" ht="15.75" x14ac:dyDescent="0.25">
      <c r="A15" s="400">
        <v>1</v>
      </c>
      <c r="B15" s="396">
        <v>0.2893</v>
      </c>
      <c r="C15" s="396">
        <f>awg_Solid[[#This Row],[Nom Dia. (in.)]]*25.4</f>
        <v>7.3482199999999995</v>
      </c>
      <c r="D15" s="397">
        <v>83690</v>
      </c>
      <c r="E15" s="407">
        <f>awg_Solid[[#This Row],[Nom CMA]]/1973.52524139</f>
        <v>42.406348925669263</v>
      </c>
      <c r="F15" s="400">
        <v>1</v>
      </c>
      <c r="G15" s="397">
        <v>83690</v>
      </c>
      <c r="H15" s="398">
        <v>82016</v>
      </c>
    </row>
    <row r="16" spans="1:9" ht="15.75" x14ac:dyDescent="0.25">
      <c r="A16" s="400">
        <v>2</v>
      </c>
      <c r="B16" s="396">
        <v>0.2576</v>
      </c>
      <c r="C16" s="396">
        <f>awg_Solid[[#This Row],[Nom Dia. (in.)]]*25.4</f>
        <v>6.5430399999999995</v>
      </c>
      <c r="D16" s="397">
        <v>66390</v>
      </c>
      <c r="E16" s="407">
        <f>awg_Solid[[#This Row],[Nom CMA]]/1973.52524139</f>
        <v>33.640309537282619</v>
      </c>
      <c r="F16" s="400">
        <v>2</v>
      </c>
      <c r="G16" s="397">
        <v>66390</v>
      </c>
      <c r="H16" s="398">
        <v>65033</v>
      </c>
    </row>
    <row r="17" spans="1:8" ht="15.75" x14ac:dyDescent="0.25">
      <c r="A17" s="400">
        <v>3</v>
      </c>
      <c r="B17" s="396">
        <v>0.22939999999999999</v>
      </c>
      <c r="C17" s="396">
        <f>awg_Solid[[#This Row],[Nom Dia. (in.)]]*25.4</f>
        <v>5.8267599999999993</v>
      </c>
      <c r="D17" s="397">
        <v>52620</v>
      </c>
      <c r="E17" s="407">
        <f>awg_Solid[[#This Row],[Nom CMA]]/1973.52524139</f>
        <v>26.662947550110129</v>
      </c>
      <c r="F17" s="400">
        <v>3</v>
      </c>
      <c r="G17" s="397">
        <v>52620</v>
      </c>
      <c r="H17" s="398">
        <v>51568</v>
      </c>
    </row>
    <row r="18" spans="1:8" ht="15.75" x14ac:dyDescent="0.25">
      <c r="A18" s="400">
        <v>4</v>
      </c>
      <c r="B18" s="396">
        <v>0.20430000000000001</v>
      </c>
      <c r="C18" s="396">
        <f>awg_Solid[[#This Row],[Nom Dia. (in.)]]*25.4</f>
        <v>5.1892199999999997</v>
      </c>
      <c r="D18" s="397">
        <v>41740</v>
      </c>
      <c r="E18" s="407">
        <f>awg_Solid[[#This Row],[Nom CMA]]/1973.52524139</f>
        <v>21.149970177529394</v>
      </c>
      <c r="F18" s="400">
        <v>4</v>
      </c>
      <c r="G18" s="397">
        <v>41740</v>
      </c>
      <c r="H18" s="398">
        <v>40905</v>
      </c>
    </row>
    <row r="19" spans="1:8" ht="15.75" x14ac:dyDescent="0.25">
      <c r="A19" s="400">
        <v>5</v>
      </c>
      <c r="B19" s="396">
        <v>0.18190000000000001</v>
      </c>
      <c r="C19" s="396">
        <f>awg_Solid[[#This Row],[Nom Dia. (in.)]]*25.4</f>
        <v>4.62026</v>
      </c>
      <c r="D19" s="397">
        <v>33090</v>
      </c>
      <c r="E19" s="407">
        <f>awg_Solid[[#This Row],[Nom CMA]]/1973.52524139</f>
        <v>16.766950483336071</v>
      </c>
      <c r="F19" s="400">
        <v>5</v>
      </c>
      <c r="G19" s="397">
        <v>33090</v>
      </c>
      <c r="H19" s="398">
        <v>32428</v>
      </c>
    </row>
    <row r="20" spans="1:8" ht="15.75" x14ac:dyDescent="0.25">
      <c r="A20" s="400">
        <v>6</v>
      </c>
      <c r="B20" s="396">
        <v>0.16200000000000001</v>
      </c>
      <c r="C20" s="396">
        <f>awg_Solid[[#This Row],[Nom Dia. (in.)]]*25.4</f>
        <v>4.1147999999999998</v>
      </c>
      <c r="D20" s="397">
        <v>26240</v>
      </c>
      <c r="E20" s="407">
        <f>awg_Solid[[#This Row],[Nom CMA]]/1973.52524139</f>
        <v>13.296004251518239</v>
      </c>
      <c r="F20" s="400">
        <v>6</v>
      </c>
      <c r="G20" s="397">
        <v>26240</v>
      </c>
      <c r="H20" s="398">
        <v>25715</v>
      </c>
    </row>
    <row r="21" spans="1:8" ht="15.75" x14ac:dyDescent="0.25">
      <c r="A21" s="400">
        <v>7</v>
      </c>
      <c r="B21" s="396">
        <v>0.14430000000000001</v>
      </c>
      <c r="C21" s="396">
        <f>awg_Solid[[#This Row],[Nom Dia. (in.)]]*25.4</f>
        <v>3.6652200000000001</v>
      </c>
      <c r="D21" s="397">
        <v>20820</v>
      </c>
      <c r="E21" s="407">
        <f>awg_Solid[[#This Row],[Nom CMA]]/1973.52524139</f>
        <v>10.549649714809822</v>
      </c>
      <c r="F21" s="400">
        <v>7</v>
      </c>
      <c r="G21" s="397">
        <v>20820</v>
      </c>
      <c r="H21" s="398">
        <v>20404</v>
      </c>
    </row>
    <row r="22" spans="1:8" ht="15.75" x14ac:dyDescent="0.25">
      <c r="A22" s="400">
        <v>8</v>
      </c>
      <c r="B22" s="396">
        <v>0.1285</v>
      </c>
      <c r="C22" s="396">
        <f>awg_Solid[[#This Row],[Nom Dia. (in.)]]*25.4</f>
        <v>3.2639</v>
      </c>
      <c r="D22" s="397">
        <v>16510</v>
      </c>
      <c r="E22" s="402">
        <f>awg_Solid[[#This Row],[Nom CMA]]/1973.52524139</f>
        <v>8.3657404798996247</v>
      </c>
      <c r="F22" s="400">
        <v>8</v>
      </c>
      <c r="G22" s="397">
        <v>16510</v>
      </c>
      <c r="H22" s="398">
        <v>16180</v>
      </c>
    </row>
    <row r="23" spans="1:8" ht="15.75" x14ac:dyDescent="0.25">
      <c r="A23" s="400">
        <v>9</v>
      </c>
      <c r="B23" s="396">
        <v>0.1144</v>
      </c>
      <c r="C23" s="396">
        <f>awg_Solid[[#This Row],[Nom Dia. (in.)]]*25.4</f>
        <v>2.9057599999999999</v>
      </c>
      <c r="D23" s="397">
        <v>13090</v>
      </c>
      <c r="E23" s="402">
        <f>awg_Solid[[#This Row],[Nom CMA]]/1973.52524139</f>
        <v>6.6328009013861946</v>
      </c>
      <c r="F23" s="400">
        <v>9</v>
      </c>
      <c r="G23" s="397">
        <v>13090</v>
      </c>
      <c r="H23" s="398">
        <v>12828</v>
      </c>
    </row>
    <row r="24" spans="1:8" ht="15.75" x14ac:dyDescent="0.25">
      <c r="A24" s="400">
        <v>10</v>
      </c>
      <c r="B24" s="396">
        <v>0.1019</v>
      </c>
      <c r="C24" s="396">
        <f>awg_Solid[[#This Row],[Nom Dia. (in.)]]*25.4</f>
        <v>2.58826</v>
      </c>
      <c r="D24" s="397">
        <v>10380</v>
      </c>
      <c r="E24" s="402">
        <f>awg_Solid[[#This Row],[Nom CMA]]/1973.52524139</f>
        <v>5.2596236330319863</v>
      </c>
      <c r="F24" s="400">
        <v>10</v>
      </c>
      <c r="G24" s="397">
        <v>10380</v>
      </c>
      <c r="H24" s="398">
        <v>10172</v>
      </c>
    </row>
    <row r="25" spans="1:8" ht="15.75" x14ac:dyDescent="0.25">
      <c r="A25" s="400">
        <v>11</v>
      </c>
      <c r="B25" s="396">
        <v>9.0700000000000003E-2</v>
      </c>
      <c r="C25" s="396">
        <f>awg_Solid[[#This Row],[Nom Dia. (in.)]]*25.4</f>
        <v>2.3037800000000002</v>
      </c>
      <c r="D25" s="397">
        <v>8230</v>
      </c>
      <c r="E25" s="402">
        <f>awg_Solid[[#This Row],[Nom CMA]]/1973.52524139</f>
        <v>4.1702025529723743</v>
      </c>
      <c r="F25" s="400">
        <v>11</v>
      </c>
      <c r="G25" s="397">
        <v>8230</v>
      </c>
      <c r="H25" s="398">
        <v>8065</v>
      </c>
    </row>
    <row r="26" spans="1:8" ht="15.75" x14ac:dyDescent="0.25">
      <c r="A26" s="400">
        <v>12</v>
      </c>
      <c r="B26" s="396">
        <v>8.0799999999999997E-2</v>
      </c>
      <c r="C26" s="396">
        <f>awg_Solid[[#This Row],[Nom Dia. (in.)]]*25.4</f>
        <v>2.0523199999999999</v>
      </c>
      <c r="D26" s="397">
        <v>6530</v>
      </c>
      <c r="E26" s="402">
        <f>awg_Solid[[#This Row],[Nom CMA]]/1973.52524139</f>
        <v>3.3087998385066348</v>
      </c>
      <c r="F26" s="400">
        <v>12</v>
      </c>
      <c r="G26" s="397">
        <v>6530</v>
      </c>
      <c r="H26" s="398">
        <v>6399</v>
      </c>
    </row>
    <row r="27" spans="1:8" ht="15.75" x14ac:dyDescent="0.25">
      <c r="A27" s="400">
        <v>13</v>
      </c>
      <c r="B27" s="396">
        <v>7.1999999999999995E-2</v>
      </c>
      <c r="C27" s="396">
        <f>awg_Solid[[#This Row],[Nom Dia. (in.)]]*25.4</f>
        <v>1.8287999999999998</v>
      </c>
      <c r="D27" s="397">
        <v>5180</v>
      </c>
      <c r="E27" s="402">
        <f>awg_Solid[[#This Row],[Nom CMA]]/1973.52524139</f>
        <v>2.6247447417250185</v>
      </c>
      <c r="F27" s="400">
        <v>13</v>
      </c>
      <c r="G27" s="397">
        <v>5180</v>
      </c>
      <c r="H27" s="398">
        <v>5076</v>
      </c>
    </row>
    <row r="28" spans="1:8" ht="15.75" x14ac:dyDescent="0.25">
      <c r="A28" s="400">
        <v>14</v>
      </c>
      <c r="B28" s="396">
        <v>6.4100000000000004E-2</v>
      </c>
      <c r="C28" s="396">
        <f>awg_Solid[[#This Row],[Nom Dia. (in.)]]*25.4</f>
        <v>1.6281399999999999</v>
      </c>
      <c r="D28" s="397">
        <v>4110</v>
      </c>
      <c r="E28" s="402">
        <f>awg_Solid[[#This Row],[Nom CMA]]/1973.52524139</f>
        <v>2.0825677390906998</v>
      </c>
      <c r="F28" s="400">
        <v>14</v>
      </c>
      <c r="G28" s="397">
        <v>4110</v>
      </c>
      <c r="H28" s="398">
        <v>4028</v>
      </c>
    </row>
    <row r="29" spans="1:8" ht="15.75" x14ac:dyDescent="0.25">
      <c r="A29" s="400">
        <v>15</v>
      </c>
      <c r="B29" s="396">
        <v>5.7099999999999998E-2</v>
      </c>
      <c r="C29" s="396">
        <f>awg_Solid[[#This Row],[Nom Dia. (in.)]]*25.4</f>
        <v>1.45034</v>
      </c>
      <c r="D29" s="397">
        <v>3260</v>
      </c>
      <c r="E29" s="402">
        <f>awg_Solid[[#This Row],[Nom CMA]]/1973.52524139</f>
        <v>1.6518663818578301</v>
      </c>
      <c r="F29" s="400">
        <v>15</v>
      </c>
      <c r="G29" s="397">
        <v>3260</v>
      </c>
      <c r="H29" s="398">
        <v>3195</v>
      </c>
    </row>
    <row r="30" spans="1:8" ht="15.75" x14ac:dyDescent="0.25">
      <c r="A30" s="400">
        <v>16</v>
      </c>
      <c r="B30" s="396">
        <v>5.0799999999999998E-2</v>
      </c>
      <c r="C30" s="396">
        <f>awg_Solid[[#This Row],[Nom Dia. (in.)]]*25.4</f>
        <v>1.2903199999999999</v>
      </c>
      <c r="D30" s="397">
        <v>2580</v>
      </c>
      <c r="E30" s="402">
        <f>awg_Solid[[#This Row],[Nom CMA]]/1973.52524139</f>
        <v>1.3073052960715341</v>
      </c>
      <c r="F30" s="400">
        <v>16</v>
      </c>
      <c r="G30" s="397">
        <v>2580</v>
      </c>
      <c r="H30" s="398">
        <v>2528</v>
      </c>
    </row>
    <row r="31" spans="1:8" ht="15.75" x14ac:dyDescent="0.25">
      <c r="A31" s="400">
        <v>17</v>
      </c>
      <c r="B31" s="396">
        <v>4.53E-2</v>
      </c>
      <c r="C31" s="396">
        <f>awg_Solid[[#This Row],[Nom Dia. (in.)]]*25.4</f>
        <v>1.15062</v>
      </c>
      <c r="D31" s="397">
        <v>2050</v>
      </c>
      <c r="E31" s="402">
        <f>awg_Solid[[#This Row],[Nom CMA]]/1973.52524139</f>
        <v>1.0387503321498626</v>
      </c>
      <c r="F31" s="400">
        <v>17</v>
      </c>
      <c r="G31" s="397">
        <v>2050</v>
      </c>
      <c r="H31" s="398">
        <v>2009</v>
      </c>
    </row>
    <row r="32" spans="1:8" ht="15.75" x14ac:dyDescent="0.25">
      <c r="A32" s="400">
        <v>18</v>
      </c>
      <c r="B32" s="396">
        <v>4.0300000000000002E-2</v>
      </c>
      <c r="C32" s="396">
        <f>awg_Solid[[#This Row],[Nom Dia. (in.)]]*25.4</f>
        <v>1.02362</v>
      </c>
      <c r="D32" s="397">
        <v>1620</v>
      </c>
      <c r="E32" s="408">
        <f>awg_Solid[[#This Row],[Nom CMA]]/1973.52524139</f>
        <v>0.82086611613794014</v>
      </c>
      <c r="F32" s="400">
        <v>18</v>
      </c>
      <c r="G32" s="397">
        <v>1620</v>
      </c>
      <c r="H32" s="398">
        <v>1588</v>
      </c>
    </row>
    <row r="33" spans="1:8" ht="15.75" x14ac:dyDescent="0.25">
      <c r="A33" s="400">
        <v>19</v>
      </c>
      <c r="B33" s="396">
        <v>3.5900000000000001E-2</v>
      </c>
      <c r="C33" s="396">
        <f>awg_Solid[[#This Row],[Nom Dia. (in.)]]*25.4</f>
        <v>0.91186</v>
      </c>
      <c r="D33" s="397">
        <v>1290</v>
      </c>
      <c r="E33" s="408">
        <f>awg_Solid[[#This Row],[Nom CMA]]/1973.52524139</f>
        <v>0.65365264803576706</v>
      </c>
      <c r="F33" s="400">
        <v>19</v>
      </c>
      <c r="G33" s="397">
        <v>1290</v>
      </c>
      <c r="H33" s="398">
        <v>1264</v>
      </c>
    </row>
    <row r="34" spans="1:8" ht="15.75" x14ac:dyDescent="0.25">
      <c r="A34" s="400">
        <v>20</v>
      </c>
      <c r="B34" s="396">
        <v>3.2000000000000001E-2</v>
      </c>
      <c r="C34" s="396">
        <f>awg_Solid[[#This Row],[Nom Dia. (in.)]]*25.4</f>
        <v>0.81279999999999997</v>
      </c>
      <c r="D34" s="397">
        <v>1020</v>
      </c>
      <c r="E34" s="408">
        <f>awg_Solid[[#This Row],[Nom CMA]]/1973.52524139</f>
        <v>0.51684162867944372</v>
      </c>
      <c r="F34" s="400">
        <v>20</v>
      </c>
      <c r="G34" s="397">
        <v>1020</v>
      </c>
      <c r="H34" s="398">
        <v>1000</v>
      </c>
    </row>
    <row r="35" spans="1:8" ht="15.75" x14ac:dyDescent="0.25">
      <c r="A35" s="400">
        <v>21</v>
      </c>
      <c r="B35" s="396">
        <v>2.8500000000000001E-2</v>
      </c>
      <c r="C35" s="396">
        <f>awg_Solid[[#This Row],[Nom Dia. (in.)]]*25.4</f>
        <v>0.72389999999999999</v>
      </c>
      <c r="D35" s="397">
        <v>812</v>
      </c>
      <c r="E35" s="408">
        <f>awg_Solid[[#This Row],[Nom CMA]]/1973.52524139</f>
        <v>0.41144647302716503</v>
      </c>
      <c r="F35" s="400">
        <v>21</v>
      </c>
      <c r="G35" s="397">
        <v>812</v>
      </c>
      <c r="H35" s="398">
        <v>796</v>
      </c>
    </row>
    <row r="36" spans="1:8" ht="15.75" x14ac:dyDescent="0.25">
      <c r="A36" s="400">
        <v>22</v>
      </c>
      <c r="B36" s="396">
        <v>2.53E-2</v>
      </c>
      <c r="C36" s="396">
        <f>awg_Solid[[#This Row],[Nom Dia. (in.)]]*25.4</f>
        <v>0.64261999999999997</v>
      </c>
      <c r="D36" s="397">
        <v>640</v>
      </c>
      <c r="E36" s="408">
        <f>awg_Solid[[#This Row],[Nom CMA]]/1973.52524139</f>
        <v>0.32429278662239608</v>
      </c>
      <c r="F36" s="400">
        <v>22</v>
      </c>
      <c r="G36" s="397">
        <v>640</v>
      </c>
      <c r="H36" s="398">
        <v>627</v>
      </c>
    </row>
    <row r="37" spans="1:8" ht="15.75" x14ac:dyDescent="0.25">
      <c r="A37" s="400">
        <v>23</v>
      </c>
      <c r="B37" s="396">
        <v>2.2599999999999999E-2</v>
      </c>
      <c r="C37" s="396">
        <f>awg_Solid[[#This Row],[Nom Dia. (in.)]]*25.4</f>
        <v>0.57403999999999988</v>
      </c>
      <c r="D37" s="397">
        <v>511</v>
      </c>
      <c r="E37" s="408">
        <f>awg_Solid[[#This Row],[Nom CMA]]/1973.52524139</f>
        <v>0.25892752181881939</v>
      </c>
      <c r="F37" s="400">
        <v>23</v>
      </c>
      <c r="G37" s="397">
        <v>511</v>
      </c>
      <c r="H37" s="398">
        <v>501</v>
      </c>
    </row>
    <row r="38" spans="1:8" ht="15.75" x14ac:dyDescent="0.25">
      <c r="A38" s="400">
        <v>24</v>
      </c>
      <c r="B38" s="396">
        <v>2.01E-2</v>
      </c>
      <c r="C38" s="396">
        <f>awg_Solid[[#This Row],[Nom Dia. (in.)]]*25.4</f>
        <v>0.51053999999999999</v>
      </c>
      <c r="D38" s="397">
        <v>404</v>
      </c>
      <c r="E38" s="408">
        <f>awg_Solid[[#This Row],[Nom CMA]]/1973.52524139</f>
        <v>0.20470982155538753</v>
      </c>
      <c r="F38" s="400">
        <v>24</v>
      </c>
      <c r="G38" s="397">
        <v>404</v>
      </c>
      <c r="H38" s="398">
        <v>396</v>
      </c>
    </row>
    <row r="39" spans="1:8" ht="15.75" x14ac:dyDescent="0.25">
      <c r="A39" s="400">
        <v>25</v>
      </c>
      <c r="B39" s="396">
        <v>1.7899999999999999E-2</v>
      </c>
      <c r="C39" s="396">
        <f>awg_Solid[[#This Row],[Nom Dia. (in.)]]*25.4</f>
        <v>0.45465999999999995</v>
      </c>
      <c r="D39" s="397">
        <v>320</v>
      </c>
      <c r="E39" s="408">
        <f>awg_Solid[[#This Row],[Nom CMA]]/1973.52524139</f>
        <v>0.16214639331119804</v>
      </c>
      <c r="F39" s="400">
        <v>25</v>
      </c>
      <c r="G39" s="397">
        <v>320</v>
      </c>
      <c r="H39" s="398">
        <v>314</v>
      </c>
    </row>
    <row r="40" spans="1:8" ht="15.75" x14ac:dyDescent="0.25">
      <c r="A40" s="400">
        <v>26</v>
      </c>
      <c r="B40" s="396">
        <v>1.5900000000000001E-2</v>
      </c>
      <c r="C40" s="396">
        <f>awg_Solid[[#This Row],[Nom Dia. (in.)]]*25.4</f>
        <v>0.40386</v>
      </c>
      <c r="D40" s="397">
        <v>253</v>
      </c>
      <c r="E40" s="408">
        <f>awg_Solid[[#This Row],[Nom CMA]]/1973.52524139</f>
        <v>0.12819699221166594</v>
      </c>
      <c r="F40" s="400">
        <v>26</v>
      </c>
      <c r="G40" s="397">
        <v>253</v>
      </c>
      <c r="H40" s="398">
        <v>248</v>
      </c>
    </row>
    <row r="41" spans="1:8" ht="15.75" x14ac:dyDescent="0.25">
      <c r="A41" s="400">
        <v>27</v>
      </c>
      <c r="B41" s="396">
        <v>1.4200000000000001E-2</v>
      </c>
      <c r="C41" s="396">
        <f>awg_Solid[[#This Row],[Nom Dia. (in.)]]*25.4</f>
        <v>0.36068</v>
      </c>
      <c r="D41" s="397">
        <v>202</v>
      </c>
      <c r="E41" s="408">
        <f>awg_Solid[[#This Row],[Nom CMA]]/1973.52524139</f>
        <v>0.10235491077769376</v>
      </c>
      <c r="F41" s="400">
        <v>27</v>
      </c>
      <c r="G41" s="397">
        <v>202</v>
      </c>
      <c r="H41" s="398">
        <v>198</v>
      </c>
    </row>
    <row r="42" spans="1:8" ht="15.75" x14ac:dyDescent="0.25">
      <c r="A42" s="400">
        <v>28</v>
      </c>
      <c r="B42" s="396">
        <v>1.26E-2</v>
      </c>
      <c r="C42" s="396">
        <f>awg_Solid[[#This Row],[Nom Dia. (in.)]]*25.4</f>
        <v>0.32003999999999999</v>
      </c>
      <c r="D42" s="397">
        <v>159</v>
      </c>
      <c r="E42" s="408">
        <f>awg_Solid[[#This Row],[Nom CMA]]/1973.52524139</f>
        <v>8.0566489176501527E-2</v>
      </c>
      <c r="F42" s="400">
        <v>28</v>
      </c>
      <c r="G42" s="397">
        <v>159</v>
      </c>
      <c r="H42" s="398">
        <v>156</v>
      </c>
    </row>
    <row r="43" spans="1:8" ht="15.75" x14ac:dyDescent="0.25">
      <c r="A43" s="400">
        <v>29</v>
      </c>
      <c r="B43" s="396">
        <v>1.1299999999999999E-2</v>
      </c>
      <c r="C43" s="396">
        <f>awg_Solid[[#This Row],[Nom Dia. (in.)]]*25.4</f>
        <v>0.28701999999999994</v>
      </c>
      <c r="D43" s="397">
        <v>128</v>
      </c>
      <c r="E43" s="408">
        <f>awg_Solid[[#This Row],[Nom CMA]]/1973.52524139</f>
        <v>6.4858557324479219E-2</v>
      </c>
      <c r="F43" s="400">
        <v>29</v>
      </c>
      <c r="G43" s="397">
        <v>128</v>
      </c>
      <c r="H43" s="398">
        <v>125</v>
      </c>
    </row>
    <row r="44" spans="1:8" ht="15.75" x14ac:dyDescent="0.25">
      <c r="A44" s="400">
        <v>30</v>
      </c>
      <c r="B44" s="396">
        <v>0.01</v>
      </c>
      <c r="C44" s="396">
        <f>awg_Solid[[#This Row],[Nom Dia. (in.)]]*25.4</f>
        <v>0.254</v>
      </c>
      <c r="D44" s="397">
        <v>100</v>
      </c>
      <c r="E44" s="408">
        <f>awg_Solid[[#This Row],[Nom CMA]]/1973.52524139</f>
        <v>5.0670747909749389E-2</v>
      </c>
      <c r="F44" s="400">
        <v>30</v>
      </c>
      <c r="G44" s="397">
        <v>100</v>
      </c>
      <c r="H44" s="398">
        <v>98</v>
      </c>
    </row>
    <row r="45" spans="1:8" ht="15.75" x14ac:dyDescent="0.25">
      <c r="A45" s="400">
        <v>31</v>
      </c>
      <c r="B45" s="396">
        <v>8.8999999999999999E-3</v>
      </c>
      <c r="C45" s="396">
        <f>awg_Solid[[#This Row],[Nom Dia. (in.)]]*25.4</f>
        <v>0.22605999999999998</v>
      </c>
      <c r="D45" s="401">
        <v>79.2</v>
      </c>
      <c r="E45" s="408">
        <f>awg_Solid[[#This Row],[Nom CMA]]/1973.52524139</f>
        <v>4.0131232344521518E-2</v>
      </c>
      <c r="F45" s="400">
        <v>31</v>
      </c>
      <c r="G45" s="401">
        <v>79.2</v>
      </c>
      <c r="H45" s="402">
        <v>77.599999999999994</v>
      </c>
    </row>
    <row r="46" spans="1:8" ht="15.75" x14ac:dyDescent="0.25">
      <c r="A46" s="400">
        <v>32</v>
      </c>
      <c r="B46" s="396">
        <v>8.0000000000000002E-3</v>
      </c>
      <c r="C46" s="396">
        <f>awg_Solid[[#This Row],[Nom Dia. (in.)]]*25.4</f>
        <v>0.20319999999999999</v>
      </c>
      <c r="D46" s="401">
        <v>64</v>
      </c>
      <c r="E46" s="408">
        <f>awg_Solid[[#This Row],[Nom CMA]]/1973.52524139</f>
        <v>3.2429278662239609E-2</v>
      </c>
      <c r="F46" s="400">
        <v>32</v>
      </c>
      <c r="G46" s="401">
        <v>64</v>
      </c>
      <c r="H46" s="402">
        <v>62.7</v>
      </c>
    </row>
    <row r="47" spans="1:8" ht="15.75" x14ac:dyDescent="0.25">
      <c r="A47" s="400">
        <v>33</v>
      </c>
      <c r="B47" s="396">
        <v>7.1000000000000004E-3</v>
      </c>
      <c r="C47" s="396">
        <f>awg_Solid[[#This Row],[Nom Dia. (in.)]]*25.4</f>
        <v>0.18034</v>
      </c>
      <c r="D47" s="401">
        <v>50.4</v>
      </c>
      <c r="E47" s="408">
        <f>awg_Solid[[#This Row],[Nom CMA]]/1973.52524139</f>
        <v>2.553805694651369E-2</v>
      </c>
      <c r="F47" s="400">
        <v>33</v>
      </c>
      <c r="G47" s="401">
        <v>50.4</v>
      </c>
      <c r="H47" s="402">
        <v>49.4</v>
      </c>
    </row>
    <row r="48" spans="1:8" ht="15.75" x14ac:dyDescent="0.25">
      <c r="A48" s="400">
        <v>34</v>
      </c>
      <c r="B48" s="396">
        <v>6.3E-3</v>
      </c>
      <c r="C48" s="396">
        <f>awg_Solid[[#This Row],[Nom Dia. (in.)]]*25.4</f>
        <v>0.16002</v>
      </c>
      <c r="D48" s="401">
        <v>39.700000000000003</v>
      </c>
      <c r="E48" s="408">
        <f>awg_Solid[[#This Row],[Nom CMA]]/1973.52524139</f>
        <v>2.011628692017051E-2</v>
      </c>
      <c r="F48" s="400">
        <v>34</v>
      </c>
      <c r="G48" s="401">
        <v>39.700000000000003</v>
      </c>
      <c r="H48" s="402">
        <v>38.9</v>
      </c>
    </row>
    <row r="49" spans="1:8" ht="15.75" x14ac:dyDescent="0.25">
      <c r="A49" s="400">
        <v>35</v>
      </c>
      <c r="B49" s="396">
        <v>5.5999999999999999E-3</v>
      </c>
      <c r="C49" s="396">
        <f>awg_Solid[[#This Row],[Nom Dia. (in.)]]*25.4</f>
        <v>0.14223999999999998</v>
      </c>
      <c r="D49" s="401">
        <v>31.4</v>
      </c>
      <c r="E49" s="408">
        <f>awg_Solid[[#This Row],[Nom CMA]]/1973.52524139</f>
        <v>1.5910614843661307E-2</v>
      </c>
      <c r="F49" s="400">
        <v>35</v>
      </c>
      <c r="G49" s="401">
        <v>31.4</v>
      </c>
      <c r="H49" s="402">
        <v>30.8</v>
      </c>
    </row>
    <row r="50" spans="1:8" ht="15.75" x14ac:dyDescent="0.25">
      <c r="A50" s="400">
        <v>36</v>
      </c>
      <c r="B50" s="396">
        <v>5.0000000000000001E-3</v>
      </c>
      <c r="C50" s="396">
        <f>awg_Solid[[#This Row],[Nom Dia. (in.)]]*25.4</f>
        <v>0.127</v>
      </c>
      <c r="D50" s="401">
        <v>25</v>
      </c>
      <c r="E50" s="408">
        <f>awg_Solid[[#This Row],[Nom CMA]]/1973.52524139</f>
        <v>1.2667686977437347E-2</v>
      </c>
      <c r="F50" s="400">
        <v>36</v>
      </c>
      <c r="G50" s="401">
        <v>25</v>
      </c>
      <c r="H50" s="402">
        <v>24.5</v>
      </c>
    </row>
    <row r="51" spans="1:8" ht="15.75" x14ac:dyDescent="0.25">
      <c r="A51" s="400">
        <v>37</v>
      </c>
      <c r="B51" s="396">
        <v>4.4999999999999997E-3</v>
      </c>
      <c r="C51" s="396">
        <f>awg_Solid[[#This Row],[Nom Dia. (in.)]]*25.4</f>
        <v>0.11429999999999998</v>
      </c>
      <c r="D51" s="401">
        <v>20.2</v>
      </c>
      <c r="E51" s="408">
        <f>awg_Solid[[#This Row],[Nom CMA]]/1973.52524139</f>
        <v>1.0235491077769375E-2</v>
      </c>
      <c r="F51" s="400">
        <v>37</v>
      </c>
      <c r="G51" s="401">
        <v>20.2</v>
      </c>
      <c r="H51" s="402">
        <v>19.8</v>
      </c>
    </row>
    <row r="52" spans="1:8" ht="15.75" x14ac:dyDescent="0.25">
      <c r="A52" s="400">
        <v>38</v>
      </c>
      <c r="B52" s="396">
        <v>4.0000000000000001E-3</v>
      </c>
      <c r="C52" s="396">
        <f>awg_Solid[[#This Row],[Nom Dia. (in.)]]*25.4</f>
        <v>0.1016</v>
      </c>
      <c r="D52" s="401">
        <v>16</v>
      </c>
      <c r="E52" s="409">
        <f>awg_Solid[[#This Row],[Nom CMA]]/1973.52524139</f>
        <v>8.1073196655599023E-3</v>
      </c>
      <c r="F52" s="400">
        <v>38</v>
      </c>
      <c r="G52" s="401">
        <v>16</v>
      </c>
      <c r="H52" s="402">
        <v>15.7</v>
      </c>
    </row>
    <row r="53" spans="1:8" ht="15.75" x14ac:dyDescent="0.25">
      <c r="A53" s="400">
        <v>39</v>
      </c>
      <c r="B53" s="396">
        <v>3.5000000000000001E-3</v>
      </c>
      <c r="C53" s="396">
        <f>awg_Solid[[#This Row],[Nom Dia. (in.)]]*25.4</f>
        <v>8.8899999999999993E-2</v>
      </c>
      <c r="D53" s="401">
        <v>12.2</v>
      </c>
      <c r="E53" s="409">
        <f>awg_Solid[[#This Row],[Nom CMA]]/1973.52524139</f>
        <v>6.1818312449894251E-3</v>
      </c>
      <c r="F53" s="400">
        <v>39</v>
      </c>
      <c r="G53" s="401">
        <v>12.2</v>
      </c>
      <c r="H53" s="402">
        <v>11.9</v>
      </c>
    </row>
    <row r="54" spans="1:8" ht="15.75" x14ac:dyDescent="0.25">
      <c r="A54" s="400">
        <v>40</v>
      </c>
      <c r="B54" s="396">
        <v>3.0999999999999999E-3</v>
      </c>
      <c r="C54" s="396">
        <f>awg_Solid[[#This Row],[Nom Dia. (in.)]]*25.4</f>
        <v>7.8739999999999991E-2</v>
      </c>
      <c r="D54" s="401">
        <v>9.61</v>
      </c>
      <c r="E54" s="409">
        <f>awg_Solid[[#This Row],[Nom CMA]]/1973.52524139</f>
        <v>4.8694588741269159E-3</v>
      </c>
      <c r="F54" s="400">
        <v>40</v>
      </c>
      <c r="G54" s="401">
        <v>9.61</v>
      </c>
      <c r="H54" s="402">
        <v>9.42</v>
      </c>
    </row>
    <row r="55" spans="1:8" ht="15.75" x14ac:dyDescent="0.25">
      <c r="A55" s="400">
        <v>41</v>
      </c>
      <c r="B55" s="396">
        <v>2.8E-3</v>
      </c>
      <c r="C55" s="396">
        <f>awg_Solid[[#This Row],[Nom Dia. (in.)]]*25.4</f>
        <v>7.1119999999999989E-2</v>
      </c>
      <c r="D55" s="401">
        <v>7.84</v>
      </c>
      <c r="E55" s="409">
        <f>awg_Solid[[#This Row],[Nom CMA]]/1973.52524139</f>
        <v>3.9725866361243522E-3</v>
      </c>
      <c r="F55" s="400">
        <v>41</v>
      </c>
      <c r="G55" s="401">
        <v>7.84</v>
      </c>
      <c r="H55" s="402">
        <v>7.68</v>
      </c>
    </row>
    <row r="56" spans="1:8" ht="15.75" x14ac:dyDescent="0.25">
      <c r="A56" s="400">
        <v>42</v>
      </c>
      <c r="B56" s="396">
        <v>2.5000000000000001E-3</v>
      </c>
      <c r="C56" s="396">
        <f>awg_Solid[[#This Row],[Nom Dia. (in.)]]*25.4</f>
        <v>6.3500000000000001E-2</v>
      </c>
      <c r="D56" s="401">
        <v>6.25</v>
      </c>
      <c r="E56" s="409">
        <f>awg_Solid[[#This Row],[Nom CMA]]/1973.52524139</f>
        <v>3.1669217443593368E-3</v>
      </c>
      <c r="F56" s="400">
        <v>42</v>
      </c>
      <c r="G56" s="401">
        <v>6.25</v>
      </c>
      <c r="H56" s="402">
        <v>6.13</v>
      </c>
    </row>
    <row r="57" spans="1:8" ht="15.75" x14ac:dyDescent="0.25">
      <c r="A57" s="400">
        <v>43</v>
      </c>
      <c r="B57" s="396">
        <v>2.2000000000000001E-3</v>
      </c>
      <c r="C57" s="396">
        <f>awg_Solid[[#This Row],[Nom Dia. (in.)]]*25.4</f>
        <v>5.5879999999999999E-2</v>
      </c>
      <c r="D57" s="401">
        <v>4.84</v>
      </c>
      <c r="E57" s="409">
        <f>awg_Solid[[#This Row],[Nom CMA]]/1973.52524139</f>
        <v>2.4524641988318704E-3</v>
      </c>
      <c r="F57" s="400">
        <v>43</v>
      </c>
      <c r="G57" s="401">
        <v>4.84</v>
      </c>
      <c r="H57" s="402">
        <v>4.74</v>
      </c>
    </row>
    <row r="58" spans="1:8" ht="15.75" x14ac:dyDescent="0.25">
      <c r="A58" s="400">
        <v>44</v>
      </c>
      <c r="B58" s="396">
        <v>2E-3</v>
      </c>
      <c r="C58" s="396">
        <f>awg_Solid[[#This Row],[Nom Dia. (in.)]]*25.4</f>
        <v>5.0799999999999998E-2</v>
      </c>
      <c r="D58" s="401">
        <v>4</v>
      </c>
      <c r="E58" s="409">
        <f>awg_Solid[[#This Row],[Nom CMA]]/1973.52524139</f>
        <v>2.0268299163899756E-3</v>
      </c>
      <c r="F58" s="400">
        <v>44</v>
      </c>
      <c r="G58" s="401">
        <v>4</v>
      </c>
      <c r="H58" s="402">
        <v>3.92</v>
      </c>
    </row>
    <row r="59" spans="1:8" ht="15.75" x14ac:dyDescent="0.25">
      <c r="A59" s="400">
        <v>45</v>
      </c>
      <c r="B59" s="396">
        <v>1.7600000000000001E-3</v>
      </c>
      <c r="C59" s="396">
        <f>awg_Solid[[#This Row],[Nom Dia. (in.)]]*25.4</f>
        <v>4.4704000000000001E-2</v>
      </c>
      <c r="D59" s="401">
        <v>3.1</v>
      </c>
      <c r="E59" s="409">
        <f>awg_Solid[[#This Row],[Nom CMA]]/1973.52524139</f>
        <v>1.5707931852022312E-3</v>
      </c>
      <c r="F59" s="400">
        <v>45</v>
      </c>
      <c r="G59" s="401">
        <v>3.1</v>
      </c>
      <c r="H59" s="402">
        <v>3.04</v>
      </c>
    </row>
    <row r="60" spans="1:8" ht="15.75" x14ac:dyDescent="0.25">
      <c r="A60" s="400">
        <v>46</v>
      </c>
      <c r="B60" s="396">
        <v>1.57E-3</v>
      </c>
      <c r="C60" s="396">
        <f>awg_Solid[[#This Row],[Nom Dia. (in.)]]*25.4</f>
        <v>3.9877999999999997E-2</v>
      </c>
      <c r="D60" s="401">
        <v>2.46</v>
      </c>
      <c r="E60" s="409">
        <f>awg_Solid[[#This Row],[Nom CMA]]/1973.52524139</f>
        <v>1.2465003985798349E-3</v>
      </c>
      <c r="F60" s="400">
        <v>46</v>
      </c>
      <c r="G60" s="401">
        <v>2.46</v>
      </c>
      <c r="H60" s="402">
        <v>2.41</v>
      </c>
    </row>
    <row r="61" spans="1:8" ht="15.75" x14ac:dyDescent="0.25">
      <c r="A61" s="400">
        <v>47</v>
      </c>
      <c r="B61" s="396">
        <v>1.4E-3</v>
      </c>
      <c r="C61" s="396">
        <f>awg_Solid[[#This Row],[Nom Dia. (in.)]]*25.4</f>
        <v>3.5559999999999994E-2</v>
      </c>
      <c r="D61" s="401">
        <v>1.96</v>
      </c>
      <c r="E61" s="409">
        <f>awg_Solid[[#This Row],[Nom CMA]]/1973.52524139</f>
        <v>9.9314665903108804E-4</v>
      </c>
      <c r="F61" s="400">
        <v>47</v>
      </c>
      <c r="G61" s="401">
        <v>1.96</v>
      </c>
      <c r="H61" s="402">
        <v>1.92</v>
      </c>
    </row>
    <row r="62" spans="1:8" ht="15.75" x14ac:dyDescent="0.25">
      <c r="A62" s="400">
        <v>48</v>
      </c>
      <c r="B62" s="396">
        <v>1.24E-3</v>
      </c>
      <c r="C62" s="396">
        <f>awg_Solid[[#This Row],[Nom Dia. (in.)]]*25.4</f>
        <v>3.1495999999999996E-2</v>
      </c>
      <c r="D62" s="401">
        <v>1.54</v>
      </c>
      <c r="E62" s="409">
        <f>awg_Solid[[#This Row],[Nom CMA]]/1973.52524139</f>
        <v>7.8032951781014065E-4</v>
      </c>
      <c r="F62" s="400">
        <v>48</v>
      </c>
      <c r="G62" s="401">
        <v>1.54</v>
      </c>
      <c r="H62" s="402">
        <v>1.51</v>
      </c>
    </row>
    <row r="63" spans="1:8" ht="15.75" x14ac:dyDescent="0.25">
      <c r="A63" s="400">
        <v>49</v>
      </c>
      <c r="B63" s="396">
        <v>1.1100000000000001E-3</v>
      </c>
      <c r="C63" s="396">
        <f>awg_Solid[[#This Row],[Nom Dia. (in.)]]*25.4</f>
        <v>2.8194E-2</v>
      </c>
      <c r="D63" s="401">
        <v>1.23</v>
      </c>
      <c r="E63" s="409">
        <f>awg_Solid[[#This Row],[Nom CMA]]/1973.52524139</f>
        <v>6.2325019928991747E-4</v>
      </c>
      <c r="F63" s="400">
        <v>49</v>
      </c>
      <c r="G63" s="401">
        <v>1.23</v>
      </c>
      <c r="H63" s="402">
        <v>1.21</v>
      </c>
    </row>
    <row r="64" spans="1:8" ht="16.5" thickBot="1" x14ac:dyDescent="0.3">
      <c r="A64" s="403">
        <v>50</v>
      </c>
      <c r="B64" s="404">
        <v>9.8999999999999999E-4</v>
      </c>
      <c r="C64" s="404">
        <f>awg_Solid[[#This Row],[Nom Dia. (in.)]]*25.4</f>
        <v>2.5145999999999998E-2</v>
      </c>
      <c r="D64" s="405">
        <v>0.98</v>
      </c>
      <c r="E64" s="410">
        <f>awg_Solid[[#This Row],[Nom CMA]]/1973.52524139</f>
        <v>4.9657332951554402E-4</v>
      </c>
      <c r="F64" s="403">
        <v>50</v>
      </c>
      <c r="G64" s="405">
        <v>0.98</v>
      </c>
      <c r="H64" s="406">
        <v>0.96</v>
      </c>
    </row>
    <row r="65" spans="6:9" ht="15.75" x14ac:dyDescent="0.25">
      <c r="F65" s="109"/>
      <c r="G65" s="109"/>
      <c r="H65" s="109"/>
      <c r="I65" s="109"/>
    </row>
  </sheetData>
  <mergeCells count="5">
    <mergeCell ref="A1:H1"/>
    <mergeCell ref="F2:H2"/>
    <mergeCell ref="F3:H3"/>
    <mergeCell ref="A2:E2"/>
    <mergeCell ref="A3:E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A8BB-C83D-4580-A872-18A1BAD09E8B}">
  <sheetPr codeName="Sheet6"/>
  <dimension ref="B1:C47"/>
  <sheetViews>
    <sheetView workbookViewId="0">
      <selection activeCell="H39" sqref="H39"/>
    </sheetView>
  </sheetViews>
  <sheetFormatPr defaultRowHeight="15" x14ac:dyDescent="0.25"/>
  <cols>
    <col min="3" max="3" width="16.42578125" customWidth="1"/>
  </cols>
  <sheetData>
    <row r="1" spans="2:3" ht="15.75" thickBot="1" x14ac:dyDescent="0.3">
      <c r="B1" s="99" t="s">
        <v>150</v>
      </c>
    </row>
    <row r="2" spans="2:3" x14ac:dyDescent="0.25">
      <c r="B2" s="603" t="s">
        <v>151</v>
      </c>
      <c r="C2" s="601" t="s">
        <v>152</v>
      </c>
    </row>
    <row r="3" spans="2:3" ht="15.75" thickBot="1" x14ac:dyDescent="0.3">
      <c r="B3" s="604"/>
      <c r="C3" s="602"/>
    </row>
    <row r="4" spans="2:3" x14ac:dyDescent="0.25">
      <c r="B4" s="481">
        <v>10</v>
      </c>
      <c r="C4" s="482">
        <v>0</v>
      </c>
    </row>
    <row r="5" spans="2:3" x14ac:dyDescent="0.25">
      <c r="B5" s="483">
        <v>11</v>
      </c>
      <c r="C5" s="482">
        <v>0</v>
      </c>
    </row>
    <row r="6" spans="2:3" x14ac:dyDescent="0.25">
      <c r="B6" s="483">
        <v>12</v>
      </c>
      <c r="C6" s="482">
        <v>0</v>
      </c>
    </row>
    <row r="7" spans="2:3" x14ac:dyDescent="0.25">
      <c r="B7" s="483">
        <v>13</v>
      </c>
      <c r="C7" s="482">
        <v>0</v>
      </c>
    </row>
    <row r="8" spans="2:3" x14ac:dyDescent="0.25">
      <c r="B8" s="483">
        <v>14</v>
      </c>
      <c r="C8" s="482">
        <v>1</v>
      </c>
    </row>
    <row r="9" spans="2:3" x14ac:dyDescent="0.25">
      <c r="B9" s="483">
        <v>15</v>
      </c>
      <c r="C9" s="482">
        <v>1</v>
      </c>
    </row>
    <row r="10" spans="2:3" x14ac:dyDescent="0.25">
      <c r="B10" s="483">
        <v>16</v>
      </c>
      <c r="C10" s="482">
        <v>1</v>
      </c>
    </row>
    <row r="11" spans="2:3" x14ac:dyDescent="0.25">
      <c r="B11" s="483">
        <v>17</v>
      </c>
      <c r="C11" s="482">
        <v>2</v>
      </c>
    </row>
    <row r="12" spans="2:3" x14ac:dyDescent="0.25">
      <c r="B12" s="483">
        <v>18</v>
      </c>
      <c r="C12" s="482">
        <v>2</v>
      </c>
    </row>
    <row r="13" spans="2:3" x14ac:dyDescent="0.25">
      <c r="B13" s="483">
        <v>19</v>
      </c>
      <c r="C13" s="484">
        <v>3</v>
      </c>
    </row>
    <row r="14" spans="2:3" x14ac:dyDescent="0.25">
      <c r="B14" s="483">
        <v>20</v>
      </c>
      <c r="C14" s="484">
        <v>4</v>
      </c>
    </row>
    <row r="15" spans="2:3" x14ac:dyDescent="0.25">
      <c r="B15" s="483">
        <v>21</v>
      </c>
      <c r="C15" s="484">
        <v>5</v>
      </c>
    </row>
    <row r="16" spans="2:3" x14ac:dyDescent="0.25">
      <c r="B16" s="483">
        <v>22</v>
      </c>
      <c r="C16" s="484">
        <v>7</v>
      </c>
    </row>
    <row r="17" spans="2:3" x14ac:dyDescent="0.25">
      <c r="B17" s="483">
        <v>23</v>
      </c>
      <c r="C17" s="484">
        <v>9</v>
      </c>
    </row>
    <row r="18" spans="2:3" x14ac:dyDescent="0.25">
      <c r="B18" s="483">
        <v>24</v>
      </c>
      <c r="C18" s="484">
        <v>11</v>
      </c>
    </row>
    <row r="19" spans="2:3" x14ac:dyDescent="0.25">
      <c r="B19" s="483">
        <v>25</v>
      </c>
      <c r="C19" s="484">
        <v>15</v>
      </c>
    </row>
    <row r="20" spans="2:3" x14ac:dyDescent="0.25">
      <c r="B20" s="483">
        <v>26</v>
      </c>
      <c r="C20" s="484">
        <v>19</v>
      </c>
    </row>
    <row r="21" spans="2:3" x14ac:dyDescent="0.25">
      <c r="B21" s="483">
        <v>27</v>
      </c>
      <c r="C21" s="484">
        <v>23</v>
      </c>
    </row>
    <row r="22" spans="2:3" x14ac:dyDescent="0.25">
      <c r="B22" s="483">
        <v>28</v>
      </c>
      <c r="C22" s="484">
        <v>29</v>
      </c>
    </row>
    <row r="23" spans="2:3" x14ac:dyDescent="0.25">
      <c r="B23" s="483">
        <v>29</v>
      </c>
      <c r="C23" s="484">
        <v>37</v>
      </c>
    </row>
    <row r="24" spans="2:3" x14ac:dyDescent="0.25">
      <c r="B24" s="483">
        <v>30</v>
      </c>
      <c r="C24" s="484">
        <v>47</v>
      </c>
    </row>
    <row r="25" spans="2:3" x14ac:dyDescent="0.25">
      <c r="B25" s="483">
        <v>31</v>
      </c>
      <c r="C25" s="484">
        <v>60</v>
      </c>
    </row>
    <row r="26" spans="2:3" x14ac:dyDescent="0.25">
      <c r="B26" s="483">
        <v>32</v>
      </c>
      <c r="C26" s="484">
        <v>66</v>
      </c>
    </row>
    <row r="27" spans="2:3" x14ac:dyDescent="0.25">
      <c r="B27" s="483">
        <v>33</v>
      </c>
      <c r="C27" s="484">
        <v>66</v>
      </c>
    </row>
    <row r="28" spans="2:3" x14ac:dyDescent="0.25">
      <c r="B28" s="483">
        <v>34</v>
      </c>
      <c r="C28" s="484">
        <v>66</v>
      </c>
    </row>
    <row r="29" spans="2:3" x14ac:dyDescent="0.25">
      <c r="B29" s="483">
        <v>35</v>
      </c>
      <c r="C29" s="484">
        <v>66</v>
      </c>
    </row>
    <row r="30" spans="2:3" x14ac:dyDescent="0.25">
      <c r="B30" s="483">
        <v>36</v>
      </c>
      <c r="C30" s="484">
        <v>66</v>
      </c>
    </row>
    <row r="31" spans="2:3" x14ac:dyDescent="0.25">
      <c r="B31" s="483">
        <v>37</v>
      </c>
      <c r="C31" s="484">
        <v>66</v>
      </c>
    </row>
    <row r="32" spans="2:3" x14ac:dyDescent="0.25">
      <c r="B32" s="483">
        <v>38</v>
      </c>
      <c r="C32" s="484">
        <v>66</v>
      </c>
    </row>
    <row r="33" spans="2:3" x14ac:dyDescent="0.25">
      <c r="B33" s="483">
        <v>39</v>
      </c>
      <c r="C33" s="484">
        <v>66</v>
      </c>
    </row>
    <row r="34" spans="2:3" x14ac:dyDescent="0.25">
      <c r="B34" s="483">
        <v>40</v>
      </c>
      <c r="C34" s="484">
        <v>66</v>
      </c>
    </row>
    <row r="35" spans="2:3" x14ac:dyDescent="0.25">
      <c r="B35" s="483">
        <v>41</v>
      </c>
      <c r="C35" s="484">
        <v>66</v>
      </c>
    </row>
    <row r="36" spans="2:3" x14ac:dyDescent="0.25">
      <c r="B36" s="483">
        <v>42</v>
      </c>
      <c r="C36" s="484">
        <v>66</v>
      </c>
    </row>
    <row r="37" spans="2:3" x14ac:dyDescent="0.25">
      <c r="B37" s="483">
        <v>43</v>
      </c>
      <c r="C37" s="484">
        <v>66</v>
      </c>
    </row>
    <row r="38" spans="2:3" x14ac:dyDescent="0.25">
      <c r="B38" s="483">
        <v>44</v>
      </c>
      <c r="C38" s="484">
        <v>66</v>
      </c>
    </row>
    <row r="39" spans="2:3" x14ac:dyDescent="0.25">
      <c r="B39" s="483">
        <v>45</v>
      </c>
      <c r="C39" s="484">
        <v>66</v>
      </c>
    </row>
    <row r="40" spans="2:3" x14ac:dyDescent="0.25">
      <c r="B40" s="483">
        <v>46</v>
      </c>
      <c r="C40" s="484">
        <v>66</v>
      </c>
    </row>
    <row r="41" spans="2:3" x14ac:dyDescent="0.25">
      <c r="B41" s="483">
        <v>47</v>
      </c>
      <c r="C41" s="484">
        <v>21</v>
      </c>
    </row>
    <row r="42" spans="2:3" x14ac:dyDescent="0.25">
      <c r="B42" s="483">
        <v>48</v>
      </c>
      <c r="C42" s="484">
        <v>21</v>
      </c>
    </row>
    <row r="43" spans="2:3" x14ac:dyDescent="0.25">
      <c r="B43" s="483">
        <v>49</v>
      </c>
      <c r="C43" s="484">
        <v>21</v>
      </c>
    </row>
    <row r="44" spans="2:3" x14ac:dyDescent="0.25">
      <c r="B44" s="483">
        <v>50</v>
      </c>
      <c r="C44" s="484">
        <v>21</v>
      </c>
    </row>
    <row r="45" spans="2:3" x14ac:dyDescent="0.25">
      <c r="B45" s="483">
        <v>51</v>
      </c>
      <c r="C45" s="484" t="s">
        <v>153</v>
      </c>
    </row>
    <row r="46" spans="2:3" x14ac:dyDescent="0.25">
      <c r="B46" s="483">
        <v>52</v>
      </c>
      <c r="C46" s="484" t="s">
        <v>153</v>
      </c>
    </row>
    <row r="47" spans="2:3" ht="15.75" thickBot="1" x14ac:dyDescent="0.3">
      <c r="B47" s="395">
        <v>53</v>
      </c>
      <c r="C47" s="484" t="s">
        <v>153</v>
      </c>
    </row>
  </sheetData>
  <mergeCells count="2">
    <mergeCell ref="C2:C3"/>
    <mergeCell ref="B2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14FD2864F3D4DA8281E8C2BAD7771" ma:contentTypeVersion="10" ma:contentTypeDescription="Create a new document." ma:contentTypeScope="" ma:versionID="7eab97c8a91f84be9686975ea1fbf8c8">
  <xsd:schema xmlns:xsd="http://www.w3.org/2001/XMLSchema" xmlns:xs="http://www.w3.org/2001/XMLSchema" xmlns:p="http://schemas.microsoft.com/office/2006/metadata/properties" xmlns:ns2="938b1a76-5fb8-4a50-b5f4-cccdcf72323b" xmlns:ns3="ba75bf5d-aa36-4515-a69c-41efc33fc645" targetNamespace="http://schemas.microsoft.com/office/2006/metadata/properties" ma:root="true" ma:fieldsID="1a487f8813b99ac4758fcd87c9b62888" ns2:_="" ns3:_="">
    <xsd:import namespace="938b1a76-5fb8-4a50-b5f4-cccdcf72323b"/>
    <xsd:import namespace="ba75bf5d-aa36-4515-a69c-41efc33fc6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b1a76-5fb8-4a50-b5f4-cccdcf7232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5bf5d-aa36-4515-a69c-41efc33fc6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FBF21FE6-8B0C-4651-8DFA-87DE6213B9D6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482F9D6-0F7A-4476-B22D-49E56788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b1a76-5fb8-4a50-b5f4-cccdcf72323b"/>
    <ds:schemaRef ds:uri="ba75bf5d-aa36-4515-a69c-41efc33fc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7C75E614-9448-4F5F-BFE9-0DBC551783D9}">
  <ds:schemaRefs>
    <ds:schemaRef ds:uri="938b1a76-5fb8-4a50-b5f4-cccdcf72323b"/>
    <ds:schemaRef ds:uri="ba75bf5d-aa36-4515-a69c-41efc33fc645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Litz Design tool for External C</vt:lpstr>
      <vt:lpstr>N1 Max Calculator</vt:lpstr>
      <vt:lpstr>Preferred strand sizes</vt:lpstr>
      <vt:lpstr>Magnet Wire</vt:lpstr>
      <vt:lpstr>AWG Reference</vt:lpstr>
      <vt:lpstr>Max Ends Single Op</vt:lpstr>
      <vt:lpstr>Chart1</vt:lpstr>
      <vt:lpstr>MagGrade</vt:lpstr>
      <vt:lpstr>MAXENDS</vt:lpstr>
      <vt:lpstr>NOOFENDSMAX</vt:lpstr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Schneider</dc:creator>
  <cp:lastModifiedBy>Blake Ingenthron</cp:lastModifiedBy>
  <cp:lastPrinted>2020-09-10T17:57:33Z</cp:lastPrinted>
  <dcterms:created xsi:type="dcterms:W3CDTF">2020-04-09T16:31:54Z</dcterms:created>
  <dcterms:modified xsi:type="dcterms:W3CDTF">2025-06-05T01:13:09Z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0x01010099F14FD2864F3D4DA8281E8C2BAD7771</vt:lpwstr>
  </property>
</Properties>
</file>