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Ex5.xml" ContentType="application/vnd.ms-office.chartex+xml"/>
  <Override PartName="/xl/charts/style7.xml" ContentType="application/vnd.ms-office.chartstyle+xml"/>
  <Override PartName="/xl/charts/colors7.xml" ContentType="application/vnd.ms-office.chartcolorstyle+xml"/>
  <Override PartName="/xl/charts/chartEx6.xml" ContentType="application/vnd.ms-office.chartex+xml"/>
  <Override PartName="/xl/charts/style8.xml" ContentType="application/vnd.ms-office.chartstyle+xml"/>
  <Override PartName="/xl/charts/colors8.xml" ContentType="application/vnd.ms-office.chartcolorstyle+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8B230874-3D2D-47BD-8FF2-F2664B689450}" xr6:coauthVersionLast="47" xr6:coauthVersionMax="47" xr10:uidLastSave="{00000000-0000-0000-0000-000000000000}"/>
  <bookViews>
    <workbookView xWindow="-120" yWindow="-120" windowWidth="20730" windowHeight="11160" activeTab="1" xr2:uid="{D43B8CD8-777B-4039-95F1-C161D306591B}"/>
  </bookViews>
  <sheets>
    <sheet name="Dane" sheetId="1" r:id="rId1"/>
    <sheet name="Podstawowe miary" sheetId="2" r:id="rId2"/>
    <sheet name="Prognoza" sheetId="3" r:id="rId3"/>
    <sheet name="Wykresy" sheetId="5" r:id="rId4"/>
    <sheet name="Tempo zmian" sheetId="6" r:id="rId5"/>
  </sheets>
  <definedNames>
    <definedName name="_xlchart.v1.0" hidden="1">Dane!$D$2:$D$24</definedName>
    <definedName name="_xlchart.v1.1" hidden="1">Dane!$F$2:$F$24</definedName>
    <definedName name="_xlchart.v1.2" hidden="1">Dane!$E$2:$E$24</definedName>
    <definedName name="_xlchart.v1.3" hidden="1">Dane!$E$2:$E$24</definedName>
    <definedName name="_xlchart.v1.4" hidden="1">Dane!$F$2:$F$24</definedName>
    <definedName name="_xlchart.v1.5" hidden="1">Dane!$D$2:$D$24</definedName>
    <definedName name="_xlchart.v1.6" hidden="1">Dane!$D$2:$D$24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70" i="3" l="1"/>
  <c r="U71" i="3"/>
  <c r="U72" i="3"/>
  <c r="U73" i="3"/>
  <c r="U74" i="3"/>
  <c r="U75" i="3"/>
  <c r="U76" i="3"/>
  <c r="U77" i="3"/>
  <c r="U78" i="3"/>
  <c r="U79" i="3"/>
  <c r="U80" i="3"/>
  <c r="U81" i="3"/>
  <c r="U82" i="3"/>
  <c r="U83" i="3"/>
  <c r="U84" i="3"/>
  <c r="U85" i="3"/>
  <c r="U86" i="3"/>
  <c r="U87" i="3"/>
  <c r="U88" i="3"/>
  <c r="U89" i="3"/>
  <c r="U90" i="3"/>
  <c r="Z70" i="3"/>
  <c r="Z71" i="3"/>
  <c r="Z72" i="3"/>
  <c r="Z73" i="3"/>
  <c r="Z74" i="3"/>
  <c r="Z75" i="3"/>
  <c r="Z76" i="3"/>
  <c r="Z77" i="3"/>
  <c r="Z78" i="3"/>
  <c r="Z79" i="3"/>
  <c r="Z80" i="3"/>
  <c r="Z81" i="3"/>
  <c r="Z82" i="3"/>
  <c r="Z83" i="3"/>
  <c r="Z84" i="3"/>
  <c r="Z85" i="3"/>
  <c r="Z86" i="3"/>
  <c r="Z87" i="3"/>
  <c r="Z88" i="3"/>
  <c r="Z89" i="3"/>
  <c r="Z90" i="3"/>
  <c r="W70" i="3"/>
  <c r="W71" i="3"/>
  <c r="Y71" i="3" s="1"/>
  <c r="W72" i="3"/>
  <c r="W73" i="3"/>
  <c r="W74" i="3"/>
  <c r="W75" i="3"/>
  <c r="Y75" i="3" s="1"/>
  <c r="W76" i="3"/>
  <c r="W77" i="3"/>
  <c r="W78" i="3"/>
  <c r="W79" i="3"/>
  <c r="Y79" i="3" s="1"/>
  <c r="W80" i="3"/>
  <c r="W81" i="3"/>
  <c r="W82" i="3"/>
  <c r="W83" i="3"/>
  <c r="Y83" i="3" s="1"/>
  <c r="W84" i="3"/>
  <c r="W85" i="3"/>
  <c r="W86" i="3"/>
  <c r="W87" i="3"/>
  <c r="Y87" i="3" s="1"/>
  <c r="W88" i="3"/>
  <c r="W89" i="3"/>
  <c r="W90" i="3"/>
  <c r="Y70" i="3"/>
  <c r="Y72" i="3"/>
  <c r="Y73" i="3"/>
  <c r="Y74" i="3"/>
  <c r="Y76" i="3"/>
  <c r="Y77" i="3"/>
  <c r="Y78" i="3"/>
  <c r="Y80" i="3"/>
  <c r="Y81" i="3"/>
  <c r="Y82" i="3"/>
  <c r="Y84" i="3"/>
  <c r="Y85" i="3"/>
  <c r="Y86" i="3"/>
  <c r="Y88" i="3"/>
  <c r="Y89" i="3"/>
  <c r="Y90" i="3"/>
  <c r="E17" i="2"/>
  <c r="E7" i="2"/>
  <c r="G4" i="3"/>
  <c r="K4" i="3"/>
  <c r="I4" i="6" l="1"/>
  <c r="I8" i="6"/>
  <c r="I12" i="6"/>
  <c r="I16" i="6"/>
  <c r="I20" i="6"/>
  <c r="I24" i="6"/>
  <c r="G3" i="6"/>
  <c r="F4" i="6"/>
  <c r="F6" i="6"/>
  <c r="F7" i="6"/>
  <c r="F8" i="6"/>
  <c r="F10" i="6"/>
  <c r="F11" i="6"/>
  <c r="F12" i="6"/>
  <c r="F14" i="6"/>
  <c r="F15" i="6"/>
  <c r="F16" i="6"/>
  <c r="F18" i="6"/>
  <c r="F19" i="6"/>
  <c r="F20" i="6"/>
  <c r="F22" i="6"/>
  <c r="F23" i="6"/>
  <c r="F24" i="6"/>
  <c r="F2" i="6"/>
  <c r="D5" i="6"/>
  <c r="D9" i="6"/>
  <c r="D13" i="6"/>
  <c r="D17" i="6"/>
  <c r="D21" i="6"/>
  <c r="C6" i="6"/>
  <c r="C10" i="6"/>
  <c r="C14" i="6"/>
  <c r="C18" i="6"/>
  <c r="C22" i="6"/>
  <c r="H3" i="6"/>
  <c r="J3" i="6" s="1"/>
  <c r="H4" i="6"/>
  <c r="J4" i="6" s="1"/>
  <c r="H5" i="6"/>
  <c r="I5" i="6" s="1"/>
  <c r="H6" i="6"/>
  <c r="I6" i="6" s="1"/>
  <c r="H7" i="6"/>
  <c r="I7" i="6" s="1"/>
  <c r="H8" i="6"/>
  <c r="J8" i="6" s="1"/>
  <c r="H9" i="6"/>
  <c r="I9" i="6" s="1"/>
  <c r="H10" i="6"/>
  <c r="I10" i="6" s="1"/>
  <c r="H11" i="6"/>
  <c r="I11" i="6" s="1"/>
  <c r="H12" i="6"/>
  <c r="J12" i="6" s="1"/>
  <c r="H13" i="6"/>
  <c r="I13" i="6" s="1"/>
  <c r="H14" i="6"/>
  <c r="I14" i="6" s="1"/>
  <c r="H15" i="6"/>
  <c r="I15" i="6" s="1"/>
  <c r="H16" i="6"/>
  <c r="J16" i="6" s="1"/>
  <c r="H17" i="6"/>
  <c r="I17" i="6" s="1"/>
  <c r="H18" i="6"/>
  <c r="I18" i="6" s="1"/>
  <c r="H19" i="6"/>
  <c r="I19" i="6" s="1"/>
  <c r="H20" i="6"/>
  <c r="J20" i="6" s="1"/>
  <c r="H21" i="6"/>
  <c r="I21" i="6" s="1"/>
  <c r="H22" i="6"/>
  <c r="I22" i="6" s="1"/>
  <c r="H23" i="6"/>
  <c r="I23" i="6" s="1"/>
  <c r="H24" i="6"/>
  <c r="J24" i="6" s="1"/>
  <c r="E3" i="6"/>
  <c r="F3" i="6" s="1"/>
  <c r="E4" i="6"/>
  <c r="G4" i="6" s="1"/>
  <c r="E5" i="6"/>
  <c r="F5" i="6" s="1"/>
  <c r="E6" i="6"/>
  <c r="E7" i="6"/>
  <c r="G7" i="6" s="1"/>
  <c r="E8" i="6"/>
  <c r="G8" i="6" s="1"/>
  <c r="E9" i="6"/>
  <c r="F9" i="6" s="1"/>
  <c r="E10" i="6"/>
  <c r="E11" i="6"/>
  <c r="G11" i="6" s="1"/>
  <c r="E12" i="6"/>
  <c r="G12" i="6" s="1"/>
  <c r="E13" i="6"/>
  <c r="F13" i="6" s="1"/>
  <c r="E14" i="6"/>
  <c r="E15" i="6"/>
  <c r="G15" i="6" s="1"/>
  <c r="E16" i="6"/>
  <c r="G16" i="6" s="1"/>
  <c r="E17" i="6"/>
  <c r="F17" i="6" s="1"/>
  <c r="E18" i="6"/>
  <c r="E19" i="6"/>
  <c r="G19" i="6" s="1"/>
  <c r="E20" i="6"/>
  <c r="G20" i="6" s="1"/>
  <c r="E21" i="6"/>
  <c r="F21" i="6" s="1"/>
  <c r="E22" i="6"/>
  <c r="E23" i="6"/>
  <c r="G23" i="6" s="1"/>
  <c r="E24" i="6"/>
  <c r="G24" i="6" s="1"/>
  <c r="B3" i="6"/>
  <c r="C3" i="6" s="1"/>
  <c r="B4" i="6"/>
  <c r="B5" i="6"/>
  <c r="B6" i="6"/>
  <c r="D6" i="6" s="1"/>
  <c r="B7" i="6"/>
  <c r="C7" i="6" s="1"/>
  <c r="B8" i="6"/>
  <c r="B9" i="6"/>
  <c r="B10" i="6"/>
  <c r="D10" i="6" s="1"/>
  <c r="B11" i="6"/>
  <c r="C11" i="6" s="1"/>
  <c r="B12" i="6"/>
  <c r="B13" i="6"/>
  <c r="B14" i="6"/>
  <c r="D14" i="6" s="1"/>
  <c r="B15" i="6"/>
  <c r="C15" i="6" s="1"/>
  <c r="B16" i="6"/>
  <c r="B17" i="6"/>
  <c r="B18" i="6"/>
  <c r="D18" i="6" s="1"/>
  <c r="B19" i="6"/>
  <c r="C19" i="6" s="1"/>
  <c r="B20" i="6"/>
  <c r="B21" i="6"/>
  <c r="B22" i="6"/>
  <c r="D22" i="6" s="1"/>
  <c r="B23" i="6"/>
  <c r="C23" i="6" s="1"/>
  <c r="B24" i="6"/>
  <c r="A3" i="6"/>
  <c r="A4" i="6"/>
  <c r="A5" i="6"/>
  <c r="A6" i="6"/>
  <c r="A7" i="6"/>
  <c r="A8" i="6"/>
  <c r="A9" i="6"/>
  <c r="A10" i="6"/>
  <c r="A11" i="6"/>
  <c r="A12" i="6"/>
  <c r="A13" i="6"/>
  <c r="A14" i="6"/>
  <c r="A15" i="6"/>
  <c r="A16" i="6"/>
  <c r="A17" i="6"/>
  <c r="A18" i="6"/>
  <c r="A19" i="6"/>
  <c r="A20" i="6"/>
  <c r="A21" i="6"/>
  <c r="A22" i="6"/>
  <c r="A23" i="6"/>
  <c r="A24" i="6"/>
  <c r="A2" i="6"/>
  <c r="E2" i="6"/>
  <c r="H2" i="6"/>
  <c r="I2" i="6" s="1"/>
  <c r="B2" i="6"/>
  <c r="C4" i="6" s="1"/>
  <c r="Y3" i="3"/>
  <c r="Y4" i="3"/>
  <c r="Y5" i="3"/>
  <c r="Y6" i="3"/>
  <c r="Y7" i="3"/>
  <c r="Y8" i="3"/>
  <c r="Y9" i="3"/>
  <c r="Y10" i="3"/>
  <c r="Y11" i="3"/>
  <c r="Y12" i="3"/>
  <c r="Y13" i="3"/>
  <c r="Y14" i="3"/>
  <c r="Y15" i="3"/>
  <c r="Y16" i="3"/>
  <c r="Y17" i="3"/>
  <c r="Y18" i="3"/>
  <c r="Y19" i="3"/>
  <c r="Y20" i="3"/>
  <c r="Y21" i="3"/>
  <c r="Y22" i="3"/>
  <c r="Y23" i="3"/>
  <c r="Y24" i="3"/>
  <c r="Y2" i="3"/>
  <c r="L4" i="3"/>
  <c r="I4" i="3"/>
  <c r="H4" i="3"/>
  <c r="T3" i="3"/>
  <c r="T4" i="3"/>
  <c r="T5" i="3"/>
  <c r="T6" i="3"/>
  <c r="T7" i="3"/>
  <c r="T8" i="3"/>
  <c r="T9" i="3"/>
  <c r="T10" i="3"/>
  <c r="T11" i="3"/>
  <c r="T12" i="3"/>
  <c r="T13" i="3"/>
  <c r="T14" i="3"/>
  <c r="T15" i="3"/>
  <c r="T16" i="3"/>
  <c r="T17" i="3"/>
  <c r="T18" i="3"/>
  <c r="T19" i="3"/>
  <c r="T20" i="3"/>
  <c r="T21" i="3"/>
  <c r="T22" i="3"/>
  <c r="T23" i="3"/>
  <c r="T24" i="3"/>
  <c r="T2" i="3"/>
  <c r="I3" i="3"/>
  <c r="I2" i="3"/>
  <c r="L3" i="3"/>
  <c r="L2" i="3"/>
  <c r="K3" i="3"/>
  <c r="K2" i="3"/>
  <c r="H3" i="3"/>
  <c r="H2" i="3"/>
  <c r="G3" i="3"/>
  <c r="G2" i="3"/>
  <c r="M3" i="2"/>
  <c r="L3" i="2"/>
  <c r="K3" i="2"/>
  <c r="L4" i="2"/>
  <c r="M4" i="2"/>
  <c r="K4" i="2"/>
  <c r="L2" i="2"/>
  <c r="M2" i="2"/>
  <c r="K2" i="2"/>
  <c r="F19" i="2"/>
  <c r="G19" i="2"/>
  <c r="E19" i="2"/>
  <c r="F18" i="2"/>
  <c r="G18" i="2"/>
  <c r="E18" i="2"/>
  <c r="F17" i="2"/>
  <c r="G17" i="2"/>
  <c r="F14" i="2"/>
  <c r="G14" i="2"/>
  <c r="E14" i="2"/>
  <c r="G13" i="2"/>
  <c r="F13" i="2"/>
  <c r="G12" i="2"/>
  <c r="E13" i="2"/>
  <c r="F12" i="2"/>
  <c r="E12" i="2"/>
  <c r="G5" i="2"/>
  <c r="H5" i="2"/>
  <c r="I5" i="2"/>
  <c r="H4" i="2"/>
  <c r="I4" i="2"/>
  <c r="G4" i="2"/>
  <c r="H3" i="2"/>
  <c r="I3" i="2"/>
  <c r="G3" i="2"/>
  <c r="G9" i="2" s="1"/>
  <c r="G2" i="2"/>
  <c r="H2" i="2"/>
  <c r="I2" i="2"/>
  <c r="C8" i="2"/>
  <c r="E8" i="2"/>
  <c r="D8" i="2"/>
  <c r="D7" i="2"/>
  <c r="C7" i="2"/>
  <c r="D6" i="2"/>
  <c r="J3" i="1" s="1"/>
  <c r="E6" i="2"/>
  <c r="G27" i="2" s="1"/>
  <c r="C6" i="2"/>
  <c r="D4" i="2"/>
  <c r="D5" i="2" s="1"/>
  <c r="E4" i="2"/>
  <c r="C4" i="2"/>
  <c r="C5" i="2" s="1"/>
  <c r="C2" i="2"/>
  <c r="C3" i="2" s="1"/>
  <c r="D2" i="2"/>
  <c r="D3" i="2" s="1"/>
  <c r="E2" i="2"/>
  <c r="E3" i="2" s="1"/>
  <c r="D3" i="6" l="1"/>
  <c r="G22" i="6"/>
  <c r="G18" i="6"/>
  <c r="G14" i="6"/>
  <c r="G10" i="6"/>
  <c r="G6" i="6"/>
  <c r="J23" i="6"/>
  <c r="J19" i="6"/>
  <c r="J15" i="6"/>
  <c r="J11" i="6"/>
  <c r="J7" i="6"/>
  <c r="C2" i="6"/>
  <c r="C21" i="6"/>
  <c r="C17" i="6"/>
  <c r="C13" i="6"/>
  <c r="C9" i="6"/>
  <c r="C5" i="6"/>
  <c r="D24" i="6"/>
  <c r="D20" i="6"/>
  <c r="D16" i="6"/>
  <c r="D12" i="6"/>
  <c r="D8" i="6"/>
  <c r="D4" i="6"/>
  <c r="G21" i="6"/>
  <c r="G17" i="6"/>
  <c r="G13" i="6"/>
  <c r="G9" i="6"/>
  <c r="G5" i="6"/>
  <c r="I3" i="6"/>
  <c r="J22" i="6"/>
  <c r="J18" i="6"/>
  <c r="J14" i="6"/>
  <c r="J10" i="6"/>
  <c r="J6" i="6"/>
  <c r="C24" i="6"/>
  <c r="C20" i="6"/>
  <c r="C16" i="6"/>
  <c r="C12" i="6"/>
  <c r="C8" i="6"/>
  <c r="D23" i="6"/>
  <c r="D19" i="6"/>
  <c r="D15" i="6"/>
  <c r="D11" i="6"/>
  <c r="D7" i="6"/>
  <c r="J21" i="6"/>
  <c r="J17" i="6"/>
  <c r="J13" i="6"/>
  <c r="J9" i="6"/>
  <c r="J5" i="6"/>
  <c r="N2" i="3"/>
  <c r="O2" i="3" s="1"/>
  <c r="N3" i="3"/>
  <c r="O3" i="3" s="1"/>
  <c r="N4" i="3"/>
  <c r="O4" i="3" s="1"/>
  <c r="J4" i="3"/>
  <c r="M4" i="3" s="1"/>
  <c r="J3" i="3"/>
  <c r="M3" i="3" s="1"/>
  <c r="J2" i="3"/>
  <c r="M2" i="3" s="1"/>
  <c r="I8" i="2"/>
  <c r="I9" i="2"/>
  <c r="H9" i="2"/>
  <c r="E5" i="2"/>
  <c r="J10" i="1"/>
  <c r="I7" i="2"/>
  <c r="H8" i="2"/>
  <c r="F28" i="2"/>
  <c r="G28" i="2"/>
  <c r="I6" i="2" s="1"/>
  <c r="J22" i="1"/>
  <c r="J6" i="1"/>
  <c r="H7" i="2"/>
  <c r="G7" i="2"/>
  <c r="J18" i="1"/>
  <c r="G8" i="2"/>
  <c r="F27" i="2"/>
  <c r="H6" i="2" s="1"/>
  <c r="J14" i="1"/>
  <c r="E27" i="2"/>
  <c r="E31" i="2" s="1"/>
  <c r="E28" i="2"/>
  <c r="J2" i="1"/>
  <c r="J21" i="1"/>
  <c r="J17" i="1"/>
  <c r="J13" i="1"/>
  <c r="J9" i="1"/>
  <c r="J5" i="1"/>
  <c r="J24" i="1"/>
  <c r="J20" i="1"/>
  <c r="J16" i="1"/>
  <c r="J12" i="1"/>
  <c r="J8" i="1"/>
  <c r="J4" i="1"/>
  <c r="J23" i="1"/>
  <c r="J19" i="1"/>
  <c r="J15" i="1"/>
  <c r="J11" i="1"/>
  <c r="J7" i="1"/>
  <c r="U55" i="3" l="1"/>
  <c r="U59" i="3"/>
  <c r="U63" i="3"/>
  <c r="U67" i="3"/>
  <c r="U56" i="3"/>
  <c r="U60" i="3"/>
  <c r="U64" i="3"/>
  <c r="U68" i="3"/>
  <c r="U57" i="3"/>
  <c r="U61" i="3"/>
  <c r="U65" i="3"/>
  <c r="U69" i="3"/>
  <c r="U54" i="3"/>
  <c r="U58" i="3"/>
  <c r="U62" i="3"/>
  <c r="U66" i="3"/>
  <c r="W54" i="3"/>
  <c r="Y54" i="3" s="1"/>
  <c r="W58" i="3"/>
  <c r="Y58" i="3" s="1"/>
  <c r="W62" i="3"/>
  <c r="Y62" i="3" s="1"/>
  <c r="W66" i="3"/>
  <c r="Y66" i="3" s="1"/>
  <c r="W55" i="3"/>
  <c r="Y55" i="3" s="1"/>
  <c r="W59" i="3"/>
  <c r="Y59" i="3" s="1"/>
  <c r="W63" i="3"/>
  <c r="Y63" i="3" s="1"/>
  <c r="W67" i="3"/>
  <c r="Y67" i="3" s="1"/>
  <c r="W57" i="3"/>
  <c r="Y57" i="3" s="1"/>
  <c r="W61" i="3"/>
  <c r="Y61" i="3" s="1"/>
  <c r="W65" i="3"/>
  <c r="Y65" i="3" s="1"/>
  <c r="W69" i="3"/>
  <c r="Y69" i="3" s="1"/>
  <c r="W56" i="3"/>
  <c r="Y56" i="3" s="1"/>
  <c r="W60" i="3"/>
  <c r="Y60" i="3" s="1"/>
  <c r="W64" i="3"/>
  <c r="Y64" i="3" s="1"/>
  <c r="W68" i="3"/>
  <c r="Y68" i="3" s="1"/>
  <c r="Z54" i="3"/>
  <c r="Z58" i="3"/>
  <c r="Z62" i="3"/>
  <c r="Z66" i="3"/>
  <c r="Z59" i="3"/>
  <c r="Z63" i="3"/>
  <c r="Z67" i="3"/>
  <c r="Z55" i="3"/>
  <c r="Z57" i="3"/>
  <c r="Z61" i="3"/>
  <c r="Z65" i="3"/>
  <c r="Z69" i="3"/>
  <c r="Z56" i="3"/>
  <c r="Z60" i="3"/>
  <c r="Z64" i="3"/>
  <c r="Z68" i="3"/>
  <c r="Z5" i="3"/>
  <c r="AA5" i="3" s="1"/>
  <c r="Z9" i="3"/>
  <c r="AA9" i="3" s="1"/>
  <c r="Z13" i="3"/>
  <c r="AA13" i="3" s="1"/>
  <c r="Z17" i="3"/>
  <c r="AA17" i="3" s="1"/>
  <c r="Z21" i="3"/>
  <c r="AA21" i="3" s="1"/>
  <c r="Z2" i="3"/>
  <c r="AA2" i="3" s="1"/>
  <c r="Z4" i="3"/>
  <c r="AA4" i="3" s="1"/>
  <c r="Z12" i="3"/>
  <c r="AA12" i="3" s="1"/>
  <c r="Z20" i="3"/>
  <c r="AA20" i="3" s="1"/>
  <c r="Z6" i="3"/>
  <c r="AA6" i="3" s="1"/>
  <c r="Z10" i="3"/>
  <c r="AA10" i="3" s="1"/>
  <c r="Z14" i="3"/>
  <c r="AA14" i="3" s="1"/>
  <c r="Z18" i="3"/>
  <c r="AA18" i="3" s="1"/>
  <c r="Z22" i="3"/>
  <c r="AA22" i="3" s="1"/>
  <c r="Z8" i="3"/>
  <c r="AA8" i="3" s="1"/>
  <c r="Z16" i="3"/>
  <c r="AA16" i="3" s="1"/>
  <c r="Z24" i="3"/>
  <c r="AA24" i="3" s="1"/>
  <c r="Z3" i="3"/>
  <c r="AA3" i="3" s="1"/>
  <c r="Z7" i="3"/>
  <c r="AA7" i="3" s="1"/>
  <c r="Z11" i="3"/>
  <c r="AA11" i="3" s="1"/>
  <c r="Z15" i="3"/>
  <c r="AA15" i="3" s="1"/>
  <c r="Z19" i="3"/>
  <c r="AA19" i="3" s="1"/>
  <c r="Z23" i="3"/>
  <c r="AA23" i="3" s="1"/>
  <c r="U3" i="3"/>
  <c r="V3" i="3" s="1"/>
  <c r="U7" i="3"/>
  <c r="V7" i="3" s="1"/>
  <c r="U11" i="3"/>
  <c r="V11" i="3" s="1"/>
  <c r="U15" i="3"/>
  <c r="V15" i="3" s="1"/>
  <c r="U19" i="3"/>
  <c r="V19" i="3" s="1"/>
  <c r="U23" i="3"/>
  <c r="V23" i="3" s="1"/>
  <c r="U27" i="3"/>
  <c r="U31" i="3"/>
  <c r="U35" i="3"/>
  <c r="U39" i="3"/>
  <c r="U43" i="3"/>
  <c r="U47" i="3"/>
  <c r="U51" i="3"/>
  <c r="U10" i="3"/>
  <c r="V10" i="3" s="1"/>
  <c r="U42" i="3"/>
  <c r="U4" i="3"/>
  <c r="V4" i="3" s="1"/>
  <c r="U8" i="3"/>
  <c r="V8" i="3" s="1"/>
  <c r="U12" i="3"/>
  <c r="V12" i="3" s="1"/>
  <c r="U16" i="3"/>
  <c r="V16" i="3" s="1"/>
  <c r="U20" i="3"/>
  <c r="V20" i="3" s="1"/>
  <c r="U24" i="3"/>
  <c r="V24" i="3" s="1"/>
  <c r="U28" i="3"/>
  <c r="U32" i="3"/>
  <c r="U36" i="3"/>
  <c r="U40" i="3"/>
  <c r="U44" i="3"/>
  <c r="U48" i="3"/>
  <c r="U52" i="3"/>
  <c r="U30" i="3"/>
  <c r="U46" i="3"/>
  <c r="U25" i="3"/>
  <c r="U5" i="3"/>
  <c r="V5" i="3" s="1"/>
  <c r="U9" i="3"/>
  <c r="V9" i="3" s="1"/>
  <c r="U13" i="3"/>
  <c r="V13" i="3" s="1"/>
  <c r="U17" i="3"/>
  <c r="V17" i="3" s="1"/>
  <c r="U21" i="3"/>
  <c r="V21" i="3" s="1"/>
  <c r="U2" i="3"/>
  <c r="V2" i="3" s="1"/>
  <c r="U29" i="3"/>
  <c r="U33" i="3"/>
  <c r="U37" i="3"/>
  <c r="U41" i="3"/>
  <c r="U45" i="3"/>
  <c r="U49" i="3"/>
  <c r="U53" i="3"/>
  <c r="U6" i="3"/>
  <c r="V6" i="3" s="1"/>
  <c r="U14" i="3"/>
  <c r="V14" i="3" s="1"/>
  <c r="U18" i="3"/>
  <c r="V18" i="3" s="1"/>
  <c r="U22" i="3"/>
  <c r="V22" i="3" s="1"/>
  <c r="U26" i="3"/>
  <c r="U34" i="3"/>
  <c r="U38" i="3"/>
  <c r="U50" i="3"/>
  <c r="W26" i="3"/>
  <c r="Y26" i="3" s="1"/>
  <c r="Z26" i="3" s="1"/>
  <c r="W30" i="3"/>
  <c r="Y30" i="3" s="1"/>
  <c r="Z30" i="3" s="1"/>
  <c r="W34" i="3"/>
  <c r="Y34" i="3" s="1"/>
  <c r="Z34" i="3" s="1"/>
  <c r="W38" i="3"/>
  <c r="Y38" i="3" s="1"/>
  <c r="Z38" i="3" s="1"/>
  <c r="W42" i="3"/>
  <c r="Y42" i="3" s="1"/>
  <c r="Z42" i="3" s="1"/>
  <c r="W46" i="3"/>
  <c r="Y46" i="3" s="1"/>
  <c r="Z46" i="3" s="1"/>
  <c r="W50" i="3"/>
  <c r="Y50" i="3" s="1"/>
  <c r="Z50" i="3" s="1"/>
  <c r="W25" i="3"/>
  <c r="Y25" i="3" s="1"/>
  <c r="Z25" i="3" s="1"/>
  <c r="W6" i="3"/>
  <c r="X6" i="3" s="1"/>
  <c r="W10" i="3"/>
  <c r="X10" i="3" s="1"/>
  <c r="W14" i="3"/>
  <c r="X14" i="3" s="1"/>
  <c r="W18" i="3"/>
  <c r="X18" i="3" s="1"/>
  <c r="W22" i="3"/>
  <c r="X22" i="3" s="1"/>
  <c r="W27" i="3"/>
  <c r="Y27" i="3" s="1"/>
  <c r="Z27" i="3" s="1"/>
  <c r="W31" i="3"/>
  <c r="Y31" i="3" s="1"/>
  <c r="Z31" i="3" s="1"/>
  <c r="W35" i="3"/>
  <c r="Y35" i="3" s="1"/>
  <c r="Z35" i="3" s="1"/>
  <c r="W39" i="3"/>
  <c r="Y39" i="3" s="1"/>
  <c r="Z39" i="3" s="1"/>
  <c r="W43" i="3"/>
  <c r="Y43" i="3" s="1"/>
  <c r="Z43" i="3" s="1"/>
  <c r="W47" i="3"/>
  <c r="Y47" i="3" s="1"/>
  <c r="Z47" i="3" s="1"/>
  <c r="W51" i="3"/>
  <c r="Y51" i="3" s="1"/>
  <c r="Z51" i="3" s="1"/>
  <c r="W3" i="3"/>
  <c r="X3" i="3" s="1"/>
  <c r="W7" i="3"/>
  <c r="X7" i="3" s="1"/>
  <c r="W11" i="3"/>
  <c r="X11" i="3" s="1"/>
  <c r="W15" i="3"/>
  <c r="X15" i="3" s="1"/>
  <c r="W19" i="3"/>
  <c r="X19" i="3" s="1"/>
  <c r="W23" i="3"/>
  <c r="X23" i="3" s="1"/>
  <c r="W28" i="3"/>
  <c r="Y28" i="3" s="1"/>
  <c r="Z28" i="3" s="1"/>
  <c r="W32" i="3"/>
  <c r="Y32" i="3" s="1"/>
  <c r="Z32" i="3" s="1"/>
  <c r="W36" i="3"/>
  <c r="Y36" i="3" s="1"/>
  <c r="Z36" i="3" s="1"/>
  <c r="W40" i="3"/>
  <c r="Y40" i="3" s="1"/>
  <c r="Z40" i="3" s="1"/>
  <c r="W44" i="3"/>
  <c r="Y44" i="3" s="1"/>
  <c r="Z44" i="3" s="1"/>
  <c r="W48" i="3"/>
  <c r="Y48" i="3" s="1"/>
  <c r="Z48" i="3" s="1"/>
  <c r="W52" i="3"/>
  <c r="Y52" i="3" s="1"/>
  <c r="Z52" i="3" s="1"/>
  <c r="W4" i="3"/>
  <c r="X4" i="3" s="1"/>
  <c r="W8" i="3"/>
  <c r="X8" i="3" s="1"/>
  <c r="W12" i="3"/>
  <c r="X12" i="3" s="1"/>
  <c r="W16" i="3"/>
  <c r="X16" i="3" s="1"/>
  <c r="W20" i="3"/>
  <c r="X20" i="3" s="1"/>
  <c r="W24" i="3"/>
  <c r="X24" i="3" s="1"/>
  <c r="W29" i="3"/>
  <c r="Y29" i="3" s="1"/>
  <c r="Z29" i="3" s="1"/>
  <c r="W33" i="3"/>
  <c r="Y33" i="3" s="1"/>
  <c r="Z33" i="3" s="1"/>
  <c r="W37" i="3"/>
  <c r="Y37" i="3" s="1"/>
  <c r="Z37" i="3" s="1"/>
  <c r="W41" i="3"/>
  <c r="Y41" i="3" s="1"/>
  <c r="Z41" i="3" s="1"/>
  <c r="W45" i="3"/>
  <c r="Y45" i="3" s="1"/>
  <c r="Z45" i="3" s="1"/>
  <c r="W49" i="3"/>
  <c r="Y49" i="3" s="1"/>
  <c r="Z49" i="3" s="1"/>
  <c r="W53" i="3"/>
  <c r="Y53" i="3" s="1"/>
  <c r="Z53" i="3" s="1"/>
  <c r="W5" i="3"/>
  <c r="X5" i="3" s="1"/>
  <c r="W9" i="3"/>
  <c r="X9" i="3" s="1"/>
  <c r="W13" i="3"/>
  <c r="X13" i="3" s="1"/>
  <c r="W17" i="3"/>
  <c r="X17" i="3" s="1"/>
  <c r="W21" i="3"/>
  <c r="X21" i="3" s="1"/>
  <c r="W2" i="3"/>
  <c r="X2" i="3" s="1"/>
  <c r="J25" i="1"/>
  <c r="G6" i="2"/>
  <c r="P4" i="3" l="1"/>
  <c r="Q4" i="3" s="1"/>
  <c r="P3" i="3"/>
  <c r="Q3" i="3" s="1"/>
  <c r="P2" i="3"/>
  <c r="Q2" i="3" s="1"/>
</calcChain>
</file>

<file path=xl/sharedStrings.xml><?xml version="1.0" encoding="utf-8"?>
<sst xmlns="http://schemas.openxmlformats.org/spreadsheetml/2006/main" count="86" uniqueCount="59">
  <si>
    <t>min</t>
  </si>
  <si>
    <t>data_min</t>
  </si>
  <si>
    <t>max</t>
  </si>
  <si>
    <t>data_max</t>
  </si>
  <si>
    <t>współczynik zmienosć</t>
  </si>
  <si>
    <t>tablica korelecji:</t>
  </si>
  <si>
    <t>kwartyl pierwszy</t>
  </si>
  <si>
    <t>kwartyl trzeci</t>
  </si>
  <si>
    <t>mediana</t>
  </si>
  <si>
    <t>dominanta</t>
  </si>
  <si>
    <t>rozstęp</t>
  </si>
  <si>
    <t>odstep miedzy kwartalowy</t>
  </si>
  <si>
    <t>przedzial typowy</t>
  </si>
  <si>
    <t>współczynik ekscesu</t>
  </si>
  <si>
    <t>pszenica 1 dt w zl</t>
  </si>
  <si>
    <t>bułka pszenna - za 50g w ZŁ</t>
  </si>
  <si>
    <t>Średnia cena w roku baryłki ropy na świecie w $</t>
  </si>
  <si>
    <t>kurtoza</t>
  </si>
  <si>
    <t>wariancja</t>
  </si>
  <si>
    <t>średnia wartość</t>
  </si>
  <si>
    <t>odch standardowe</t>
  </si>
  <si>
    <t>Skośność/klasyczny współczynik asymetri</t>
  </si>
  <si>
    <t>tablica kowariancji Cov(X,Y)</t>
  </si>
  <si>
    <t>COV(X,Y)</t>
  </si>
  <si>
    <t>S_X</t>
  </si>
  <si>
    <t>b=cov/(s_x^2)</t>
  </si>
  <si>
    <t>a=y^{-} - bx^{-}</t>
  </si>
  <si>
    <t>R^2</t>
  </si>
  <si>
    <t xml:space="preserve">Odchylenie resztowe </t>
  </si>
  <si>
    <t>Współczynnik zmienności  resztowej</t>
  </si>
  <si>
    <t>ROK</t>
  </si>
  <si>
    <t>waee</t>
  </si>
  <si>
    <t>przedzial typowy od</t>
  </si>
  <si>
    <t>Przedział typowy do</t>
  </si>
  <si>
    <t>(X-data Y-Cena Bułki)</t>
  </si>
  <si>
    <t>(X -data- Y-cena przenicy)</t>
  </si>
  <si>
    <t>y srednia</t>
  </si>
  <si>
    <t>x srednia</t>
  </si>
  <si>
    <t>Data</t>
  </si>
  <si>
    <t>Q</t>
  </si>
  <si>
    <t>s-y</t>
  </si>
  <si>
    <t>Cena teoretyczna Bułki(od daty)</t>
  </si>
  <si>
    <t>Cena teoretyczna Przenicy (od DATA)</t>
  </si>
  <si>
    <t>e_i  (data, Bułka)</t>
  </si>
  <si>
    <t>e_i  (data, przenica)</t>
  </si>
  <si>
    <t>Cena teoretyczna Bułki(od ceny przenicy)</t>
  </si>
  <si>
    <t>e_i( przenica, Bułka)</t>
  </si>
  <si>
    <t>x-cena  przenicy y-cena bułki</t>
  </si>
  <si>
    <t>CENA przenicy</t>
  </si>
  <si>
    <t>Cena bułki</t>
  </si>
  <si>
    <t>Cena przenicy</t>
  </si>
  <si>
    <t>Cena baryłki ropy</t>
  </si>
  <si>
    <t>null</t>
  </si>
  <si>
    <t xml:space="preserve"> Przyrost roczny jednopodstwowy względny</t>
  </si>
  <si>
    <t>Przyrost roczny jednopodstwowy względny</t>
  </si>
  <si>
    <t>Przyrost łańcuchowy względny</t>
  </si>
  <si>
    <t>histogramy</t>
  </si>
  <si>
    <t>wykresy pudełkowe</t>
  </si>
  <si>
    <t>wykres liniowy z linia trendu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</si>
</sst>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0000000000000000"/>
  </numFmts>
  <fonts count="9" x14ac:knownFonts="1">
    <font>
      <sz val="11"/>
      <color theme="1"/>
      <name val="Calibri"/>
      <family val="2"/>
      <charset val="238"/>
      <scheme val="minor"/>
    </font>
    <font>
      <sz val="11"/>
      <name val="Calibri"/>
    </font>
    <font>
      <sz val="11"/>
      <color rgb="FF000000"/>
      <name val="Calibri"/>
    </font>
    <font>
      <b/>
      <sz val="14"/>
      <color rgb="FF000000"/>
      <name val="Roboto"/>
    </font>
    <font>
      <sz val="10"/>
      <name val="Arial"/>
      <family val="2"/>
      <charset val="238"/>
    </font>
    <font>
      <sz val="11"/>
      <color rgb="FFFF0000"/>
      <name val="Calibri"/>
      <family val="2"/>
      <charset val="238"/>
      <scheme val="minor"/>
    </font>
    <font>
      <sz val="11"/>
      <color rgb="FF7030A0"/>
      <name val="Calibri"/>
      <family val="2"/>
      <charset val="238"/>
      <scheme val="minor"/>
    </font>
    <font>
      <sz val="11"/>
      <color theme="0"/>
      <name val="Calibri"/>
      <family val="2"/>
      <charset val="238"/>
      <scheme val="minor"/>
    </font>
    <font>
      <sz val="11"/>
      <name val="Calibri"/>
      <family val="2"/>
      <charset val="238"/>
      <scheme val="minor"/>
    </font>
  </fonts>
  <fills count="14">
    <fill>
      <patternFill patternType="none"/>
    </fill>
    <fill>
      <patternFill patternType="gray125"/>
    </fill>
    <fill>
      <patternFill patternType="solid">
        <fgColor rgb="FFD3D3D3"/>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0" fontId="1" fillId="0" borderId="0"/>
    <xf numFmtId="0" fontId="2" fillId="2" borderId="2">
      <alignment horizontal="left" vertical="center" wrapText="1"/>
    </xf>
    <xf numFmtId="0" fontId="4" fillId="0" borderId="0" applyNumberFormat="0" applyFont="0" applyFill="0" applyBorder="0" applyAlignment="0" applyProtection="0"/>
  </cellStyleXfs>
  <cellXfs count="66">
    <xf numFmtId="0" fontId="0" fillId="0" borderId="0" xfId="0"/>
    <xf numFmtId="4" fontId="0" fillId="0" borderId="0" xfId="0" applyNumberFormat="1"/>
    <xf numFmtId="2" fontId="0" fillId="0" borderId="0" xfId="0" applyNumberFormat="1"/>
    <xf numFmtId="0" fontId="3" fillId="0" borderId="0" xfId="0" applyFont="1"/>
    <xf numFmtId="0" fontId="0" fillId="3" borderId="1" xfId="0" applyFill="1" applyBorder="1"/>
    <xf numFmtId="0" fontId="0" fillId="3" borderId="1" xfId="0" applyFill="1" applyBorder="1" applyAlignment="1">
      <alignment wrapText="1"/>
    </xf>
    <xf numFmtId="0" fontId="5" fillId="0" borderId="0" xfId="0" applyFont="1"/>
    <xf numFmtId="0" fontId="0" fillId="6" borderId="1" xfId="0" applyFill="1" applyBorder="1" applyAlignment="1">
      <alignment vertical="center" wrapText="1"/>
    </xf>
    <xf numFmtId="2" fontId="0" fillId="6" borderId="1" xfId="0" applyNumberFormat="1" applyFill="1" applyBorder="1" applyAlignment="1">
      <alignment vertical="center" wrapText="1"/>
    </xf>
    <xf numFmtId="0" fontId="7" fillId="0" borderId="0" xfId="0" applyFont="1"/>
    <xf numFmtId="4" fontId="7" fillId="0" borderId="0" xfId="0" applyNumberFormat="1" applyFont="1"/>
    <xf numFmtId="165" fontId="7" fillId="0" borderId="0" xfId="0" applyNumberFormat="1" applyFont="1"/>
    <xf numFmtId="2" fontId="7" fillId="0" borderId="0" xfId="0" applyNumberFormat="1" applyFont="1"/>
    <xf numFmtId="0" fontId="0" fillId="3" borderId="0" xfId="0" applyFill="1"/>
    <xf numFmtId="0" fontId="0" fillId="8" borderId="0" xfId="0" applyFill="1"/>
    <xf numFmtId="0" fontId="0" fillId="6" borderId="0" xfId="0" applyFill="1"/>
    <xf numFmtId="0" fontId="0" fillId="6" borderId="1" xfId="0" applyFill="1" applyBorder="1"/>
    <xf numFmtId="0" fontId="0" fillId="8" borderId="1" xfId="0" applyFill="1" applyBorder="1"/>
    <xf numFmtId="0" fontId="0" fillId="7" borderId="0" xfId="0" applyFill="1"/>
    <xf numFmtId="0" fontId="0" fillId="7" borderId="1" xfId="0" applyFill="1" applyBorder="1"/>
    <xf numFmtId="4" fontId="0" fillId="6" borderId="1" xfId="0" applyNumberFormat="1" applyFill="1" applyBorder="1"/>
    <xf numFmtId="4" fontId="0" fillId="8" borderId="1" xfId="0" applyNumberFormat="1" applyFill="1" applyBorder="1"/>
    <xf numFmtId="4" fontId="0" fillId="3" borderId="1" xfId="0" applyNumberFormat="1" applyFill="1" applyBorder="1"/>
    <xf numFmtId="10" fontId="0" fillId="6" borderId="1" xfId="0" applyNumberFormat="1" applyFill="1" applyBorder="1"/>
    <xf numFmtId="10" fontId="0" fillId="8" borderId="1" xfId="0" applyNumberFormat="1" applyFill="1" applyBorder="1"/>
    <xf numFmtId="10" fontId="0" fillId="3" borderId="1" xfId="0" applyNumberFormat="1" applyFill="1" applyBorder="1"/>
    <xf numFmtId="4" fontId="0" fillId="6" borderId="3" xfId="0" applyNumberFormat="1" applyFill="1" applyBorder="1"/>
    <xf numFmtId="0" fontId="0" fillId="6" borderId="3" xfId="0" applyFill="1" applyBorder="1"/>
    <xf numFmtId="0" fontId="0" fillId="7" borderId="4" xfId="0" applyFill="1" applyBorder="1"/>
    <xf numFmtId="0" fontId="0" fillId="6" borderId="5" xfId="0" applyFill="1" applyBorder="1"/>
    <xf numFmtId="0" fontId="0" fillId="8" borderId="4" xfId="0" applyFill="1" applyBorder="1"/>
    <xf numFmtId="0" fontId="0" fillId="3" borderId="4" xfId="0" applyFill="1" applyBorder="1"/>
    <xf numFmtId="0" fontId="0" fillId="0" borderId="6" xfId="0" applyBorder="1"/>
    <xf numFmtId="0" fontId="0" fillId="5" borderId="1" xfId="0" applyFill="1" applyBorder="1"/>
    <xf numFmtId="0" fontId="0" fillId="9" borderId="1" xfId="0" applyFill="1" applyBorder="1"/>
    <xf numFmtId="0" fontId="0" fillId="9" borderId="1" xfId="0" applyFill="1" applyBorder="1" applyAlignment="1">
      <alignment wrapText="1"/>
    </xf>
    <xf numFmtId="0" fontId="0" fillId="10" borderId="1" xfId="0" applyFill="1" applyBorder="1"/>
    <xf numFmtId="0" fontId="0" fillId="8" borderId="1" xfId="0" applyFill="1" applyBorder="1" applyAlignment="1">
      <alignment vertical="top" wrapText="1"/>
    </xf>
    <xf numFmtId="164" fontId="0" fillId="8" borderId="1" xfId="0" applyNumberFormat="1" applyFill="1" applyBorder="1"/>
    <xf numFmtId="164" fontId="0" fillId="6" borderId="1" xfId="0" applyNumberFormat="1" applyFill="1" applyBorder="1"/>
    <xf numFmtId="0" fontId="0" fillId="6" borderId="1" xfId="0" applyFill="1" applyBorder="1" applyAlignment="1">
      <alignment vertical="top" wrapText="1"/>
    </xf>
    <xf numFmtId="0" fontId="0" fillId="6" borderId="1" xfId="0" applyFill="1" applyBorder="1" applyAlignment="1">
      <alignment wrapText="1"/>
    </xf>
    <xf numFmtId="0" fontId="0" fillId="8" borderId="1" xfId="0" applyFill="1" applyBorder="1" applyAlignment="1">
      <alignment vertical="center" wrapText="1"/>
    </xf>
    <xf numFmtId="2" fontId="0" fillId="8" borderId="1" xfId="0" applyNumberFormat="1" applyFill="1" applyBorder="1" applyAlignment="1">
      <alignment vertical="center" wrapText="1"/>
    </xf>
    <xf numFmtId="14" fontId="0" fillId="10" borderId="1" xfId="0" applyNumberFormat="1" applyFill="1" applyBorder="1" applyAlignment="1">
      <alignment vertical="top"/>
    </xf>
    <xf numFmtId="0" fontId="5" fillId="11" borderId="0" xfId="0" applyFont="1" applyFill="1"/>
    <xf numFmtId="0" fontId="0" fillId="12" borderId="1" xfId="0" applyFill="1" applyBorder="1" applyAlignment="1">
      <alignment wrapText="1"/>
    </xf>
    <xf numFmtId="0" fontId="0" fillId="12" borderId="1" xfId="0" applyFill="1" applyBorder="1"/>
    <xf numFmtId="0" fontId="5" fillId="12" borderId="1" xfId="0" applyFont="1" applyFill="1" applyBorder="1"/>
    <xf numFmtId="0" fontId="6" fillId="6" borderId="1" xfId="0" applyFont="1" applyFill="1" applyBorder="1"/>
    <xf numFmtId="0" fontId="5" fillId="10" borderId="1" xfId="0" applyFont="1" applyFill="1" applyBorder="1"/>
    <xf numFmtId="0" fontId="6" fillId="8" borderId="1" xfId="0" applyFont="1" applyFill="1" applyBorder="1"/>
    <xf numFmtId="14" fontId="0" fillId="5" borderId="1" xfId="0" applyNumberFormat="1" applyFill="1" applyBorder="1" applyAlignment="1">
      <alignment vertical="center"/>
    </xf>
    <xf numFmtId="0" fontId="8" fillId="6" borderId="1" xfId="0" applyFont="1" applyFill="1" applyBorder="1" applyAlignment="1">
      <alignment vertical="center" wrapText="1"/>
    </xf>
    <xf numFmtId="0" fontId="8" fillId="4" borderId="1" xfId="0" applyFont="1" applyFill="1" applyBorder="1" applyAlignment="1">
      <alignment vertical="center" wrapText="1"/>
    </xf>
    <xf numFmtId="0" fontId="0" fillId="12" borderId="1" xfId="0" applyFill="1" applyBorder="1" applyAlignment="1">
      <alignment vertical="center" wrapText="1"/>
    </xf>
    <xf numFmtId="0" fontId="0" fillId="3" borderId="1" xfId="0" applyFill="1" applyBorder="1" applyAlignment="1">
      <alignment vertical="center" wrapText="1"/>
    </xf>
    <xf numFmtId="0" fontId="0" fillId="13" borderId="1" xfId="0" applyFill="1" applyBorder="1" applyAlignment="1">
      <alignment vertical="center" wrapText="1"/>
    </xf>
    <xf numFmtId="0" fontId="8" fillId="6" borderId="1" xfId="0" applyFont="1" applyFill="1" applyBorder="1" applyAlignment="1">
      <alignment wrapText="1"/>
    </xf>
    <xf numFmtId="0" fontId="0" fillId="8" borderId="1" xfId="0" applyFill="1" applyBorder="1" applyAlignment="1">
      <alignment wrapText="1"/>
    </xf>
    <xf numFmtId="4" fontId="8" fillId="4" borderId="1" xfId="0" applyNumberFormat="1" applyFont="1" applyFill="1" applyBorder="1"/>
    <xf numFmtId="10" fontId="8" fillId="6" borderId="1" xfId="0" applyNumberFormat="1" applyFont="1" applyFill="1" applyBorder="1"/>
    <xf numFmtId="0" fontId="8" fillId="6" borderId="1" xfId="0" applyFont="1" applyFill="1" applyBorder="1"/>
    <xf numFmtId="4" fontId="0" fillId="12" borderId="1" xfId="0" applyNumberFormat="1" applyFill="1" applyBorder="1"/>
    <xf numFmtId="0" fontId="0" fillId="13" borderId="1" xfId="0" applyFill="1" applyBorder="1"/>
    <xf numFmtId="10" fontId="0" fillId="0" borderId="0" xfId="0" applyNumberFormat="1"/>
  </cellXfs>
  <cellStyles count="4">
    <cellStyle name="Kolumna" xfId="2" xr:uid="{B85E7DBF-E89F-49A7-A037-DC4D549ED042}"/>
    <cellStyle name="Normalny" xfId="0" builtinId="0"/>
    <cellStyle name="Normalny 2" xfId="1" xr:uid="{83B547FC-0CE1-415F-9DC0-D197544CA913}"/>
    <cellStyle name="Normalny 2 2" xfId="3" xr:uid="{ED8D9A8C-FEBC-4821-9C88-759383BB8F9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Cena</a:t>
            </a:r>
            <a:r>
              <a:rPr lang="pl-PL" baseline="0"/>
              <a:t> pszenicy </a:t>
            </a:r>
            <a:r>
              <a:rPr lang="pl-PL"/>
              <a:t>od daty</a:t>
            </a:r>
          </a:p>
        </c:rich>
      </c:tx>
      <c:layout>
        <c:manualLayout>
          <c:xMode val="edge"/>
          <c:yMode val="edge"/>
          <c:x val="0.1609582239720034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5.8537401574803152E-2"/>
                  <c:y val="-0.301724263633712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rendlineLbl>
          </c:trendline>
          <c:xVal>
            <c:numRef>
              <c:f>Dane!$H$2:$H$24</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xVal>
          <c:yVal>
            <c:numRef>
              <c:f>Dane!$E$2:$E$24</c:f>
              <c:numCache>
                <c:formatCode>General</c:formatCode>
                <c:ptCount val="23"/>
                <c:pt idx="0">
                  <c:v>42.98</c:v>
                </c:pt>
                <c:pt idx="1">
                  <c:v>50.82</c:v>
                </c:pt>
                <c:pt idx="2">
                  <c:v>50.45</c:v>
                </c:pt>
                <c:pt idx="3">
                  <c:v>43.61</c:v>
                </c:pt>
                <c:pt idx="4">
                  <c:v>45.51</c:v>
                </c:pt>
                <c:pt idx="5">
                  <c:v>47.19</c:v>
                </c:pt>
                <c:pt idx="6">
                  <c:v>36.69</c:v>
                </c:pt>
                <c:pt idx="7">
                  <c:v>44.76</c:v>
                </c:pt>
                <c:pt idx="8">
                  <c:v>70.680000000000007</c:v>
                </c:pt>
                <c:pt idx="9">
                  <c:v>64.239999999999995</c:v>
                </c:pt>
                <c:pt idx="10">
                  <c:v>48.26</c:v>
                </c:pt>
                <c:pt idx="11">
                  <c:v>59.84</c:v>
                </c:pt>
                <c:pt idx="12">
                  <c:v>81.99</c:v>
                </c:pt>
                <c:pt idx="13">
                  <c:v>89.34</c:v>
                </c:pt>
                <c:pt idx="14">
                  <c:v>79.67</c:v>
                </c:pt>
                <c:pt idx="15">
                  <c:v>68.36</c:v>
                </c:pt>
                <c:pt idx="16">
                  <c:v>66.83</c:v>
                </c:pt>
                <c:pt idx="17">
                  <c:v>62.02</c:v>
                </c:pt>
                <c:pt idx="18">
                  <c:v>66.44</c:v>
                </c:pt>
                <c:pt idx="19">
                  <c:v>72.62</c:v>
                </c:pt>
                <c:pt idx="20">
                  <c:v>72.260000000000005</c:v>
                </c:pt>
                <c:pt idx="21">
                  <c:v>74.86</c:v>
                </c:pt>
                <c:pt idx="22">
                  <c:v>96.76</c:v>
                </c:pt>
              </c:numCache>
            </c:numRef>
          </c:yVal>
          <c:smooth val="0"/>
          <c:extLst>
            <c:ext xmlns:c16="http://schemas.microsoft.com/office/drawing/2014/chart" uri="{C3380CC4-5D6E-409C-BE32-E72D297353CC}">
              <c16:uniqueId val="{00000004-47DF-402A-97E1-E1A2DBE2FA0F}"/>
            </c:ext>
          </c:extLst>
        </c:ser>
        <c:dLbls>
          <c:showLegendKey val="0"/>
          <c:showVal val="0"/>
          <c:showCatName val="0"/>
          <c:showSerName val="0"/>
          <c:showPercent val="0"/>
          <c:showBubbleSize val="0"/>
        </c:dLbls>
        <c:axId val="20813712"/>
        <c:axId val="15329408"/>
      </c:scatterChart>
      <c:valAx>
        <c:axId val="2081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329408"/>
        <c:crosses val="autoZero"/>
        <c:crossBetween val="midCat"/>
      </c:valAx>
      <c:valAx>
        <c:axId val="1532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813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Cena</a:t>
            </a:r>
            <a:r>
              <a:rPr lang="pl-PL" baseline="0"/>
              <a:t> bułki od daty</a:t>
            </a:r>
            <a:endParaRPr lang="pl-PL"/>
          </a:p>
        </c:rich>
      </c:tx>
      <c:layout>
        <c:manualLayout>
          <c:xMode val="edge"/>
          <c:yMode val="edge"/>
          <c:x val="0.2785623359580052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6.0483595800524932E-2"/>
                  <c:y val="-0.2074325605132691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rendlineLbl>
          </c:trendline>
          <c:trendline>
            <c:spPr>
              <a:ln w="19050" cap="rnd">
                <a:solidFill>
                  <a:schemeClr val="accent1"/>
                </a:solidFill>
                <a:prstDash val="sysDot"/>
              </a:ln>
              <a:effectLst/>
            </c:spPr>
            <c:trendlineType val="linear"/>
            <c:dispRSqr val="1"/>
            <c:dispEq val="0"/>
            <c:trendlineLbl>
              <c:layout>
                <c:manualLayout>
                  <c:x val="-1.7113517060367456E-2"/>
                  <c:y val="-0.1240992271799358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rendlineLbl>
          </c:trendline>
          <c:xVal>
            <c:numRef>
              <c:f>Dane!$H$2:$H$24</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xVal>
          <c:yVal>
            <c:numRef>
              <c:f>Dane!$D$2:$D$24</c:f>
              <c:numCache>
                <c:formatCode>#,##0.00</c:formatCode>
                <c:ptCount val="23"/>
                <c:pt idx="0">
                  <c:v>0.23</c:v>
                </c:pt>
                <c:pt idx="1">
                  <c:v>0.27</c:v>
                </c:pt>
                <c:pt idx="2">
                  <c:v>0.3</c:v>
                </c:pt>
                <c:pt idx="3">
                  <c:v>0.28999999999999998</c:v>
                </c:pt>
                <c:pt idx="4">
                  <c:v>0.3</c:v>
                </c:pt>
                <c:pt idx="5">
                  <c:v>0.31</c:v>
                </c:pt>
                <c:pt idx="6">
                  <c:v>0.3</c:v>
                </c:pt>
                <c:pt idx="7">
                  <c:v>0.3</c:v>
                </c:pt>
                <c:pt idx="8">
                  <c:v>0.35</c:v>
                </c:pt>
                <c:pt idx="9">
                  <c:v>0.39</c:v>
                </c:pt>
                <c:pt idx="10">
                  <c:v>0.39</c:v>
                </c:pt>
                <c:pt idx="11">
                  <c:v>0.4</c:v>
                </c:pt>
                <c:pt idx="12">
                  <c:v>0.44</c:v>
                </c:pt>
                <c:pt idx="13">
                  <c:v>0.44</c:v>
                </c:pt>
                <c:pt idx="14">
                  <c:v>0.43</c:v>
                </c:pt>
                <c:pt idx="15">
                  <c:v>0.42</c:v>
                </c:pt>
                <c:pt idx="16">
                  <c:v>0.41</c:v>
                </c:pt>
                <c:pt idx="17">
                  <c:v>0.41</c:v>
                </c:pt>
                <c:pt idx="18">
                  <c:v>0.42</c:v>
                </c:pt>
                <c:pt idx="19">
                  <c:v>0.44</c:v>
                </c:pt>
                <c:pt idx="20">
                  <c:v>0.48</c:v>
                </c:pt>
                <c:pt idx="21">
                  <c:v>0.53</c:v>
                </c:pt>
                <c:pt idx="22">
                  <c:v>0.56000000000000005</c:v>
                </c:pt>
              </c:numCache>
            </c:numRef>
          </c:yVal>
          <c:smooth val="0"/>
          <c:extLst>
            <c:ext xmlns:c16="http://schemas.microsoft.com/office/drawing/2014/chart" uri="{C3380CC4-5D6E-409C-BE32-E72D297353CC}">
              <c16:uniqueId val="{00000003-5135-4F56-9096-AA68F1306EC0}"/>
            </c:ext>
          </c:extLst>
        </c:ser>
        <c:dLbls>
          <c:showLegendKey val="0"/>
          <c:showVal val="0"/>
          <c:showCatName val="0"/>
          <c:showSerName val="0"/>
          <c:showPercent val="0"/>
          <c:showBubbleSize val="0"/>
        </c:dLbls>
        <c:axId val="2011957840"/>
        <c:axId val="2000141808"/>
      </c:scatterChart>
      <c:valAx>
        <c:axId val="2011957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00141808"/>
        <c:crosses val="autoZero"/>
        <c:crossBetween val="midCat"/>
      </c:valAx>
      <c:valAx>
        <c:axId val="2000141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11957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Cena</a:t>
            </a:r>
            <a:r>
              <a:rPr lang="pl-PL" baseline="0"/>
              <a:t> pszenicy </a:t>
            </a:r>
            <a:r>
              <a:rPr lang="pl-PL"/>
              <a:t>od daty</a:t>
            </a:r>
          </a:p>
        </c:rich>
      </c:tx>
      <c:layout>
        <c:manualLayout>
          <c:xMode val="edge"/>
          <c:yMode val="edge"/>
          <c:x val="0.1609582239720034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lineMarker"/>
        <c:varyColors val="0"/>
        <c:ser>
          <c:idx val="0"/>
          <c:order val="0"/>
          <c:spPr>
            <a:ln w="25400" cap="rnd">
              <a:noFill/>
              <a:round/>
            </a:ln>
            <a:effectLst/>
          </c:spPr>
          <c:marker>
            <c:symbol val="circle"/>
            <c:size val="5"/>
            <c:spPr>
              <a:solidFill>
                <a:schemeClr val="accent4">
                  <a:lumMod val="60000"/>
                  <a:lumOff val="40000"/>
                </a:schemeClr>
              </a:solidFill>
              <a:ln w="9525">
                <a:solidFill>
                  <a:schemeClr val="accent6"/>
                </a:solidFill>
              </a:ln>
              <a:effectLst/>
            </c:spPr>
          </c:marker>
          <c:trendline>
            <c:spPr>
              <a:ln w="19050" cap="rnd">
                <a:solidFill>
                  <a:schemeClr val="accent6">
                    <a:lumMod val="20000"/>
                    <a:lumOff val="80000"/>
                    <a:alpha val="99000"/>
                  </a:schemeClr>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6">
                    <a:lumMod val="50000"/>
                  </a:schemeClr>
                </a:solidFill>
                <a:prstDash val="sysDot"/>
              </a:ln>
              <a:effectLst/>
            </c:spPr>
            <c:trendlineType val="linear"/>
            <c:dispRSqr val="1"/>
            <c:dispEq val="1"/>
            <c:trendlineLbl>
              <c:layout>
                <c:manualLayout>
                  <c:x val="5.8537401574803152E-2"/>
                  <c:y val="-0.301724263633712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rendlineLbl>
          </c:trendline>
          <c:xVal>
            <c:numRef>
              <c:f>Dane!$H$2:$H$24</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xVal>
          <c:yVal>
            <c:numRef>
              <c:f>Dane!$E$2:$E$24</c:f>
              <c:numCache>
                <c:formatCode>General</c:formatCode>
                <c:ptCount val="23"/>
                <c:pt idx="0">
                  <c:v>42.98</c:v>
                </c:pt>
                <c:pt idx="1">
                  <c:v>50.82</c:v>
                </c:pt>
                <c:pt idx="2">
                  <c:v>50.45</c:v>
                </c:pt>
                <c:pt idx="3">
                  <c:v>43.61</c:v>
                </c:pt>
                <c:pt idx="4">
                  <c:v>45.51</c:v>
                </c:pt>
                <c:pt idx="5">
                  <c:v>47.19</c:v>
                </c:pt>
                <c:pt idx="6">
                  <c:v>36.69</c:v>
                </c:pt>
                <c:pt idx="7">
                  <c:v>44.76</c:v>
                </c:pt>
                <c:pt idx="8">
                  <c:v>70.680000000000007</c:v>
                </c:pt>
                <c:pt idx="9">
                  <c:v>64.239999999999995</c:v>
                </c:pt>
                <c:pt idx="10">
                  <c:v>48.26</c:v>
                </c:pt>
                <c:pt idx="11">
                  <c:v>59.84</c:v>
                </c:pt>
                <c:pt idx="12">
                  <c:v>81.99</c:v>
                </c:pt>
                <c:pt idx="13">
                  <c:v>89.34</c:v>
                </c:pt>
                <c:pt idx="14">
                  <c:v>79.67</c:v>
                </c:pt>
                <c:pt idx="15">
                  <c:v>68.36</c:v>
                </c:pt>
                <c:pt idx="16">
                  <c:v>66.83</c:v>
                </c:pt>
                <c:pt idx="17">
                  <c:v>62.02</c:v>
                </c:pt>
                <c:pt idx="18">
                  <c:v>66.44</c:v>
                </c:pt>
                <c:pt idx="19">
                  <c:v>72.62</c:v>
                </c:pt>
                <c:pt idx="20">
                  <c:v>72.260000000000005</c:v>
                </c:pt>
                <c:pt idx="21">
                  <c:v>74.86</c:v>
                </c:pt>
                <c:pt idx="22">
                  <c:v>96.76</c:v>
                </c:pt>
              </c:numCache>
            </c:numRef>
          </c:yVal>
          <c:smooth val="0"/>
          <c:extLst>
            <c:ext xmlns:c16="http://schemas.microsoft.com/office/drawing/2014/chart" uri="{C3380CC4-5D6E-409C-BE32-E72D297353CC}">
              <c16:uniqueId val="{00000004-8240-4665-B079-180889837979}"/>
            </c:ext>
          </c:extLst>
        </c:ser>
        <c:dLbls>
          <c:showLegendKey val="0"/>
          <c:showVal val="0"/>
          <c:showCatName val="0"/>
          <c:showSerName val="0"/>
          <c:showPercent val="0"/>
          <c:showBubbleSize val="0"/>
        </c:dLbls>
        <c:axId val="20813712"/>
        <c:axId val="15329408"/>
      </c:scatterChart>
      <c:valAx>
        <c:axId val="2081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329408"/>
        <c:crosses val="autoZero"/>
        <c:crossBetween val="midCat"/>
      </c:valAx>
      <c:valAx>
        <c:axId val="1532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813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Cena</a:t>
            </a:r>
            <a:r>
              <a:rPr lang="pl-PL" baseline="0"/>
              <a:t> bułki od daty</a:t>
            </a:r>
            <a:endParaRPr lang="pl-PL"/>
          </a:p>
        </c:rich>
      </c:tx>
      <c:layout>
        <c:manualLayout>
          <c:xMode val="edge"/>
          <c:yMode val="edge"/>
          <c:x val="0.2785623359580052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lineMarker"/>
        <c:varyColors val="0"/>
        <c:ser>
          <c:idx val="0"/>
          <c:order val="0"/>
          <c:spPr>
            <a:ln w="25400" cap="rnd">
              <a:noFill/>
              <a:round/>
            </a:ln>
            <a:effectLst/>
          </c:spPr>
          <c:marker>
            <c:symbol val="circle"/>
            <c:size val="5"/>
            <c:spPr>
              <a:solidFill>
                <a:schemeClr val="accent4">
                  <a:lumMod val="60000"/>
                  <a:lumOff val="40000"/>
                </a:schemeClr>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6.0483595800524932E-2"/>
                  <c:y val="-0.2074325605132691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rendlineLbl>
          </c:trendline>
          <c:trendline>
            <c:spPr>
              <a:ln w="19050" cap="rnd">
                <a:solidFill>
                  <a:schemeClr val="accent4">
                    <a:lumMod val="50000"/>
                  </a:schemeClr>
                </a:solidFill>
                <a:prstDash val="sysDot"/>
              </a:ln>
              <a:effectLst/>
            </c:spPr>
            <c:trendlineType val="linear"/>
            <c:dispRSqr val="1"/>
            <c:dispEq val="0"/>
            <c:trendlineLbl>
              <c:layout>
                <c:manualLayout>
                  <c:x val="-1.7113517060367456E-2"/>
                  <c:y val="-0.1240992271799358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rendlineLbl>
          </c:trendline>
          <c:xVal>
            <c:numRef>
              <c:f>Dane!$H$2:$H$24</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xVal>
          <c:yVal>
            <c:numRef>
              <c:f>Dane!$D$2:$D$24</c:f>
              <c:numCache>
                <c:formatCode>#,##0.00</c:formatCode>
                <c:ptCount val="23"/>
                <c:pt idx="0">
                  <c:v>0.23</c:v>
                </c:pt>
                <c:pt idx="1">
                  <c:v>0.27</c:v>
                </c:pt>
                <c:pt idx="2">
                  <c:v>0.3</c:v>
                </c:pt>
                <c:pt idx="3">
                  <c:v>0.28999999999999998</c:v>
                </c:pt>
                <c:pt idx="4">
                  <c:v>0.3</c:v>
                </c:pt>
                <c:pt idx="5">
                  <c:v>0.31</c:v>
                </c:pt>
                <c:pt idx="6">
                  <c:v>0.3</c:v>
                </c:pt>
                <c:pt idx="7">
                  <c:v>0.3</c:v>
                </c:pt>
                <c:pt idx="8">
                  <c:v>0.35</c:v>
                </c:pt>
                <c:pt idx="9">
                  <c:v>0.39</c:v>
                </c:pt>
                <c:pt idx="10">
                  <c:v>0.39</c:v>
                </c:pt>
                <c:pt idx="11">
                  <c:v>0.4</c:v>
                </c:pt>
                <c:pt idx="12">
                  <c:v>0.44</c:v>
                </c:pt>
                <c:pt idx="13">
                  <c:v>0.44</c:v>
                </c:pt>
                <c:pt idx="14">
                  <c:v>0.43</c:v>
                </c:pt>
                <c:pt idx="15">
                  <c:v>0.42</c:v>
                </c:pt>
                <c:pt idx="16">
                  <c:v>0.41</c:v>
                </c:pt>
                <c:pt idx="17">
                  <c:v>0.41</c:v>
                </c:pt>
                <c:pt idx="18">
                  <c:v>0.42</c:v>
                </c:pt>
                <c:pt idx="19">
                  <c:v>0.44</c:v>
                </c:pt>
                <c:pt idx="20">
                  <c:v>0.48</c:v>
                </c:pt>
                <c:pt idx="21">
                  <c:v>0.53</c:v>
                </c:pt>
                <c:pt idx="22">
                  <c:v>0.56000000000000005</c:v>
                </c:pt>
              </c:numCache>
            </c:numRef>
          </c:yVal>
          <c:smooth val="0"/>
          <c:extLst>
            <c:ext xmlns:c16="http://schemas.microsoft.com/office/drawing/2014/chart" uri="{C3380CC4-5D6E-409C-BE32-E72D297353CC}">
              <c16:uniqueId val="{00000003-4D5D-4661-8031-EC840DFD6AE5}"/>
            </c:ext>
          </c:extLst>
        </c:ser>
        <c:dLbls>
          <c:showLegendKey val="0"/>
          <c:showVal val="0"/>
          <c:showCatName val="0"/>
          <c:showSerName val="0"/>
          <c:showPercent val="0"/>
          <c:showBubbleSize val="0"/>
        </c:dLbls>
        <c:axId val="2011957840"/>
        <c:axId val="2000141808"/>
      </c:scatterChart>
      <c:valAx>
        <c:axId val="2011957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00141808"/>
        <c:crosses val="autoZero"/>
        <c:crossBetween val="midCat"/>
      </c:valAx>
      <c:valAx>
        <c:axId val="2000141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11957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Cena</a:t>
            </a:r>
            <a:r>
              <a:rPr lang="pl-PL" baseline="0"/>
              <a:t> bułki </a:t>
            </a:r>
            <a:r>
              <a:rPr lang="pl-PL"/>
              <a:t>od ceny pszenicy</a:t>
            </a:r>
          </a:p>
        </c:rich>
      </c:tx>
      <c:layout>
        <c:manualLayout>
          <c:xMode val="edge"/>
          <c:yMode val="edge"/>
          <c:x val="0.1609582239720034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lineMarker"/>
        <c:varyColors val="0"/>
        <c:ser>
          <c:idx val="0"/>
          <c:order val="0"/>
          <c:spPr>
            <a:ln w="25400" cap="rnd">
              <a:noFill/>
              <a:round/>
            </a:ln>
            <a:effectLst/>
          </c:spPr>
          <c:marker>
            <c:symbol val="circle"/>
            <c:size val="5"/>
            <c:spPr>
              <a:solidFill>
                <a:srgbClr val="ED7D31">
                  <a:lumMod val="75000"/>
                </a:srgbClr>
              </a:solidFill>
              <a:ln w="9525">
                <a:solidFill>
                  <a:schemeClr val="accent6"/>
                </a:solidFill>
              </a:ln>
              <a:effectLst/>
            </c:spPr>
          </c:marker>
          <c:trendline>
            <c:spPr>
              <a:ln w="19050" cap="rnd">
                <a:solidFill>
                  <a:schemeClr val="accent6">
                    <a:lumMod val="20000"/>
                    <a:lumOff val="80000"/>
                    <a:alpha val="99000"/>
                  </a:schemeClr>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6">
                    <a:lumMod val="50000"/>
                  </a:schemeClr>
                </a:solidFill>
                <a:prstDash val="sysDot"/>
              </a:ln>
              <a:effectLst/>
            </c:spPr>
            <c:trendlineType val="linear"/>
            <c:dispRSqr val="1"/>
            <c:dispEq val="1"/>
            <c:trendlineLbl>
              <c:layout>
                <c:manualLayout>
                  <c:x val="5.8537401574803152E-2"/>
                  <c:y val="-0.301724263633712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rendlineLbl>
          </c:trendline>
          <c:xVal>
            <c:numRef>
              <c:f>Dane!$E$2:$E$24</c:f>
              <c:numCache>
                <c:formatCode>General</c:formatCode>
                <c:ptCount val="23"/>
                <c:pt idx="0">
                  <c:v>42.98</c:v>
                </c:pt>
                <c:pt idx="1">
                  <c:v>50.82</c:v>
                </c:pt>
                <c:pt idx="2">
                  <c:v>50.45</c:v>
                </c:pt>
                <c:pt idx="3">
                  <c:v>43.61</c:v>
                </c:pt>
                <c:pt idx="4">
                  <c:v>45.51</c:v>
                </c:pt>
                <c:pt idx="5">
                  <c:v>47.19</c:v>
                </c:pt>
                <c:pt idx="6">
                  <c:v>36.69</c:v>
                </c:pt>
                <c:pt idx="7">
                  <c:v>44.76</c:v>
                </c:pt>
                <c:pt idx="8">
                  <c:v>70.680000000000007</c:v>
                </c:pt>
                <c:pt idx="9">
                  <c:v>64.239999999999995</c:v>
                </c:pt>
                <c:pt idx="10">
                  <c:v>48.26</c:v>
                </c:pt>
                <c:pt idx="11">
                  <c:v>59.84</c:v>
                </c:pt>
                <c:pt idx="12">
                  <c:v>81.99</c:v>
                </c:pt>
                <c:pt idx="13">
                  <c:v>89.34</c:v>
                </c:pt>
                <c:pt idx="14">
                  <c:v>79.67</c:v>
                </c:pt>
                <c:pt idx="15">
                  <c:v>68.36</c:v>
                </c:pt>
                <c:pt idx="16">
                  <c:v>66.83</c:v>
                </c:pt>
                <c:pt idx="17">
                  <c:v>62.02</c:v>
                </c:pt>
                <c:pt idx="18">
                  <c:v>66.44</c:v>
                </c:pt>
                <c:pt idx="19">
                  <c:v>72.62</c:v>
                </c:pt>
                <c:pt idx="20">
                  <c:v>72.260000000000005</c:v>
                </c:pt>
                <c:pt idx="21">
                  <c:v>74.86</c:v>
                </c:pt>
                <c:pt idx="22">
                  <c:v>96.76</c:v>
                </c:pt>
              </c:numCache>
            </c:numRef>
          </c:xVal>
          <c:yVal>
            <c:numRef>
              <c:f>Dane!$D$2:$D$24</c:f>
              <c:numCache>
                <c:formatCode>#,##0.00</c:formatCode>
                <c:ptCount val="23"/>
                <c:pt idx="0">
                  <c:v>0.23</c:v>
                </c:pt>
                <c:pt idx="1">
                  <c:v>0.27</c:v>
                </c:pt>
                <c:pt idx="2">
                  <c:v>0.3</c:v>
                </c:pt>
                <c:pt idx="3">
                  <c:v>0.28999999999999998</c:v>
                </c:pt>
                <c:pt idx="4">
                  <c:v>0.3</c:v>
                </c:pt>
                <c:pt idx="5">
                  <c:v>0.31</c:v>
                </c:pt>
                <c:pt idx="6">
                  <c:v>0.3</c:v>
                </c:pt>
                <c:pt idx="7">
                  <c:v>0.3</c:v>
                </c:pt>
                <c:pt idx="8">
                  <c:v>0.35</c:v>
                </c:pt>
                <c:pt idx="9">
                  <c:v>0.39</c:v>
                </c:pt>
                <c:pt idx="10">
                  <c:v>0.39</c:v>
                </c:pt>
                <c:pt idx="11">
                  <c:v>0.4</c:v>
                </c:pt>
                <c:pt idx="12">
                  <c:v>0.44</c:v>
                </c:pt>
                <c:pt idx="13">
                  <c:v>0.44</c:v>
                </c:pt>
                <c:pt idx="14">
                  <c:v>0.43</c:v>
                </c:pt>
                <c:pt idx="15">
                  <c:v>0.42</c:v>
                </c:pt>
                <c:pt idx="16">
                  <c:v>0.41</c:v>
                </c:pt>
                <c:pt idx="17">
                  <c:v>0.41</c:v>
                </c:pt>
                <c:pt idx="18">
                  <c:v>0.42</c:v>
                </c:pt>
                <c:pt idx="19">
                  <c:v>0.44</c:v>
                </c:pt>
                <c:pt idx="20">
                  <c:v>0.48</c:v>
                </c:pt>
                <c:pt idx="21">
                  <c:v>0.53</c:v>
                </c:pt>
                <c:pt idx="22">
                  <c:v>0.56000000000000005</c:v>
                </c:pt>
              </c:numCache>
            </c:numRef>
          </c:yVal>
          <c:smooth val="0"/>
          <c:extLst>
            <c:ext xmlns:c16="http://schemas.microsoft.com/office/drawing/2014/chart" uri="{C3380CC4-5D6E-409C-BE32-E72D297353CC}">
              <c16:uniqueId val="{00000004-28E5-483E-8070-C940D2D46C16}"/>
            </c:ext>
          </c:extLst>
        </c:ser>
        <c:dLbls>
          <c:showLegendKey val="0"/>
          <c:showVal val="0"/>
          <c:showCatName val="0"/>
          <c:showSerName val="0"/>
          <c:showPercent val="0"/>
          <c:showBubbleSize val="0"/>
        </c:dLbls>
        <c:axId val="20813712"/>
        <c:axId val="15329408"/>
      </c:scatterChart>
      <c:valAx>
        <c:axId val="2081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329408"/>
        <c:crosses val="autoZero"/>
        <c:crossBetween val="midCat"/>
      </c:valAx>
      <c:valAx>
        <c:axId val="153294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813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Cena</a:t>
            </a:r>
            <a:r>
              <a:rPr lang="pl-PL" baseline="0"/>
              <a:t> ropy </a:t>
            </a:r>
            <a:r>
              <a:rPr lang="pl-PL"/>
              <a:t>od daty</a:t>
            </a:r>
          </a:p>
        </c:rich>
      </c:tx>
      <c:layout>
        <c:manualLayout>
          <c:xMode val="edge"/>
          <c:yMode val="edge"/>
          <c:x val="7.7624890638670174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lineMarker"/>
        <c:varyColors val="0"/>
        <c:ser>
          <c:idx val="0"/>
          <c:order val="0"/>
          <c:spPr>
            <a:ln w="25400" cap="rnd">
              <a:noFill/>
              <a:round/>
            </a:ln>
            <a:effectLst/>
          </c:spPr>
          <c:marker>
            <c:symbol val="circle"/>
            <c:size val="5"/>
            <c:spPr>
              <a:solidFill>
                <a:schemeClr val="accent6">
                  <a:lumMod val="50000"/>
                </a:schemeClr>
              </a:solidFill>
              <a:ln w="9525">
                <a:solidFill>
                  <a:schemeClr val="accent6"/>
                </a:solidFill>
              </a:ln>
              <a:effectLst/>
            </c:spPr>
          </c:marker>
          <c:trendline>
            <c:spPr>
              <a:ln w="19050" cap="rnd">
                <a:solidFill>
                  <a:schemeClr val="accent6">
                    <a:lumMod val="20000"/>
                    <a:lumOff val="80000"/>
                    <a:alpha val="99000"/>
                  </a:schemeClr>
                </a:solidFill>
                <a:prstDash val="sysDot"/>
              </a:ln>
              <a:effectLst/>
            </c:spPr>
            <c:trendlineType val="linear"/>
            <c:dispRSqr val="0"/>
            <c:dispEq val="0"/>
          </c:trendline>
          <c:trendline>
            <c:spPr>
              <a:ln w="19050" cap="rnd">
                <a:solidFill>
                  <a:schemeClr val="accent6">
                    <a:lumMod val="50000"/>
                  </a:schemeClr>
                </a:solidFill>
                <a:prstDash val="sysDot"/>
              </a:ln>
              <a:effectLst/>
            </c:spPr>
            <c:trendlineType val="poly"/>
            <c:order val="6"/>
            <c:forward val="6"/>
            <c:dispRSqr val="1"/>
            <c:dispEq val="1"/>
            <c:trendlineLbl>
              <c:layout>
                <c:manualLayout>
                  <c:x val="0.10068678915135608"/>
                  <c:y val="-0.206055336832895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rendlineLbl>
          </c:trendline>
          <c:xVal>
            <c:numRef>
              <c:f>Dane!$H$2:$H$24</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xVal>
          <c:yVal>
            <c:numRef>
              <c:f>Dane!$F$2:$F$24</c:f>
              <c:numCache>
                <c:formatCode>General</c:formatCode>
                <c:ptCount val="23"/>
                <c:pt idx="0">
                  <c:v>19.350000000000001</c:v>
                </c:pt>
                <c:pt idx="1">
                  <c:v>30.38</c:v>
                </c:pt>
                <c:pt idx="2">
                  <c:v>25.98</c:v>
                </c:pt>
                <c:pt idx="3">
                  <c:v>26.19</c:v>
                </c:pt>
                <c:pt idx="4">
                  <c:v>31.08</c:v>
                </c:pt>
                <c:pt idx="5">
                  <c:v>41.51</c:v>
                </c:pt>
                <c:pt idx="6">
                  <c:v>56.64</c:v>
                </c:pt>
                <c:pt idx="7">
                  <c:v>66.05</c:v>
                </c:pt>
                <c:pt idx="8">
                  <c:v>72.34</c:v>
                </c:pt>
                <c:pt idx="9">
                  <c:v>99.67</c:v>
                </c:pt>
                <c:pt idx="10">
                  <c:v>61.95</c:v>
                </c:pt>
                <c:pt idx="11">
                  <c:v>79.48</c:v>
                </c:pt>
                <c:pt idx="12">
                  <c:v>94.88</c:v>
                </c:pt>
                <c:pt idx="13">
                  <c:v>94.05</c:v>
                </c:pt>
                <c:pt idx="14">
                  <c:v>97.98</c:v>
                </c:pt>
                <c:pt idx="15">
                  <c:v>93.17</c:v>
                </c:pt>
                <c:pt idx="16">
                  <c:v>48.66</c:v>
                </c:pt>
                <c:pt idx="17">
                  <c:v>43.29</c:v>
                </c:pt>
                <c:pt idx="18">
                  <c:v>50.8</c:v>
                </c:pt>
                <c:pt idx="19">
                  <c:v>65.23</c:v>
                </c:pt>
                <c:pt idx="20">
                  <c:v>56.99</c:v>
                </c:pt>
                <c:pt idx="21">
                  <c:v>39.68</c:v>
                </c:pt>
                <c:pt idx="22">
                  <c:v>68.17</c:v>
                </c:pt>
              </c:numCache>
            </c:numRef>
          </c:yVal>
          <c:smooth val="0"/>
          <c:extLst>
            <c:ext xmlns:c16="http://schemas.microsoft.com/office/drawing/2014/chart" uri="{C3380CC4-5D6E-409C-BE32-E72D297353CC}">
              <c16:uniqueId val="{00000004-C179-424A-A1E4-844A862A0692}"/>
            </c:ext>
          </c:extLst>
        </c:ser>
        <c:dLbls>
          <c:showLegendKey val="0"/>
          <c:showVal val="0"/>
          <c:showCatName val="0"/>
          <c:showSerName val="0"/>
          <c:showPercent val="0"/>
          <c:showBubbleSize val="0"/>
        </c:dLbls>
        <c:axId val="20813712"/>
        <c:axId val="15329408"/>
      </c:scatterChart>
      <c:valAx>
        <c:axId val="2081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329408"/>
        <c:crosses val="autoZero"/>
        <c:crossBetween val="midCat"/>
      </c:valAx>
      <c:valAx>
        <c:axId val="1532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813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spcBef>
                <a:spcPts val="0"/>
              </a:spcBef>
              <a:spcAft>
                <a:spcPts val="0"/>
              </a:spcAft>
            </a:pPr>
            <a:r>
              <a:rPr lang="pl-PL" sz="1800" b="0" i="0" baseline="0">
                <a:solidFill>
                  <a:srgbClr val="595959"/>
                </a:solidFill>
                <a:effectLst/>
                <a:latin typeface="Calibri" panose="020F0502020204030204" pitchFamily="34" charset="0"/>
                <a:ea typeface="Calibri" panose="020F0502020204030204" pitchFamily="34" charset="0"/>
                <a:cs typeface="Calibri" panose="020F0502020204030204" pitchFamily="34" charset="0"/>
              </a:rPr>
              <a:t>bułka pszenna - za 50g w ZŁ</a:t>
            </a:r>
            <a:endParaRPr lang="pl-PL">
              <a:effectLst/>
            </a:endParaRPr>
          </a:p>
        </cx:rich>
      </cx:tx>
    </cx:title>
    <cx:plotArea>
      <cx:plotAreaRegion>
        <cx:series layoutId="clusteredColumn" uniqueId="{25842EF1-B4B9-45D0-ABF7-7873177D0E77}">
          <cx:spPr>
            <a:solidFill>
              <a:schemeClr val="accent2">
                <a:lumMod val="60000"/>
                <a:lumOff val="40000"/>
              </a:schemeClr>
            </a:solidFill>
          </cx:spPr>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pszenica 1 dt w zl</cx:v>
        </cx:txData>
      </cx:tx>
      <cx:txPr>
        <a:bodyPr spcFirstLastPara="1" vertOverflow="ellipsis" horzOverflow="overflow" wrap="square" lIns="0" tIns="0" rIns="0" bIns="0" anchor="ctr" anchorCtr="1"/>
        <a:lstStyle/>
        <a:p>
          <a:pPr algn="ctr" rtl="0">
            <a:defRPr/>
          </a:pPr>
          <a:r>
            <a:rPr lang="pl-PL" sz="1400" b="0" i="0" u="none" strike="noStrike" baseline="0">
              <a:solidFill>
                <a:sysClr val="windowText" lastClr="000000">
                  <a:lumMod val="65000"/>
                  <a:lumOff val="35000"/>
                </a:sysClr>
              </a:solidFill>
              <a:latin typeface="Calibri" panose="020F0502020204030204"/>
            </a:rPr>
            <a:t>pszenica 1 dt w zl</a:t>
          </a:r>
        </a:p>
      </cx:txPr>
    </cx:title>
    <cx:plotArea>
      <cx:plotAreaRegion>
        <cx:series layoutId="clusteredColumn" uniqueId="{D7EE5D01-F688-460A-B24F-B887C31CBC34}">
          <cx:spPr>
            <a:solidFill>
              <a:schemeClr val="accent4">
                <a:lumMod val="60000"/>
                <a:lumOff val="40000"/>
              </a:schemeClr>
            </a:solidFill>
          </cx:spPr>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Średnia cena w roku baryłki ropy na świecie w $</cx:v>
        </cx:txData>
      </cx:tx>
      <cx:txPr>
        <a:bodyPr spcFirstLastPara="1" vertOverflow="ellipsis" horzOverflow="overflow" wrap="square" lIns="0" tIns="0" rIns="0" bIns="0" anchor="ctr" anchorCtr="1"/>
        <a:lstStyle/>
        <a:p>
          <a:pPr algn="ctr" rtl="0">
            <a:defRPr/>
          </a:pPr>
          <a:r>
            <a:rPr lang="pl-PL" sz="1400" b="0" i="0" u="none" strike="noStrike" baseline="0">
              <a:solidFill>
                <a:sysClr val="windowText" lastClr="000000">
                  <a:lumMod val="65000"/>
                  <a:lumOff val="35000"/>
                </a:sysClr>
              </a:solidFill>
              <a:latin typeface="Calibri" panose="020F0502020204030204"/>
            </a:rPr>
            <a:t>Średnia cena w roku baryłki ropy na świecie w $</a:t>
          </a:r>
        </a:p>
      </cx:txPr>
    </cx:title>
    <cx:plotArea>
      <cx:plotAreaRegion>
        <cx:series layoutId="clusteredColumn" uniqueId="{B3A70AE3-6012-4370-844C-57E54243CA05}">
          <cx:spPr>
            <a:solidFill>
              <a:schemeClr val="accent6">
                <a:lumMod val="60000"/>
                <a:lumOff val="40000"/>
              </a:schemeClr>
            </a:solidFill>
          </cx:spPr>
          <cx:dataId val="0"/>
          <cx:layoutPr>
            <cx:binning intervalClosed="r">
              <cx:binCount val="4"/>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Średnia cena w roku baryłki ropy na świecie w $</cx:v>
        </cx:txData>
      </cx:tx>
      <cx:txPr>
        <a:bodyPr spcFirstLastPara="1" vertOverflow="ellipsis" horzOverflow="overflow" wrap="square" lIns="0" tIns="0" rIns="0" bIns="0" anchor="ctr" anchorCtr="1"/>
        <a:lstStyle/>
        <a:p>
          <a:pPr algn="ctr" rtl="0">
            <a:defRPr/>
          </a:pPr>
          <a:r>
            <a:rPr lang="pl-PL" sz="1400" b="0" i="0" u="none" strike="noStrike" baseline="0">
              <a:solidFill>
                <a:sysClr val="windowText" lastClr="000000">
                  <a:lumMod val="65000"/>
                  <a:lumOff val="35000"/>
                </a:sysClr>
              </a:solidFill>
              <a:latin typeface="Calibri" panose="020F0502020204030204"/>
            </a:rPr>
            <a:t>Średnia cena w roku baryłki ropy na świecie w $</a:t>
          </a:r>
        </a:p>
      </cx:txPr>
    </cx:title>
    <cx:plotArea>
      <cx:plotAreaRegion>
        <cx:plotSurface>
          <cx:spPr>
            <a:solidFill>
              <a:schemeClr val="bg1"/>
            </a:solidFill>
          </cx:spPr>
        </cx:plotSurface>
        <cx:series layoutId="boxWhisker" uniqueId="{BB8C0EB5-10AA-45A3-8595-8130701FC140}">
          <cx:spPr>
            <a:solidFill>
              <a:schemeClr val="accent6">
                <a:lumMod val="60000"/>
                <a:lumOff val="40000"/>
                <a:alpha val="98000"/>
              </a:schemeClr>
            </a:solidFill>
            <a:ln>
              <a:solidFill>
                <a:schemeClr val="accent6">
                  <a:lumMod val="50000"/>
                </a:schemeClr>
              </a:solidFill>
            </a:ln>
          </cx:spPr>
          <cx:dataLabels>
            <cx:visibility seriesName="0" categoryName="0" value="1"/>
          </cx:dataLabels>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pszenica 1dt w zl</cx:v>
        </cx:txData>
      </cx:tx>
      <cx:txPr>
        <a:bodyPr spcFirstLastPara="1" vertOverflow="ellipsis" horzOverflow="overflow" wrap="square" lIns="0" tIns="0" rIns="0" bIns="0" anchor="ctr" anchorCtr="1"/>
        <a:lstStyle/>
        <a:p>
          <a:pPr algn="ctr" rtl="0">
            <a:defRPr/>
          </a:pPr>
          <a:r>
            <a:rPr lang="pl-PL" sz="1400" b="0" i="0" u="none" strike="noStrike" baseline="0">
              <a:solidFill>
                <a:sysClr val="windowText" lastClr="000000">
                  <a:lumMod val="65000"/>
                  <a:lumOff val="35000"/>
                </a:sysClr>
              </a:solidFill>
              <a:latin typeface="Calibri" panose="020F0502020204030204"/>
            </a:rPr>
            <a:t>pszenica 1dt w zl</a:t>
          </a:r>
        </a:p>
      </cx:txPr>
    </cx:title>
    <cx:plotArea>
      <cx:plotAreaRegion>
        <cx:series layoutId="boxWhisker" uniqueId="{E54AAFAE-602C-4113-8945-8E1C401BCFA4}">
          <cx:spPr>
            <a:solidFill>
              <a:schemeClr val="accent4">
                <a:lumMod val="60000"/>
                <a:lumOff val="40000"/>
              </a:schemeClr>
            </a:solidFill>
            <a:ln>
              <a:solidFill>
                <a:schemeClr val="accent4">
                  <a:lumMod val="50000"/>
                </a:schemeClr>
              </a:solidFill>
            </a:ln>
          </cx:spPr>
          <cx:dataLabels>
            <cx:visibility seriesName="0" categoryName="0" value="1"/>
          </cx:dataLabels>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bułka pszenna - za 50g w ZŁ</cx:v>
        </cx:txData>
      </cx:tx>
      <cx:txPr>
        <a:bodyPr spcFirstLastPara="1" vertOverflow="ellipsis" horzOverflow="overflow" wrap="square" lIns="0" tIns="0" rIns="0" bIns="0" anchor="ctr" anchorCtr="1"/>
        <a:lstStyle/>
        <a:p>
          <a:pPr algn="ctr" rtl="0">
            <a:defRPr/>
          </a:pPr>
          <a:r>
            <a:rPr lang="pl-PL" sz="1400" b="0" i="0" u="none" strike="noStrike" baseline="0">
              <a:solidFill>
                <a:sysClr val="windowText" lastClr="000000">
                  <a:lumMod val="65000"/>
                  <a:lumOff val="35000"/>
                </a:sysClr>
              </a:solidFill>
              <a:latin typeface="Calibri" panose="020F0502020204030204"/>
            </a:rPr>
            <a:t>bułka pszenna - za 50g w ZŁ</a:t>
          </a:r>
        </a:p>
      </cx:txPr>
    </cx:title>
    <cx:plotArea>
      <cx:plotAreaRegion>
        <cx:series layoutId="boxWhisker" uniqueId="{DE4D22A8-41D6-4AA5-A02B-94B9CF83E546}">
          <cx:spPr>
            <a:solidFill>
              <a:schemeClr val="accent2">
                <a:lumMod val="60000"/>
                <a:lumOff val="40000"/>
              </a:schemeClr>
            </a:solidFill>
            <a:ln>
              <a:solidFill>
                <a:schemeClr val="accent2">
                  <a:lumMod val="50000"/>
                </a:schemeClr>
              </a:solidFill>
            </a:ln>
          </cx:spPr>
          <cx:dataLabels>
            <cx:visibility seriesName="0" categoryName="0" value="1"/>
          </cx:dataLabels>
          <cx:dataId val="0"/>
          <cx:layoutPr>
            <cx:visibility meanLine="1" meanMarker="1" nonoutliers="0" outliers="1"/>
            <cx:statistics quartileMethod="exclusive"/>
          </cx:layoutPr>
        </cx:series>
      </cx:plotAreaRegion>
      <cx:axis id="0" hidden="1">
        <cx:catScaling gapWidth="0.579999983"/>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3.xml"/><Relationship Id="rId7" Type="http://schemas.openxmlformats.org/officeDocument/2006/relationships/chart" Target="../charts/chart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10" Type="http://schemas.openxmlformats.org/officeDocument/2006/relationships/chart" Target="../charts/chart6.xml"/><Relationship Id="rId4" Type="http://schemas.microsoft.com/office/2014/relationships/chartEx" Target="../charts/chartEx4.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188515</xdr:colOff>
      <xdr:row>23</xdr:row>
      <xdr:rowOff>128986</xdr:rowOff>
    </xdr:from>
    <xdr:to>
      <xdr:col>4</xdr:col>
      <xdr:colOff>128984</xdr:colOff>
      <xdr:row>37</xdr:row>
      <xdr:rowOff>128985</xdr:rowOff>
    </xdr:to>
    <xdr:sp macro="" textlink="">
      <xdr:nvSpPr>
        <xdr:cNvPr id="2" name="pole tekstowe 1">
          <a:extLst>
            <a:ext uri="{FF2B5EF4-FFF2-40B4-BE49-F238E27FC236}">
              <a16:creationId xmlns:a16="http://schemas.microsoft.com/office/drawing/2014/main" id="{13D0471F-ADA4-4056-9031-6A6B214449D2}"/>
            </a:ext>
          </a:extLst>
        </xdr:cNvPr>
        <xdr:cNvSpPr txBox="1"/>
      </xdr:nvSpPr>
      <xdr:spPr>
        <a:xfrm>
          <a:off x="1398984" y="4464845"/>
          <a:ext cx="2698750" cy="26392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Bułka</a:t>
          </a:r>
          <a:r>
            <a:rPr lang="pl-PL" sz="1100" baseline="0"/>
            <a:t> Pszenna 50g w Zł:</a:t>
          </a:r>
        </a:p>
        <a:p>
          <a:r>
            <a:rPr lang="pl-PL" sz="1100" baseline="0"/>
            <a:t>Minimalna cena wynosiła 0,23zł i została osiągnieta w roku 1999r. Natomiast wartość maksymalna została osiągnieta 22lata później tzn. w 2021r. i wynosiła już 0,56zł czyli przez 20 lat średnia cena bulki wzrosła ponad dwukrotnie.Na przestrzeni lat, średnia cena bułki wynosila 0,38zł. Mediana wynosiła 0,40zł co oznacza żę połowa naszych wartości jest ponad średnią cene. Notomiast bułka najczęściej kosztowała średnio 0,30zł.</a:t>
          </a:r>
        </a:p>
        <a:p>
          <a:endParaRPr lang="pl-PL" sz="1100"/>
        </a:p>
      </xdr:txBody>
    </xdr:sp>
    <xdr:clientData/>
  </xdr:twoCellAnchor>
  <xdr:twoCellAnchor>
    <xdr:from>
      <xdr:col>4</xdr:col>
      <xdr:colOff>168672</xdr:colOff>
      <xdr:row>23</xdr:row>
      <xdr:rowOff>69453</xdr:rowOff>
    </xdr:from>
    <xdr:to>
      <xdr:col>4</xdr:col>
      <xdr:colOff>2867422</xdr:colOff>
      <xdr:row>36</xdr:row>
      <xdr:rowOff>79375</xdr:rowOff>
    </xdr:to>
    <xdr:sp macro="" textlink="">
      <xdr:nvSpPr>
        <xdr:cNvPr id="4" name="pole tekstowe 3">
          <a:extLst>
            <a:ext uri="{FF2B5EF4-FFF2-40B4-BE49-F238E27FC236}">
              <a16:creationId xmlns:a16="http://schemas.microsoft.com/office/drawing/2014/main" id="{1B5121BC-7624-46BE-B1CF-35C4679FD867}"/>
            </a:ext>
          </a:extLst>
        </xdr:cNvPr>
        <xdr:cNvSpPr txBox="1"/>
      </xdr:nvSpPr>
      <xdr:spPr>
        <a:xfrm>
          <a:off x="4137422" y="4405312"/>
          <a:ext cx="2698750" cy="2460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Cena pszenicy</a:t>
          </a:r>
          <a:r>
            <a:rPr lang="pl-PL" sz="1100" baseline="0"/>
            <a:t> za 1dt w Zł:</a:t>
          </a:r>
        </a:p>
        <a:p>
          <a:r>
            <a:rPr lang="pl-PL" sz="1100" baseline="0"/>
            <a:t>Minimalna cena wynosiła 36,69zł i została osiągnieta w roku 2005r.(w odróżnieniu od bułki wartość z roku 2005 nie jest najpóxniejsza wartościa w zbiorze danych) Natomiast wartość maksymalna została osiągnieta w 2021r. i wynosiła 96,76zł czyli prawie 3krotna róźnica.Na przestrzeni lat, średnia cena pszenicy wynosila 62,24zł. Mediana wynosiła 64,24zł </a:t>
          </a:r>
          <a:r>
            <a:rPr lang="pl-PL" sz="1100" baseline="0">
              <a:solidFill>
                <a:schemeClr val="dk1"/>
              </a:solidFill>
              <a:effectLst/>
              <a:latin typeface="+mn-lt"/>
              <a:ea typeface="+mn-ea"/>
              <a:cs typeface="+mn-cs"/>
            </a:rPr>
            <a:t>co oznacza że połowa naszych wartości jest ponad średnią ceną. </a:t>
          </a:r>
          <a:r>
            <a:rPr lang="pl-PL" sz="1100" baseline="0"/>
            <a:t>. Dominanta nie została obliczona ponieważ cena pszenicy nie uzykiwała ceny  powtarzającej się na przestrzeni lat.</a:t>
          </a:r>
          <a:endParaRPr lang="pl-PL" sz="1100"/>
        </a:p>
      </xdr:txBody>
    </xdr:sp>
    <xdr:clientData/>
  </xdr:twoCellAnchor>
  <xdr:twoCellAnchor>
    <xdr:from>
      <xdr:col>4</xdr:col>
      <xdr:colOff>2926952</xdr:colOff>
      <xdr:row>23</xdr:row>
      <xdr:rowOff>0</xdr:rowOff>
    </xdr:from>
    <xdr:to>
      <xdr:col>7</xdr:col>
      <xdr:colOff>327422</xdr:colOff>
      <xdr:row>32</xdr:row>
      <xdr:rowOff>188515</xdr:rowOff>
    </xdr:to>
    <xdr:sp macro="" textlink="">
      <xdr:nvSpPr>
        <xdr:cNvPr id="5" name="pole tekstowe 4">
          <a:extLst>
            <a:ext uri="{FF2B5EF4-FFF2-40B4-BE49-F238E27FC236}">
              <a16:creationId xmlns:a16="http://schemas.microsoft.com/office/drawing/2014/main" id="{DFBE0A9A-32ED-4077-A7D4-B8B7408D578C}"/>
            </a:ext>
          </a:extLst>
        </xdr:cNvPr>
        <xdr:cNvSpPr txBox="1"/>
      </xdr:nvSpPr>
      <xdr:spPr>
        <a:xfrm>
          <a:off x="6895702" y="4335859"/>
          <a:ext cx="3681017" cy="18851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Średnia cena w roku baryłki ropy na świecie w $:</a:t>
          </a:r>
        </a:p>
        <a:p>
          <a:r>
            <a:rPr lang="pl-PL" sz="1100" baseline="0"/>
            <a:t>Minimalna cena wynosiła 19,35$ i została osiągnieta w roku 1999r. Natomiast wartość maksymalna została osiągnieta podczas "Kryzysu Finansowego 2007-2009" w roku 2008. i wynosiła 99,67$ Na przestrzeni lat, średnia cena baryłki ropy wynosila 59,28$. Mediana wynosiła 56,99$ </a:t>
          </a:r>
          <a:r>
            <a:rPr lang="pl-PL" sz="1100" baseline="0">
              <a:solidFill>
                <a:schemeClr val="dk1"/>
              </a:solidFill>
              <a:effectLst/>
              <a:latin typeface="+mn-lt"/>
              <a:ea typeface="+mn-ea"/>
              <a:cs typeface="+mn-cs"/>
            </a:rPr>
            <a:t>co oznacza że połowa naszych wartości jest poniżej średniej ceny </a:t>
          </a:r>
          <a:r>
            <a:rPr lang="pl-PL" sz="1100" baseline="0"/>
            <a:t>. Notomiast nie była wartościi dominującej  na przestrzeni 21 lat nie było, co pokazuje że cena ropy nie jest stabilna.</a:t>
          </a:r>
        </a:p>
        <a:p>
          <a:endParaRPr lang="pl-PL" sz="1100"/>
        </a:p>
      </xdr:txBody>
    </xdr:sp>
    <xdr:clientData/>
  </xdr:twoCellAnchor>
  <xdr:twoCellAnchor>
    <xdr:from>
      <xdr:col>8</xdr:col>
      <xdr:colOff>178594</xdr:colOff>
      <xdr:row>10</xdr:row>
      <xdr:rowOff>39687</xdr:rowOff>
    </xdr:from>
    <xdr:to>
      <xdr:col>8</xdr:col>
      <xdr:colOff>2282031</xdr:colOff>
      <xdr:row>18</xdr:row>
      <xdr:rowOff>19844</xdr:rowOff>
    </xdr:to>
    <xdr:sp macro="" textlink="">
      <xdr:nvSpPr>
        <xdr:cNvPr id="6" name="pole tekstowe 5">
          <a:extLst>
            <a:ext uri="{FF2B5EF4-FFF2-40B4-BE49-F238E27FC236}">
              <a16:creationId xmlns:a16="http://schemas.microsoft.com/office/drawing/2014/main" id="{F7CAD324-A2DE-459B-B0B3-9EC5F7FF66B5}"/>
            </a:ext>
          </a:extLst>
        </xdr:cNvPr>
        <xdr:cNvSpPr txBox="1"/>
      </xdr:nvSpPr>
      <xdr:spPr>
        <a:xfrm>
          <a:off x="11509375" y="1924843"/>
          <a:ext cx="2103437" cy="14882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Tablica</a:t>
          </a:r>
          <a:r>
            <a:rPr lang="pl-PL" sz="1100" baseline="0"/>
            <a:t> korelacji pokazuje nam:</a:t>
          </a:r>
        </a:p>
        <a:p>
          <a:r>
            <a:rPr lang="pl-PL" sz="1100" baseline="0"/>
            <a:t>Że cena byłki jest istotnie związana z ceną pszenicy, notomiast dla ceny bułki mniej istotna jest cena baryłki ropy. Dla cena pszenicy cena ropy jest bardziej (choć nie mocno)  znacząca. </a:t>
          </a:r>
          <a:endParaRPr lang="pl-PL" sz="1100"/>
        </a:p>
      </xdr:txBody>
    </xdr:sp>
    <xdr:clientData/>
  </xdr:twoCellAnchor>
  <xdr:twoCellAnchor>
    <xdr:from>
      <xdr:col>8</xdr:col>
      <xdr:colOff>1438672</xdr:colOff>
      <xdr:row>18</xdr:row>
      <xdr:rowOff>69454</xdr:rowOff>
    </xdr:from>
    <xdr:to>
      <xdr:col>10</xdr:col>
      <xdr:colOff>1607344</xdr:colOff>
      <xdr:row>29</xdr:row>
      <xdr:rowOff>128985</xdr:rowOff>
    </xdr:to>
    <xdr:sp macro="" textlink="">
      <xdr:nvSpPr>
        <xdr:cNvPr id="7" name="pole tekstowe 6">
          <a:extLst>
            <a:ext uri="{FF2B5EF4-FFF2-40B4-BE49-F238E27FC236}">
              <a16:creationId xmlns:a16="http://schemas.microsoft.com/office/drawing/2014/main" id="{5EDE657B-C146-4140-9F97-CCBBA3D9B150}"/>
            </a:ext>
          </a:extLst>
        </xdr:cNvPr>
        <xdr:cNvSpPr txBox="1"/>
      </xdr:nvSpPr>
      <xdr:spPr>
        <a:xfrm>
          <a:off x="12769453" y="3462735"/>
          <a:ext cx="3700860" cy="21332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baseline="0">
              <a:solidFill>
                <a:schemeClr val="dk1"/>
              </a:solidFill>
              <a:effectLst/>
              <a:latin typeface="+mn-lt"/>
              <a:ea typeface="+mn-ea"/>
              <a:cs typeface="+mn-cs"/>
            </a:rPr>
            <a:t>Ponieważ Q3 jest powyżej średniej w wszykich wartościach , to możemy sformułować zdanie że 25%wyników jest ponad średnią. Odchylenie standardowe informuje nas że wartości mieszczą się w przedziale od 0,30zł do 0,46zł dla bułki, od 46,5zł do 78,3zł dla pszenicy i od 34,5$ do 84$ dla ropy. Współczynik zmienośći jest przeciętny dla bułki oraz pszenicy , notomiast jest duzy dla ceny ropy dlatego jej cena nie była aż tak stabilna na przestrzeni lat z powodowane jest to</a:t>
          </a:r>
          <a:r>
            <a:rPr lang="pl-PL" sz="1100" b="0" i="0">
              <a:solidFill>
                <a:schemeClr val="dk1"/>
              </a:solidFill>
              <a:effectLst/>
              <a:latin typeface="+mn-lt"/>
              <a:ea typeface="+mn-ea"/>
              <a:cs typeface="+mn-cs"/>
            </a:rPr>
            <a:t> wieloma czynnikami, takimi jak globalne trendy w handlu, polityka energetyczna i wydarzenia na arenie międzynarodowej</a:t>
          </a:r>
          <a:endParaRPr lang="pl-PL">
            <a:effectLst/>
          </a:endParaRPr>
        </a:p>
      </xdr:txBody>
    </xdr:sp>
    <xdr:clientData/>
  </xdr:twoCellAnchor>
  <xdr:twoCellAnchor>
    <xdr:from>
      <xdr:col>10</xdr:col>
      <xdr:colOff>565547</xdr:colOff>
      <xdr:row>5</xdr:row>
      <xdr:rowOff>9921</xdr:rowOff>
    </xdr:from>
    <xdr:to>
      <xdr:col>15</xdr:col>
      <xdr:colOff>109141</xdr:colOff>
      <xdr:row>16</xdr:row>
      <xdr:rowOff>168672</xdr:rowOff>
    </xdr:to>
    <xdr:sp macro="" textlink="">
      <xdr:nvSpPr>
        <xdr:cNvPr id="8" name="pole tekstowe 7">
          <a:extLst>
            <a:ext uri="{FF2B5EF4-FFF2-40B4-BE49-F238E27FC236}">
              <a16:creationId xmlns:a16="http://schemas.microsoft.com/office/drawing/2014/main" id="{F38071EA-F104-4CF5-8E24-5B89EA3EA321}"/>
            </a:ext>
          </a:extLst>
        </xdr:cNvPr>
        <xdr:cNvSpPr txBox="1"/>
      </xdr:nvSpPr>
      <xdr:spPr>
        <a:xfrm>
          <a:off x="15428516" y="952499"/>
          <a:ext cx="4117578" cy="2232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Skośność dla bułki</a:t>
          </a:r>
          <a:r>
            <a:rPr lang="pl-PL" sz="1100" baseline="0"/>
            <a:t> oraz ropy, jest bardzo słaba to znaczy że wykres jest bardzo symetryczny. Dla pszenicy skośnośc jest troche większa ale wykres i tak pownien byc dośc symetryczny. Skośnośc dodatnia informuje nas o tym że wykres jest prawokośny. To znaczy średnie wartości bułki,pszenicy,ceny ropu są wieksze niż mediana i dominanta</a:t>
          </a:r>
        </a:p>
        <a:p>
          <a:r>
            <a:rPr lang="pl-PL" sz="1100" baseline="0"/>
            <a:t>Ponieważ kurtoza jest niższa niż przy rozkłądzie noramlnym. w wszytkich wartościach, to wartości powiny byc bardziej rozłożone niż w przypadku rozkładu normalnego.</a:t>
          </a:r>
        </a:p>
        <a:p>
          <a:r>
            <a:rPr lang="pl-PL" sz="1100"/>
            <a:t>Ujemne współczyniki ekscesu dla wszytkich danych</a:t>
          </a:r>
          <a:r>
            <a:rPr lang="pl-PL" sz="1100" baseline="0"/>
            <a:t> informuje nas o tym że histogram poinien byc bardziej spłaszczony niz rozkład normalny. </a:t>
          </a:r>
          <a:endParaRPr lang="pl-PL"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545751</xdr:colOff>
      <xdr:row>20</xdr:row>
      <xdr:rowOff>15282</xdr:rowOff>
    </xdr:from>
    <xdr:to>
      <xdr:col>11</xdr:col>
      <xdr:colOff>280098</xdr:colOff>
      <xdr:row>34</xdr:row>
      <xdr:rowOff>120790</xdr:rowOff>
    </xdr:to>
    <xdr:graphicFrame macro="">
      <xdr:nvGraphicFramePr>
        <xdr:cNvPr id="2" name="Wykres 1">
          <a:extLst>
            <a:ext uri="{FF2B5EF4-FFF2-40B4-BE49-F238E27FC236}">
              <a16:creationId xmlns:a16="http://schemas.microsoft.com/office/drawing/2014/main" id="{7172946D-BDD0-4A5A-9AF3-2E4E656C8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279574</xdr:colOff>
      <xdr:row>5</xdr:row>
      <xdr:rowOff>88551</xdr:rowOff>
    </xdr:from>
    <xdr:to>
      <xdr:col>18</xdr:col>
      <xdr:colOff>498126</xdr:colOff>
      <xdr:row>20</xdr:row>
      <xdr:rowOff>5652</xdr:rowOff>
    </xdr:to>
    <xdr:graphicFrame macro="">
      <xdr:nvGraphicFramePr>
        <xdr:cNvPr id="3" name="Wykres 2">
          <a:extLst>
            <a:ext uri="{FF2B5EF4-FFF2-40B4-BE49-F238E27FC236}">
              <a16:creationId xmlns:a16="http://schemas.microsoft.com/office/drawing/2014/main" id="{172A4884-2837-4F57-B7A4-31CEEF43D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533819</xdr:colOff>
      <xdr:row>5</xdr:row>
      <xdr:rowOff>94203</xdr:rowOff>
    </xdr:from>
    <xdr:to>
      <xdr:col>11</xdr:col>
      <xdr:colOff>283476</xdr:colOff>
      <xdr:row>20</xdr:row>
      <xdr:rowOff>23735</xdr:rowOff>
    </xdr:to>
    <xdr:pic>
      <xdr:nvPicPr>
        <xdr:cNvPr id="4" name="Obraz 3">
          <a:extLst>
            <a:ext uri="{FF2B5EF4-FFF2-40B4-BE49-F238E27FC236}">
              <a16:creationId xmlns:a16="http://schemas.microsoft.com/office/drawing/2014/main" id="{91C035B2-8B4E-4C48-8959-B4B399A57D45}"/>
            </a:ext>
          </a:extLst>
        </xdr:cNvPr>
        <xdr:cNvPicPr>
          <a:picLocks noChangeAspect="1"/>
        </xdr:cNvPicPr>
      </xdr:nvPicPr>
      <xdr:blipFill>
        <a:blip xmlns:r="http://schemas.openxmlformats.org/officeDocument/2006/relationships" r:embed="rId3"/>
        <a:stretch>
          <a:fillRect/>
        </a:stretch>
      </xdr:blipFill>
      <xdr:spPr>
        <a:xfrm>
          <a:off x="2355083" y="3338983"/>
          <a:ext cx="4606360" cy="2755631"/>
        </a:xfrm>
        <a:prstGeom prst="rect">
          <a:avLst/>
        </a:prstGeom>
      </xdr:spPr>
    </xdr:pic>
    <xdr:clientData/>
  </xdr:twoCellAnchor>
  <xdr:twoCellAnchor>
    <xdr:from>
      <xdr:col>0</xdr:col>
      <xdr:colOff>0</xdr:colOff>
      <xdr:row>5</xdr:row>
      <xdr:rowOff>104670</xdr:rowOff>
    </xdr:from>
    <xdr:to>
      <xdr:col>3</xdr:col>
      <xdr:colOff>408214</xdr:colOff>
      <xdr:row>20</xdr:row>
      <xdr:rowOff>104670</xdr:rowOff>
    </xdr:to>
    <xdr:sp macro="" textlink="">
      <xdr:nvSpPr>
        <xdr:cNvPr id="5" name="pole tekstowe 4">
          <a:extLst>
            <a:ext uri="{FF2B5EF4-FFF2-40B4-BE49-F238E27FC236}">
              <a16:creationId xmlns:a16="http://schemas.microsoft.com/office/drawing/2014/main" id="{6F0DCFFC-95E4-81CB-1554-586E765E42EC}"/>
            </a:ext>
          </a:extLst>
        </xdr:cNvPr>
        <xdr:cNvSpPr txBox="1"/>
      </xdr:nvSpPr>
      <xdr:spPr>
        <a:xfrm>
          <a:off x="0" y="3349450"/>
          <a:ext cx="2229478" cy="28260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Cena</a:t>
          </a:r>
          <a:r>
            <a:rPr lang="pl-PL" sz="1100" baseline="0"/>
            <a:t> bułki od ceny pszenicy:</a:t>
          </a:r>
        </a:p>
        <a:p>
          <a:r>
            <a:rPr lang="pl-PL" sz="1100" baseline="0"/>
            <a:t>Funkcja regresji jest liniowa, o współczynikach dodatnich co skutkuje tym że wraz ze wzrotstem ceny przenicy wzrasta cena bułki. R^2 wynosi 0,74</a:t>
          </a:r>
          <a:r>
            <a:rPr lang="pl-PL" sz="1100" baseline="0">
              <a:solidFill>
                <a:schemeClr val="dk1"/>
              </a:solidFill>
              <a:effectLst/>
              <a:latin typeface="+mn-lt"/>
              <a:ea typeface="+mn-ea"/>
              <a:cs typeface="+mn-cs"/>
            </a:rPr>
            <a:t>, a wspólczynik zbieżności wynosi 0,25</a:t>
          </a:r>
          <a:r>
            <a:rPr lang="pl-PL" sz="1100" baseline="0"/>
            <a:t> co oznacza że cena bułki jest wyjaśnina w 74% przez cene pszenicy a 25% przez inne cechy nie ujęte w tym modelu regresji liniowej . Średnia cena w prognozach myli się o 4gr. Współczynik zmieności wynosi 11,37% co onzacza że model jest dobrze dopasowany.</a:t>
          </a:r>
          <a:endParaRPr lang="pl-PL" sz="1100"/>
        </a:p>
      </xdr:txBody>
    </xdr:sp>
    <xdr:clientData/>
  </xdr:twoCellAnchor>
  <xdr:twoCellAnchor>
    <xdr:from>
      <xdr:col>0</xdr:col>
      <xdr:colOff>0</xdr:colOff>
      <xdr:row>21</xdr:row>
      <xdr:rowOff>136071</xdr:rowOff>
    </xdr:from>
    <xdr:to>
      <xdr:col>3</xdr:col>
      <xdr:colOff>376813</xdr:colOff>
      <xdr:row>36</xdr:row>
      <xdr:rowOff>83736</xdr:rowOff>
    </xdr:to>
    <xdr:sp macro="" textlink="">
      <xdr:nvSpPr>
        <xdr:cNvPr id="6" name="pole tekstowe 5">
          <a:extLst>
            <a:ext uri="{FF2B5EF4-FFF2-40B4-BE49-F238E27FC236}">
              <a16:creationId xmlns:a16="http://schemas.microsoft.com/office/drawing/2014/main" id="{3D44FCD4-EEF9-3739-2EFD-C5AB9E26C51F}"/>
            </a:ext>
          </a:extLst>
        </xdr:cNvPr>
        <xdr:cNvSpPr txBox="1"/>
      </xdr:nvSpPr>
      <xdr:spPr>
        <a:xfrm>
          <a:off x="0" y="6395357"/>
          <a:ext cx="2198077" cy="27737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solidFill>
                <a:schemeClr val="dk1"/>
              </a:solidFill>
              <a:effectLst/>
              <a:latin typeface="+mn-lt"/>
              <a:ea typeface="+mn-ea"/>
              <a:cs typeface="+mn-cs"/>
            </a:rPr>
            <a:t>Cena</a:t>
          </a:r>
          <a:r>
            <a:rPr lang="pl-PL" sz="1100" baseline="0">
              <a:solidFill>
                <a:schemeClr val="dk1"/>
              </a:solidFill>
              <a:effectLst/>
              <a:latin typeface="+mn-lt"/>
              <a:ea typeface="+mn-ea"/>
              <a:cs typeface="+mn-cs"/>
            </a:rPr>
            <a:t> pszenicy od Daty:</a:t>
          </a:r>
          <a:endParaRPr lang="pl-PL">
            <a:effectLst/>
          </a:endParaRPr>
        </a:p>
        <a:p>
          <a:r>
            <a:rPr lang="pl-PL" sz="1100" baseline="0">
              <a:solidFill>
                <a:schemeClr val="dk1"/>
              </a:solidFill>
              <a:effectLst/>
              <a:latin typeface="+mn-lt"/>
              <a:ea typeface="+mn-ea"/>
              <a:cs typeface="+mn-cs"/>
            </a:rPr>
            <a:t>Funkcja regresji jest liniowa, o współczynikach dodatnich co skotkuje ze z roku na rok cena pszenicy będzie wzrastać.Współczyni determinacji wynosi 0,58, a wspólczynik zbieżności wynosi 0,41 co oznacza że cena pszenicy jest wyjaśnina w 58% przez date a w aż 41% przez inne cechy nie ujęte w tym modelu regresji liniowej . Średnia cena w prognozach myli się o 10,69zł. Współczynik zmieności wynosi 17,13% co onzacza że model jest dobrze/średnio dopasowany.</a:t>
          </a:r>
          <a:endParaRPr lang="pl-PL">
            <a:effectLst/>
          </a:endParaRPr>
        </a:p>
        <a:p>
          <a:endParaRPr lang="pl-PL" sz="1100"/>
        </a:p>
      </xdr:txBody>
    </xdr:sp>
    <xdr:clientData/>
  </xdr:twoCellAnchor>
  <xdr:twoCellAnchor>
    <xdr:from>
      <xdr:col>12</xdr:col>
      <xdr:colOff>94204</xdr:colOff>
      <xdr:row>22</xdr:row>
      <xdr:rowOff>20934</xdr:rowOff>
    </xdr:from>
    <xdr:to>
      <xdr:col>17</xdr:col>
      <xdr:colOff>586154</xdr:colOff>
      <xdr:row>35</xdr:row>
      <xdr:rowOff>104670</xdr:rowOff>
    </xdr:to>
    <xdr:sp macro="" textlink="">
      <xdr:nvSpPr>
        <xdr:cNvPr id="7" name="pole tekstowe 6">
          <a:extLst>
            <a:ext uri="{FF2B5EF4-FFF2-40B4-BE49-F238E27FC236}">
              <a16:creationId xmlns:a16="http://schemas.microsoft.com/office/drawing/2014/main" id="{9658E9D9-26CA-1E83-E173-CA45C0E57449}"/>
            </a:ext>
          </a:extLst>
        </xdr:cNvPr>
        <xdr:cNvSpPr txBox="1"/>
      </xdr:nvSpPr>
      <xdr:spPr>
        <a:xfrm>
          <a:off x="7462995" y="6468626"/>
          <a:ext cx="3569258" cy="25330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Cena bułki od daty:</a:t>
          </a:r>
        </a:p>
        <a:p>
          <a:r>
            <a:rPr lang="pl-PL" sz="1100"/>
            <a:t>Funkcja regresji jest liniowa i również dodatnia,</a:t>
          </a:r>
          <a:r>
            <a:rPr lang="pl-PL" sz="1100" baseline="0"/>
            <a:t> co sprawia że z roku na rok cena bułki będzie coraz większa. Współczynik detemincaji wynosi aż 0,88 a współczynik zbieżności tylko 0,11 więc cena bułki jest bardzo dobrze wyjaśniana przez date i tylko 11% są to żeczy nie uwzględnione w tym modelu regresji. Różnica ceny w prognozach średnio wynosi tylko 2gr a współczynik zmieności resztowej jest bardzo niski tlyko 7,54%.Cena bułki od daty jest lepszym modelem regresji niż cena bułki od ceny pszenicy ponieważ ma większy współczynik zbieżność i mniejsze współczynik zmieność resztowej, oraz mniejsze odchylenie resztowe. Dlatego progrnozy o cenie bulki powiniśmy robić na podstawie tego modelu.</a:t>
          </a:r>
          <a:endParaRPr lang="pl-PL" sz="1100"/>
        </a:p>
      </xdr:txBody>
    </xdr:sp>
    <xdr:clientData/>
  </xdr:twoCellAnchor>
  <xdr:twoCellAnchor>
    <xdr:from>
      <xdr:col>14</xdr:col>
      <xdr:colOff>157006</xdr:colOff>
      <xdr:row>40</xdr:row>
      <xdr:rowOff>177940</xdr:rowOff>
    </xdr:from>
    <xdr:to>
      <xdr:col>18</xdr:col>
      <xdr:colOff>439615</xdr:colOff>
      <xdr:row>54</xdr:row>
      <xdr:rowOff>83737</xdr:rowOff>
    </xdr:to>
    <xdr:sp macro="" textlink="">
      <xdr:nvSpPr>
        <xdr:cNvPr id="8" name="pole tekstowe 7">
          <a:extLst>
            <a:ext uri="{FF2B5EF4-FFF2-40B4-BE49-F238E27FC236}">
              <a16:creationId xmlns:a16="http://schemas.microsoft.com/office/drawing/2014/main" id="{9FC94ACF-CA47-793B-4D47-E51B86C7AF63}"/>
            </a:ext>
          </a:extLst>
        </xdr:cNvPr>
        <xdr:cNvSpPr txBox="1"/>
      </xdr:nvSpPr>
      <xdr:spPr>
        <a:xfrm>
          <a:off x="8781841" y="10016951"/>
          <a:ext cx="2710961" cy="25434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W</a:t>
          </a:r>
          <a:r>
            <a:rPr lang="pl-PL" sz="1100" baseline="0"/>
            <a:t> prognozach daty pszyszłe zostały oznaczone kolorem czerwonym. a wartośći do nich kolorem fioletowym. </a:t>
          </a:r>
        </a:p>
        <a:p>
          <a:r>
            <a:rPr lang="pl-PL" sz="1100" baseline="0"/>
            <a:t>Na podstaiwe tych danych możemy wywnioskować że:</a:t>
          </a:r>
        </a:p>
        <a:p>
          <a:r>
            <a:rPr lang="pl-PL" sz="1100" baseline="0"/>
            <a:t>Cana pszenicy zwiększy się dwukrotnie w około 2066r. </a:t>
          </a:r>
        </a:p>
        <a:p>
          <a:r>
            <a:rPr lang="pl-PL" sz="1100" baseline="0"/>
            <a:t>Cena bułki osiągnie poziom 1zł w 2063  korzystając z funkji bułka/data , natomiast tą samą cene bułka osiągnie  dopiero w 2085r. korzystającc z funkcji bułka/pszenica. Ponieważ model bułka/data jest lepszy niż bułka/pszenica nie jest to optymistyczna wizja .</a:t>
          </a:r>
          <a:endParaRPr lang="pl-P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7" name="Wykres 6">
              <a:extLst>
                <a:ext uri="{FF2B5EF4-FFF2-40B4-BE49-F238E27FC236}">
                  <a16:creationId xmlns:a16="http://schemas.microsoft.com/office/drawing/2014/main" id="{3F97FA9C-FD7C-4450-8DD4-FCAABC76D7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28800" y="190500"/>
              <a:ext cx="4572000" cy="2743200"/>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10</xdr:col>
      <xdr:colOff>304800</xdr:colOff>
      <xdr:row>1</xdr:row>
      <xdr:rowOff>0</xdr:rowOff>
    </xdr:from>
    <xdr:to>
      <xdr:col>18</xdr:col>
      <xdr:colOff>0</xdr:colOff>
      <xdr:row>15</xdr:row>
      <xdr:rowOff>76200</xdr:rowOff>
    </xdr:to>
    <mc:AlternateContent xmlns:mc="http://schemas.openxmlformats.org/markup-compatibility/2006">
      <mc:Choice xmlns:cx1="http://schemas.microsoft.com/office/drawing/2015/9/8/chartex" Requires="cx1">
        <xdr:graphicFrame macro="">
          <xdr:nvGraphicFramePr>
            <xdr:cNvPr id="10" name="Wykres 9">
              <a:extLst>
                <a:ext uri="{FF2B5EF4-FFF2-40B4-BE49-F238E27FC236}">
                  <a16:creationId xmlns:a16="http://schemas.microsoft.com/office/drawing/2014/main" id="{E61273D2-EAB2-4215-BB36-C36EB31192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00800" y="190500"/>
              <a:ext cx="4572000" cy="2743200"/>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18</xdr:col>
      <xdr:colOff>9525</xdr:colOff>
      <xdr:row>1</xdr:row>
      <xdr:rowOff>9525</xdr:rowOff>
    </xdr:from>
    <xdr:to>
      <xdr:col>25</xdr:col>
      <xdr:colOff>314325</xdr:colOff>
      <xdr:row>15</xdr:row>
      <xdr:rowOff>85725</xdr:rowOff>
    </xdr:to>
    <mc:AlternateContent xmlns:mc="http://schemas.openxmlformats.org/markup-compatibility/2006">
      <mc:Choice xmlns:cx1="http://schemas.microsoft.com/office/drawing/2015/9/8/chartex" Requires="cx1">
        <xdr:graphicFrame macro="">
          <xdr:nvGraphicFramePr>
            <xdr:cNvPr id="15" name="Wykres 14">
              <a:extLst>
                <a:ext uri="{FF2B5EF4-FFF2-40B4-BE49-F238E27FC236}">
                  <a16:creationId xmlns:a16="http://schemas.microsoft.com/office/drawing/2014/main" id="{67E4EE1F-3CF0-441D-B5C8-376C6DC0D1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982325" y="200025"/>
              <a:ext cx="4572000" cy="2743200"/>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18</xdr:col>
      <xdr:colOff>9525</xdr:colOff>
      <xdr:row>18</xdr:row>
      <xdr:rowOff>66675</xdr:rowOff>
    </xdr:from>
    <xdr:to>
      <xdr:col>25</xdr:col>
      <xdr:colOff>314325</xdr:colOff>
      <xdr:row>32</xdr:row>
      <xdr:rowOff>142875</xdr:rowOff>
    </xdr:to>
    <mc:AlternateContent xmlns:mc="http://schemas.openxmlformats.org/markup-compatibility/2006">
      <mc:Choice xmlns:cx1="http://schemas.microsoft.com/office/drawing/2015/9/8/chartex" Requires="cx1">
        <xdr:graphicFrame macro="">
          <xdr:nvGraphicFramePr>
            <xdr:cNvPr id="19" name="Wykres 18">
              <a:extLst>
                <a:ext uri="{FF2B5EF4-FFF2-40B4-BE49-F238E27FC236}">
                  <a16:creationId xmlns:a16="http://schemas.microsoft.com/office/drawing/2014/main" id="{D84288EE-9872-4A87-BF38-90D2440233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982325" y="3495675"/>
              <a:ext cx="4572000" cy="2743200"/>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10</xdr:col>
      <xdr:colOff>295275</xdr:colOff>
      <xdr:row>18</xdr:row>
      <xdr:rowOff>47625</xdr:rowOff>
    </xdr:from>
    <xdr:to>
      <xdr:col>17</xdr:col>
      <xdr:colOff>600075</xdr:colOff>
      <xdr:row>32</xdr:row>
      <xdr:rowOff>123825</xdr:rowOff>
    </xdr:to>
    <mc:AlternateContent xmlns:mc="http://schemas.openxmlformats.org/markup-compatibility/2006">
      <mc:Choice xmlns:cx1="http://schemas.microsoft.com/office/drawing/2015/9/8/chartex" Requires="cx1">
        <xdr:graphicFrame macro="">
          <xdr:nvGraphicFramePr>
            <xdr:cNvPr id="20" name="Wykres 19">
              <a:extLst>
                <a:ext uri="{FF2B5EF4-FFF2-40B4-BE49-F238E27FC236}">
                  <a16:creationId xmlns:a16="http://schemas.microsoft.com/office/drawing/2014/main" id="{4A52EB91-870F-42D2-818F-874E8F2306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391275" y="3476625"/>
              <a:ext cx="4572000" cy="2743200"/>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2</xdr:col>
      <xdr:colOff>590550</xdr:colOff>
      <xdr:row>18</xdr:row>
      <xdr:rowOff>28575</xdr:rowOff>
    </xdr:from>
    <xdr:to>
      <xdr:col>10</xdr:col>
      <xdr:colOff>285750</xdr:colOff>
      <xdr:row>32</xdr:row>
      <xdr:rowOff>104775</xdr:rowOff>
    </xdr:to>
    <mc:AlternateContent xmlns:mc="http://schemas.openxmlformats.org/markup-compatibility/2006">
      <mc:Choice xmlns:cx1="http://schemas.microsoft.com/office/drawing/2015/9/8/chartex" Requires="cx1">
        <xdr:graphicFrame macro="">
          <xdr:nvGraphicFramePr>
            <xdr:cNvPr id="21" name="Wykres 20">
              <a:extLst>
                <a:ext uri="{FF2B5EF4-FFF2-40B4-BE49-F238E27FC236}">
                  <a16:creationId xmlns:a16="http://schemas.microsoft.com/office/drawing/2014/main" id="{4BF2DB21-9EFB-4E9D-A4A5-E2FE7A0013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809750" y="3457575"/>
              <a:ext cx="4572000" cy="2743200"/>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10</xdr:col>
      <xdr:colOff>319768</xdr:colOff>
      <xdr:row>35</xdr:row>
      <xdr:rowOff>2721</xdr:rowOff>
    </xdr:from>
    <xdr:to>
      <xdr:col>18</xdr:col>
      <xdr:colOff>12246</xdr:colOff>
      <xdr:row>49</xdr:row>
      <xdr:rowOff>78921</xdr:rowOff>
    </xdr:to>
    <xdr:graphicFrame macro="">
      <xdr:nvGraphicFramePr>
        <xdr:cNvPr id="22" name="Wykres 21">
          <a:extLst>
            <a:ext uri="{FF2B5EF4-FFF2-40B4-BE49-F238E27FC236}">
              <a16:creationId xmlns:a16="http://schemas.microsoft.com/office/drawing/2014/main" id="{50C270C5-C090-49A1-ADB1-542CE7857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413656</xdr:colOff>
      <xdr:row>50</xdr:row>
      <xdr:rowOff>97971</xdr:rowOff>
    </xdr:from>
    <xdr:to>
      <xdr:col>10</xdr:col>
      <xdr:colOff>108857</xdr:colOff>
      <xdr:row>64</xdr:row>
      <xdr:rowOff>174171</xdr:rowOff>
    </xdr:to>
    <xdr:graphicFrame macro="">
      <xdr:nvGraphicFramePr>
        <xdr:cNvPr id="23" name="Wykres 22">
          <a:extLst>
            <a:ext uri="{FF2B5EF4-FFF2-40B4-BE49-F238E27FC236}">
              <a16:creationId xmlns:a16="http://schemas.microsoft.com/office/drawing/2014/main" id="{9BB9C8A3-F0A5-42D5-A132-AC0ABAB8A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435429</xdr:colOff>
      <xdr:row>35</xdr:row>
      <xdr:rowOff>13606</xdr:rowOff>
    </xdr:from>
    <xdr:to>
      <xdr:col>10</xdr:col>
      <xdr:colOff>127908</xdr:colOff>
      <xdr:row>49</xdr:row>
      <xdr:rowOff>89806</xdr:rowOff>
    </xdr:to>
    <xdr:graphicFrame macro="">
      <xdr:nvGraphicFramePr>
        <xdr:cNvPr id="11" name="Wykres 10">
          <a:extLst>
            <a:ext uri="{FF2B5EF4-FFF2-40B4-BE49-F238E27FC236}">
              <a16:creationId xmlns:a16="http://schemas.microsoft.com/office/drawing/2014/main" id="{502AFE16-39B0-4F19-A901-3CACCA6A2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36739</xdr:colOff>
      <xdr:row>35</xdr:row>
      <xdr:rowOff>4082</xdr:rowOff>
    </xdr:from>
    <xdr:to>
      <xdr:col>25</xdr:col>
      <xdr:colOff>341539</xdr:colOff>
      <xdr:row>49</xdr:row>
      <xdr:rowOff>80282</xdr:rowOff>
    </xdr:to>
    <xdr:graphicFrame macro="">
      <xdr:nvGraphicFramePr>
        <xdr:cNvPr id="13" name="Wykres 12">
          <a:extLst>
            <a:ext uri="{FF2B5EF4-FFF2-40B4-BE49-F238E27FC236}">
              <a16:creationId xmlns:a16="http://schemas.microsoft.com/office/drawing/2014/main" id="{BEF0810E-C82F-4A45-A990-629B64C99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542925</xdr:colOff>
      <xdr:row>15</xdr:row>
      <xdr:rowOff>142875</xdr:rowOff>
    </xdr:from>
    <xdr:to>
      <xdr:col>10</xdr:col>
      <xdr:colOff>333375</xdr:colOff>
      <xdr:row>18</xdr:row>
      <xdr:rowOff>28575</xdr:rowOff>
    </xdr:to>
    <xdr:sp macro="" textlink="">
      <xdr:nvSpPr>
        <xdr:cNvPr id="14" name="pole tekstowe 13">
          <a:extLst>
            <a:ext uri="{FF2B5EF4-FFF2-40B4-BE49-F238E27FC236}">
              <a16:creationId xmlns:a16="http://schemas.microsoft.com/office/drawing/2014/main" id="{CEDB4BB3-C873-8B48-D207-C5426D3A12C1}"/>
            </a:ext>
          </a:extLst>
        </xdr:cNvPr>
        <xdr:cNvSpPr txBox="1"/>
      </xdr:nvSpPr>
      <xdr:spPr>
        <a:xfrm>
          <a:off x="1762125" y="3000375"/>
          <a:ext cx="466725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Wykres prawokośny. Widzimy że najczęściej</a:t>
          </a:r>
          <a:r>
            <a:rPr lang="pl-PL" sz="1100" baseline="0"/>
            <a:t> bułka była w cenie od 0,33zł do 0,43zł</a:t>
          </a:r>
          <a:endParaRPr lang="pl-PL" sz="1100"/>
        </a:p>
      </xdr:txBody>
    </xdr:sp>
    <xdr:clientData/>
  </xdr:twoCellAnchor>
  <xdr:twoCellAnchor>
    <xdr:from>
      <xdr:col>10</xdr:col>
      <xdr:colOff>304800</xdr:colOff>
      <xdr:row>15</xdr:row>
      <xdr:rowOff>133350</xdr:rowOff>
    </xdr:from>
    <xdr:to>
      <xdr:col>18</xdr:col>
      <xdr:colOff>95250</xdr:colOff>
      <xdr:row>18</xdr:row>
      <xdr:rowOff>19050</xdr:rowOff>
    </xdr:to>
    <xdr:sp macro="" textlink="">
      <xdr:nvSpPr>
        <xdr:cNvPr id="25" name="pole tekstowe 24">
          <a:extLst>
            <a:ext uri="{FF2B5EF4-FFF2-40B4-BE49-F238E27FC236}">
              <a16:creationId xmlns:a16="http://schemas.microsoft.com/office/drawing/2014/main" id="{71788134-D1E7-47F5-B922-61B3EECED85D}"/>
            </a:ext>
          </a:extLst>
        </xdr:cNvPr>
        <xdr:cNvSpPr txBox="1"/>
      </xdr:nvSpPr>
      <xdr:spPr>
        <a:xfrm>
          <a:off x="6400800" y="2990850"/>
          <a:ext cx="466725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Wykres prawokośny. Widzimy że najżadziej</a:t>
          </a:r>
          <a:r>
            <a:rPr lang="pl-PL" sz="1100" baseline="0"/>
            <a:t> pszenica osiągał wartości bliskie 100zł, a najczęściej kosztowała od 56zł do 76zł </a:t>
          </a:r>
          <a:endParaRPr lang="pl-PL" sz="1100"/>
        </a:p>
      </xdr:txBody>
    </xdr:sp>
    <xdr:clientData/>
  </xdr:twoCellAnchor>
  <xdr:twoCellAnchor>
    <xdr:from>
      <xdr:col>18</xdr:col>
      <xdr:colOff>114300</xdr:colOff>
      <xdr:row>15</xdr:row>
      <xdr:rowOff>104775</xdr:rowOff>
    </xdr:from>
    <xdr:to>
      <xdr:col>25</xdr:col>
      <xdr:colOff>514350</xdr:colOff>
      <xdr:row>17</xdr:row>
      <xdr:rowOff>180975</xdr:rowOff>
    </xdr:to>
    <xdr:sp macro="" textlink="">
      <xdr:nvSpPr>
        <xdr:cNvPr id="28" name="pole tekstowe 27">
          <a:extLst>
            <a:ext uri="{FF2B5EF4-FFF2-40B4-BE49-F238E27FC236}">
              <a16:creationId xmlns:a16="http://schemas.microsoft.com/office/drawing/2014/main" id="{94FF5FA2-7885-4A2C-906A-1D15B9F7EE48}"/>
            </a:ext>
          </a:extLst>
        </xdr:cNvPr>
        <xdr:cNvSpPr txBox="1"/>
      </xdr:nvSpPr>
      <xdr:spPr>
        <a:xfrm>
          <a:off x="11087100" y="2962275"/>
          <a:ext cx="466725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Wykres</a:t>
          </a:r>
          <a:r>
            <a:rPr lang="pl-PL" sz="1100" baseline="0"/>
            <a:t> delikaynie</a:t>
          </a:r>
          <a:r>
            <a:rPr lang="pl-PL" sz="1100"/>
            <a:t> prawokośny. Bliski rozkladowi</a:t>
          </a:r>
          <a:r>
            <a:rPr lang="pl-PL" sz="1100" baseline="0"/>
            <a:t> normalnemu. </a:t>
          </a:r>
          <a:r>
            <a:rPr lang="pl-PL" sz="1100"/>
            <a:t>Widzimy że najczęściej</a:t>
          </a:r>
          <a:r>
            <a:rPr lang="pl-PL" sz="1100" baseline="0"/>
            <a:t> ropa była w cenie od 39$ do 59$. </a:t>
          </a:r>
          <a:endParaRPr lang="pl-PL" sz="1100"/>
        </a:p>
      </xdr:txBody>
    </xdr:sp>
    <xdr:clientData/>
  </xdr:twoCellAnchor>
  <xdr:twoCellAnchor>
    <xdr:from>
      <xdr:col>2</xdr:col>
      <xdr:colOff>571500</xdr:colOff>
      <xdr:row>32</xdr:row>
      <xdr:rowOff>142875</xdr:rowOff>
    </xdr:from>
    <xdr:to>
      <xdr:col>10</xdr:col>
      <xdr:colOff>238125</xdr:colOff>
      <xdr:row>35</xdr:row>
      <xdr:rowOff>0</xdr:rowOff>
    </xdr:to>
    <xdr:sp macro="" textlink="">
      <xdr:nvSpPr>
        <xdr:cNvPr id="29" name="pole tekstowe 28">
          <a:extLst>
            <a:ext uri="{FF2B5EF4-FFF2-40B4-BE49-F238E27FC236}">
              <a16:creationId xmlns:a16="http://schemas.microsoft.com/office/drawing/2014/main" id="{8A4D8AE4-CFB1-F416-A248-27158AC5EBC7}"/>
            </a:ext>
          </a:extLst>
        </xdr:cNvPr>
        <xdr:cNvSpPr txBox="1"/>
      </xdr:nvSpPr>
      <xdr:spPr>
        <a:xfrm>
          <a:off x="1790700" y="6238875"/>
          <a:ext cx="454342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z wykresu możemu odczytać że</a:t>
          </a:r>
          <a:r>
            <a:rPr lang="pl-PL" sz="1100" baseline="0"/>
            <a:t> połowa cen bułki była w przedziale 0,30 zł -0,44zł , natomiast wartość min to 0,23 zł a max to 0,56zł</a:t>
          </a:r>
          <a:endParaRPr lang="pl-PL" sz="1100"/>
        </a:p>
      </xdr:txBody>
    </xdr:sp>
    <xdr:clientData/>
  </xdr:twoCellAnchor>
  <xdr:twoCellAnchor>
    <xdr:from>
      <xdr:col>10</xdr:col>
      <xdr:colOff>438150</xdr:colOff>
      <xdr:row>32</xdr:row>
      <xdr:rowOff>161925</xdr:rowOff>
    </xdr:from>
    <xdr:to>
      <xdr:col>17</xdr:col>
      <xdr:colOff>590550</xdr:colOff>
      <xdr:row>35</xdr:row>
      <xdr:rowOff>85725</xdr:rowOff>
    </xdr:to>
    <xdr:sp macro="" textlink="">
      <xdr:nvSpPr>
        <xdr:cNvPr id="30" name="pole tekstowe 29">
          <a:extLst>
            <a:ext uri="{FF2B5EF4-FFF2-40B4-BE49-F238E27FC236}">
              <a16:creationId xmlns:a16="http://schemas.microsoft.com/office/drawing/2014/main" id="{83D4433A-E55B-747B-F993-789DA6717E05}"/>
            </a:ext>
          </a:extLst>
        </xdr:cNvPr>
        <xdr:cNvSpPr txBox="1"/>
      </xdr:nvSpPr>
      <xdr:spPr>
        <a:xfrm>
          <a:off x="6534150" y="6257925"/>
          <a:ext cx="44196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l-PL" sz="1100">
              <a:solidFill>
                <a:schemeClr val="dk1"/>
              </a:solidFill>
              <a:effectLst/>
              <a:latin typeface="+mn-lt"/>
              <a:ea typeface="+mn-ea"/>
              <a:cs typeface="+mn-cs"/>
            </a:rPr>
            <a:t>z wykresu możemu odczytać że</a:t>
          </a:r>
          <a:r>
            <a:rPr lang="pl-PL" sz="1100" baseline="0">
              <a:solidFill>
                <a:schemeClr val="dk1"/>
              </a:solidFill>
              <a:effectLst/>
              <a:latin typeface="+mn-lt"/>
              <a:ea typeface="+mn-ea"/>
              <a:cs typeface="+mn-cs"/>
            </a:rPr>
            <a:t> cena pszenicy w poszczegółnych 10 latach była w przedziale 47 zł -72ł , natomiast wartość min to 36zł a max to 96zł</a:t>
          </a:r>
          <a:endParaRPr lang="pl-PL">
            <a:effectLst/>
          </a:endParaRPr>
        </a:p>
        <a:p>
          <a:endParaRPr lang="pl-PL" sz="1100"/>
        </a:p>
      </xdr:txBody>
    </xdr:sp>
    <xdr:clientData/>
  </xdr:twoCellAnchor>
  <xdr:twoCellAnchor>
    <xdr:from>
      <xdr:col>18</xdr:col>
      <xdr:colOff>9524</xdr:colOff>
      <xdr:row>31</xdr:row>
      <xdr:rowOff>85726</xdr:rowOff>
    </xdr:from>
    <xdr:to>
      <xdr:col>27</xdr:col>
      <xdr:colOff>38100</xdr:colOff>
      <xdr:row>34</xdr:row>
      <xdr:rowOff>180976</xdr:rowOff>
    </xdr:to>
    <xdr:sp macro="" textlink="">
      <xdr:nvSpPr>
        <xdr:cNvPr id="31" name="pole tekstowe 30">
          <a:extLst>
            <a:ext uri="{FF2B5EF4-FFF2-40B4-BE49-F238E27FC236}">
              <a16:creationId xmlns:a16="http://schemas.microsoft.com/office/drawing/2014/main" id="{48F18975-9BF1-C0C4-2B01-18ABE9799A32}"/>
            </a:ext>
          </a:extLst>
        </xdr:cNvPr>
        <xdr:cNvSpPr txBox="1"/>
      </xdr:nvSpPr>
      <xdr:spPr>
        <a:xfrm>
          <a:off x="10982324" y="5991226"/>
          <a:ext cx="5514976"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Z wykres widzimiy że połowa wartości mieści się w przedziale</a:t>
          </a:r>
          <a:r>
            <a:rPr lang="pl-PL" sz="1100" baseline="0"/>
            <a:t> 39$-79$. Widzimy również bardzo dużą róźnice między wartościa minimalna a maksymalna. Jest to jedyny wykres pudelkowy w tym zestawieniu który ma średnią większą niż mediane</a:t>
          </a:r>
          <a:endParaRPr lang="pl-PL" sz="1100"/>
        </a:p>
      </xdr:txBody>
    </xdr:sp>
    <xdr:clientData/>
  </xdr:twoCellAnchor>
  <xdr:twoCellAnchor>
    <xdr:from>
      <xdr:col>10</xdr:col>
      <xdr:colOff>304800</xdr:colOff>
      <xdr:row>52</xdr:row>
      <xdr:rowOff>9524</xdr:rowOff>
    </xdr:from>
    <xdr:to>
      <xdr:col>16</xdr:col>
      <xdr:colOff>485775</xdr:colOff>
      <xdr:row>60</xdr:row>
      <xdr:rowOff>19049</xdr:rowOff>
    </xdr:to>
    <xdr:sp macro="" textlink="">
      <xdr:nvSpPr>
        <xdr:cNvPr id="32" name="pole tekstowe 31">
          <a:extLst>
            <a:ext uri="{FF2B5EF4-FFF2-40B4-BE49-F238E27FC236}">
              <a16:creationId xmlns:a16="http://schemas.microsoft.com/office/drawing/2014/main" id="{48103207-7BD6-78C0-E784-F6888BC2BC2A}"/>
            </a:ext>
          </a:extLst>
        </xdr:cNvPr>
        <xdr:cNvSpPr txBox="1"/>
      </xdr:nvSpPr>
      <xdr:spPr>
        <a:xfrm>
          <a:off x="6400800" y="9915524"/>
          <a:ext cx="3838575" cy="1533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Te wykresy zostały szczegółowo opisane w zakladce Prognoza.</a:t>
          </a:r>
        </a:p>
        <a:p>
          <a:r>
            <a:rPr lang="pl-PL" sz="1100"/>
            <a:t>Za wyjątkiem wykresu Cena ropy od Daty. Tu posłużyłem</a:t>
          </a:r>
          <a:r>
            <a:rPr lang="pl-PL" sz="1100" baseline="0"/>
            <a:t> się wbudowanymi możliwościami excela i wygenerowałem linie trendu. Najlepsza w tym wypadku funkcja to:wielomian 6stopnia, jest to bardzo skomplikwoana funkcja która dość dobrze oddaje rzeczywiste dane. Współczynik zbieżności jest na dobry poziomie 79%, Według tych danych po roku 2025r. powiniśmy się spodziewać gwałtownego spatku cen ropy.</a:t>
          </a:r>
          <a:endParaRPr lang="pl-PL" sz="1100"/>
        </a:p>
      </xdr:txBody>
    </xdr:sp>
    <xdr:clientData/>
  </xdr:twoCellAnchor>
  <xdr:twoCellAnchor>
    <xdr:from>
      <xdr:col>18</xdr:col>
      <xdr:colOff>231321</xdr:colOff>
      <xdr:row>52</xdr:row>
      <xdr:rowOff>27214</xdr:rowOff>
    </xdr:from>
    <xdr:to>
      <xdr:col>21</xdr:col>
      <xdr:colOff>517071</xdr:colOff>
      <xdr:row>58</xdr:row>
      <xdr:rowOff>13608</xdr:rowOff>
    </xdr:to>
    <xdr:sp macro="" textlink="">
      <xdr:nvSpPr>
        <xdr:cNvPr id="33" name="pole tekstowe 32">
          <a:extLst>
            <a:ext uri="{FF2B5EF4-FFF2-40B4-BE49-F238E27FC236}">
              <a16:creationId xmlns:a16="http://schemas.microsoft.com/office/drawing/2014/main" id="{2C3C949A-4BC6-6B55-D0B2-016D1C687019}"/>
            </a:ext>
          </a:extLst>
        </xdr:cNvPr>
        <xdr:cNvSpPr txBox="1"/>
      </xdr:nvSpPr>
      <xdr:spPr>
        <a:xfrm>
          <a:off x="11253107" y="9933214"/>
          <a:ext cx="2122714" cy="11293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Ogólnie mówiąc</a:t>
          </a:r>
          <a:r>
            <a:rPr lang="pl-PL" sz="1100" baseline="0"/>
            <a:t> wszystkie te wykresy są potwierdzeniem (przedstawieniem graficznym ) danych omówionych w poprzednich zakładkach </a:t>
          </a:r>
          <a:endParaRPr lang="pl-PL"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22412</xdr:colOff>
      <xdr:row>6</xdr:row>
      <xdr:rowOff>123265</xdr:rowOff>
    </xdr:from>
    <xdr:to>
      <xdr:col>17</xdr:col>
      <xdr:colOff>324971</xdr:colOff>
      <xdr:row>25</xdr:row>
      <xdr:rowOff>0</xdr:rowOff>
    </xdr:to>
    <xdr:sp macro="" textlink="">
      <xdr:nvSpPr>
        <xdr:cNvPr id="2" name="pole tekstowe 1">
          <a:extLst>
            <a:ext uri="{FF2B5EF4-FFF2-40B4-BE49-F238E27FC236}">
              <a16:creationId xmlns:a16="http://schemas.microsoft.com/office/drawing/2014/main" id="{48D2460F-A58E-B870-67E1-288B30195BF5}"/>
            </a:ext>
          </a:extLst>
        </xdr:cNvPr>
        <xdr:cNvSpPr txBox="1"/>
      </xdr:nvSpPr>
      <xdr:spPr>
        <a:xfrm>
          <a:off x="8135471" y="2218765"/>
          <a:ext cx="3328147" cy="34962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Na</a:t>
          </a:r>
          <a:r>
            <a:rPr lang="pl-PL" sz="1100" baseline="0"/>
            <a:t> podstawie tych danych możemy wywnioskować:</a:t>
          </a:r>
        </a:p>
        <a:p>
          <a:r>
            <a:rPr lang="pl-PL" sz="1100" baseline="0"/>
            <a:t>Najbardziej podbna cena aktualna 2021r. do ceny pierowtnej tzn. 1999r, jest cena pszenicy roźni się o 125,13%, a najmniej cena ropy różni sie o 252,30%</a:t>
          </a:r>
        </a:p>
        <a:p>
          <a:r>
            <a:rPr lang="pl-PL" sz="1100" baseline="0"/>
            <a:t>Najbardziej na przestrzeni lat zmieniały się ceny ropy.</a:t>
          </a:r>
        </a:p>
        <a:p>
          <a:r>
            <a:rPr lang="pl-PL" sz="1100" baseline="0"/>
            <a:t>Największy przyrost roczny dla bułki odnotowano w 2000r. wynosil on 17,39%</a:t>
          </a:r>
        </a:p>
        <a:p>
          <a:r>
            <a:rPr lang="pl-PL" sz="1100" baseline="0"/>
            <a:t>Największy przyrost roczny dla pszenicy w 2007r.(związek z kryzem o którym wspominiałem wcześniej w kontekście ropy) i wynosił on aż 57,91%</a:t>
          </a:r>
        </a:p>
        <a:p>
          <a:pPr marL="0" marR="0" lvl="0" indent="0" defTabSz="914400" eaLnBrk="1" fontAlgn="auto" latinLnBrk="0" hangingPunct="1">
            <a:lnSpc>
              <a:spcPct val="100000"/>
            </a:lnSpc>
            <a:spcBef>
              <a:spcPts val="0"/>
            </a:spcBef>
            <a:spcAft>
              <a:spcPts val="0"/>
            </a:spcAft>
            <a:buClrTx/>
            <a:buSzTx/>
            <a:buFontTx/>
            <a:buNone/>
            <a:tabLst/>
            <a:defRPr/>
          </a:pPr>
          <a:r>
            <a:rPr lang="pl-PL" sz="1100" baseline="0">
              <a:solidFill>
                <a:schemeClr val="dk1"/>
              </a:solidFill>
              <a:effectLst/>
              <a:latin typeface="+mn-lt"/>
              <a:ea typeface="+mn-ea"/>
              <a:cs typeface="+mn-cs"/>
            </a:rPr>
            <a:t>Największy przyrost roczny dla ropy był w 2021r. było to najprawdopodbniej spowodane końcem pandemi,w której jak wiadomo ceny ropy poszly w dół.Wynosił on aż 71,80%</a:t>
          </a:r>
        </a:p>
        <a:p>
          <a:pPr marL="0" marR="0" lvl="0" indent="0" defTabSz="914400" eaLnBrk="1" fontAlgn="auto" latinLnBrk="0" hangingPunct="1">
            <a:lnSpc>
              <a:spcPct val="100000"/>
            </a:lnSpc>
            <a:spcBef>
              <a:spcPts val="0"/>
            </a:spcBef>
            <a:spcAft>
              <a:spcPts val="0"/>
            </a:spcAft>
            <a:buClrTx/>
            <a:buSzTx/>
            <a:buFontTx/>
            <a:buNone/>
            <a:tabLst/>
            <a:defRPr/>
          </a:pPr>
          <a:r>
            <a:rPr lang="pl-PL" sz="1100" baseline="0">
              <a:solidFill>
                <a:schemeClr val="dk1"/>
              </a:solidFill>
              <a:effectLst/>
              <a:latin typeface="+mn-lt"/>
              <a:ea typeface="+mn-ea"/>
              <a:cs typeface="+mn-cs"/>
            </a:rPr>
            <a:t>Dla ceny bułki zdarzały się lata bez zmian cen aż 3 razy na przestrzeni 20 lat , co nie miało miejsca w przypadku pozostałych dówch cech.</a:t>
          </a:r>
        </a:p>
        <a:p>
          <a:pPr marL="0" marR="0" lvl="0" indent="0" defTabSz="914400" eaLnBrk="1" fontAlgn="auto" latinLnBrk="0" hangingPunct="1">
            <a:lnSpc>
              <a:spcPct val="100000"/>
            </a:lnSpc>
            <a:spcBef>
              <a:spcPts val="0"/>
            </a:spcBef>
            <a:spcAft>
              <a:spcPts val="0"/>
            </a:spcAft>
            <a:buClrTx/>
            <a:buSzTx/>
            <a:buFontTx/>
            <a:buNone/>
            <a:tabLst/>
            <a:defRPr/>
          </a:pPr>
          <a:r>
            <a:rPr lang="pl-PL" sz="1100" baseline="0">
              <a:solidFill>
                <a:schemeClr val="dk1"/>
              </a:solidFill>
              <a:effectLst/>
              <a:latin typeface="+mn-lt"/>
              <a:ea typeface="+mn-ea"/>
              <a:cs typeface="+mn-cs"/>
            </a:rPr>
            <a:t>Wszystkie cechy odnotowywały spadki i wzrosty cen na przestrzeni lat.</a:t>
          </a:r>
          <a:endParaRPr lang="pl-PL">
            <a:effectLst/>
          </a:endParaRPr>
        </a:p>
      </xdr:txBody>
    </xdr:sp>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D391-188D-496A-944C-8A29176E68F8}">
  <dimension ref="D1:K27"/>
  <sheetViews>
    <sheetView topLeftCell="C1" workbookViewId="0">
      <selection activeCell="E26" sqref="E26"/>
    </sheetView>
  </sheetViews>
  <sheetFormatPr defaultRowHeight="15" x14ac:dyDescent="0.25"/>
  <cols>
    <col min="4" max="4" width="25.140625" bestFit="1" customWidth="1"/>
    <col min="5" max="5" width="16.28515625" bestFit="1" customWidth="1"/>
    <col min="6" max="6" width="27.140625" bestFit="1" customWidth="1"/>
    <col min="7" max="7" width="41.42578125" bestFit="1" customWidth="1"/>
    <col min="10" max="10" width="27.140625" bestFit="1" customWidth="1"/>
  </cols>
  <sheetData>
    <row r="1" spans="4:10" x14ac:dyDescent="0.25">
      <c r="D1" s="16" t="s">
        <v>15</v>
      </c>
      <c r="E1" s="17" t="s">
        <v>14</v>
      </c>
      <c r="F1" s="4" t="s">
        <v>16</v>
      </c>
      <c r="H1" s="33" t="s">
        <v>30</v>
      </c>
      <c r="J1" s="9" t="s">
        <v>31</v>
      </c>
    </row>
    <row r="2" spans="4:10" x14ac:dyDescent="0.25">
      <c r="D2" s="20">
        <v>0.23</v>
      </c>
      <c r="E2" s="17">
        <v>42.98</v>
      </c>
      <c r="F2" s="4">
        <v>19.350000000000001</v>
      </c>
      <c r="H2" s="33">
        <v>1999</v>
      </c>
      <c r="J2" s="10">
        <f>(E2-'Podstawowe miary'!$D$6)^2</f>
        <v>378.79313724007579</v>
      </c>
    </row>
    <row r="3" spans="4:10" x14ac:dyDescent="0.25">
      <c r="D3" s="20">
        <v>0.27</v>
      </c>
      <c r="E3" s="17">
        <v>50.82</v>
      </c>
      <c r="F3" s="4">
        <v>30.38</v>
      </c>
      <c r="H3" s="33">
        <v>2000</v>
      </c>
      <c r="J3" s="10">
        <f>(E3-'Podstawowe miary'!$D$6)^2</f>
        <v>135.08503289224956</v>
      </c>
    </row>
    <row r="4" spans="4:10" x14ac:dyDescent="0.25">
      <c r="D4" s="20">
        <v>0.3</v>
      </c>
      <c r="E4" s="17">
        <v>50.45</v>
      </c>
      <c r="F4" s="4">
        <v>25.98</v>
      </c>
      <c r="H4" s="33">
        <v>2001</v>
      </c>
      <c r="J4" s="10">
        <f>(E4-'Podstawowe miary'!$D$6)^2</f>
        <v>143.8226633270321</v>
      </c>
    </row>
    <row r="5" spans="4:10" x14ac:dyDescent="0.25">
      <c r="D5" s="20">
        <v>0.28999999999999998</v>
      </c>
      <c r="E5" s="17">
        <v>43.61</v>
      </c>
      <c r="F5" s="4">
        <v>26.19</v>
      </c>
      <c r="G5" s="2"/>
      <c r="H5" s="33">
        <v>2002</v>
      </c>
      <c r="J5" s="10">
        <f>(E5-'Podstawowe miary'!$D$6)^2</f>
        <v>354.66715028355395</v>
      </c>
    </row>
    <row r="6" spans="4:10" x14ac:dyDescent="0.25">
      <c r="D6" s="20">
        <v>0.3</v>
      </c>
      <c r="E6" s="17">
        <v>45.51</v>
      </c>
      <c r="F6" s="4">
        <v>31.08</v>
      </c>
      <c r="G6" s="1"/>
      <c r="H6" s="33">
        <v>2003</v>
      </c>
      <c r="J6" s="10">
        <f>(E6-'Podstawowe miary'!$D$6)^2</f>
        <v>286.71323724007573</v>
      </c>
    </row>
    <row r="7" spans="4:10" x14ac:dyDescent="0.25">
      <c r="D7" s="20">
        <v>0.31</v>
      </c>
      <c r="E7" s="17">
        <v>47.19</v>
      </c>
      <c r="F7" s="4">
        <v>41.51</v>
      </c>
      <c r="G7" s="1"/>
      <c r="H7" s="33">
        <v>2004</v>
      </c>
      <c r="J7" s="10">
        <f>(E7-'Podstawowe miary'!$D$6)^2</f>
        <v>232.64207202268443</v>
      </c>
    </row>
    <row r="8" spans="4:10" x14ac:dyDescent="0.25">
      <c r="D8" s="20">
        <v>0.3</v>
      </c>
      <c r="E8" s="17">
        <v>36.69</v>
      </c>
      <c r="F8" s="4">
        <v>56.64</v>
      </c>
      <c r="G8" s="1"/>
      <c r="H8" s="33">
        <v>2005</v>
      </c>
      <c r="J8" s="10">
        <f>(E8-'Podstawowe miary'!$D$6)^2</f>
        <v>663.19685463138012</v>
      </c>
    </row>
    <row r="9" spans="4:10" x14ac:dyDescent="0.25">
      <c r="D9" s="20">
        <v>0.3</v>
      </c>
      <c r="E9" s="17">
        <v>44.76</v>
      </c>
      <c r="F9" s="4">
        <v>66.05</v>
      </c>
      <c r="G9" s="1"/>
      <c r="H9" s="33">
        <v>2006</v>
      </c>
      <c r="J9" s="10">
        <f>(E9-'Podstawowe miary'!$D$6)^2</f>
        <v>312.674650283554</v>
      </c>
    </row>
    <row r="10" spans="4:10" x14ac:dyDescent="0.25">
      <c r="D10" s="20">
        <v>0.35</v>
      </c>
      <c r="E10" s="17">
        <v>70.680000000000007</v>
      </c>
      <c r="F10" s="4">
        <v>72.34</v>
      </c>
      <c r="G10" s="1"/>
      <c r="H10" s="33">
        <v>2007</v>
      </c>
      <c r="J10" s="10">
        <f>(E10-'Podstawowe miary'!$D$6)^2</f>
        <v>67.854615500945258</v>
      </c>
    </row>
    <row r="11" spans="4:10" x14ac:dyDescent="0.25">
      <c r="D11" s="20">
        <v>0.39</v>
      </c>
      <c r="E11" s="17">
        <v>64.239999999999995</v>
      </c>
      <c r="F11" s="4">
        <v>99.67</v>
      </c>
      <c r="G11" s="1"/>
      <c r="H11" s="33">
        <v>2008</v>
      </c>
      <c r="J11" s="10">
        <f>(E11-'Podstawowe miary'!$D$6)^2</f>
        <v>3.2306155009451545</v>
      </c>
    </row>
    <row r="12" spans="4:10" x14ac:dyDescent="0.25">
      <c r="D12" s="20">
        <v>0.39</v>
      </c>
      <c r="E12" s="17">
        <v>48.26</v>
      </c>
      <c r="F12" s="4">
        <v>61.95</v>
      </c>
      <c r="G12" s="1"/>
      <c r="H12" s="33">
        <v>2009</v>
      </c>
      <c r="J12" s="10">
        <f>(E12-'Podstawowe miary'!$D$6)^2</f>
        <v>201.14638941398877</v>
      </c>
    </row>
    <row r="13" spans="4:10" x14ac:dyDescent="0.25">
      <c r="D13" s="20">
        <v>0.4</v>
      </c>
      <c r="E13" s="17">
        <v>59.84</v>
      </c>
      <c r="F13" s="4">
        <v>79.48</v>
      </c>
      <c r="G13" s="1"/>
      <c r="H13" s="33">
        <v>2010</v>
      </c>
      <c r="J13" s="10">
        <f>(E13-'Podstawowe miary'!$D$6)^2</f>
        <v>6.7735720226843021</v>
      </c>
    </row>
    <row r="14" spans="4:10" x14ac:dyDescent="0.25">
      <c r="D14" s="20">
        <v>0.44</v>
      </c>
      <c r="E14" s="17">
        <v>81.99</v>
      </c>
      <c r="F14" s="4">
        <v>94.88</v>
      </c>
      <c r="G14" s="1"/>
      <c r="H14" s="33">
        <v>2011</v>
      </c>
      <c r="J14" s="10">
        <f>(E14-'Podstawowe miary'!$D$6)^2</f>
        <v>382.10050680529275</v>
      </c>
    </row>
    <row r="15" spans="4:10" x14ac:dyDescent="0.25">
      <c r="D15" s="20">
        <v>0.44</v>
      </c>
      <c r="E15" s="17">
        <v>89.34</v>
      </c>
      <c r="F15" s="4">
        <v>94.05</v>
      </c>
      <c r="G15" s="1"/>
      <c r="H15" s="33">
        <v>2012</v>
      </c>
      <c r="J15" s="10">
        <f>(E15-'Podstawowe miary'!$D$6)^2</f>
        <v>723.46965897920609</v>
      </c>
    </row>
    <row r="16" spans="4:10" x14ac:dyDescent="0.25">
      <c r="D16" s="20">
        <v>0.43</v>
      </c>
      <c r="E16" s="17">
        <v>79.67</v>
      </c>
      <c r="F16" s="4">
        <v>97.98</v>
      </c>
      <c r="G16" s="1"/>
      <c r="H16" s="33">
        <v>2013</v>
      </c>
      <c r="J16" s="10">
        <f>(E16-'Podstawowe miary'!$D$6)^2</f>
        <v>296.78301115311911</v>
      </c>
    </row>
    <row r="17" spans="4:11" x14ac:dyDescent="0.25">
      <c r="D17" s="20">
        <v>0.42</v>
      </c>
      <c r="E17" s="17">
        <v>68.36</v>
      </c>
      <c r="F17" s="4">
        <v>93.17</v>
      </c>
      <c r="G17" s="1"/>
      <c r="H17" s="33">
        <v>2014</v>
      </c>
      <c r="J17" s="10">
        <f>(E17-'Podstawowe miary'!$D$6)^2</f>
        <v>35.015519848771241</v>
      </c>
    </row>
    <row r="18" spans="4:11" x14ac:dyDescent="0.25">
      <c r="D18" s="20">
        <v>0.41</v>
      </c>
      <c r="E18" s="17">
        <v>66.83</v>
      </c>
      <c r="F18" s="4">
        <v>48.66</v>
      </c>
      <c r="G18" s="1"/>
      <c r="H18" s="33">
        <v>2015</v>
      </c>
      <c r="J18" s="10">
        <f>(E18-'Podstawowe miary'!$D$6)^2</f>
        <v>19.249202457466886</v>
      </c>
    </row>
    <row r="19" spans="4:11" x14ac:dyDescent="0.25">
      <c r="D19" s="20">
        <v>0.41</v>
      </c>
      <c r="E19" s="17">
        <v>62.02</v>
      </c>
      <c r="F19" s="4">
        <v>43.29</v>
      </c>
      <c r="G19" s="1"/>
      <c r="H19" s="33">
        <v>2016</v>
      </c>
      <c r="J19" s="10">
        <f>(E19-'Podstawowe miary'!$D$6)^2</f>
        <v>0.17859810964083067</v>
      </c>
    </row>
    <row r="20" spans="4:11" x14ac:dyDescent="0.25">
      <c r="D20" s="20">
        <v>0.42</v>
      </c>
      <c r="E20" s="17">
        <v>66.44</v>
      </c>
      <c r="F20" s="4">
        <v>50.8</v>
      </c>
      <c r="G20" s="1"/>
      <c r="H20" s="33">
        <v>2017</v>
      </c>
      <c r="J20" s="10">
        <f>(E20-'Podstawowe miary'!$D$6)^2</f>
        <v>15.979137240075582</v>
      </c>
    </row>
    <row r="21" spans="4:11" x14ac:dyDescent="0.25">
      <c r="D21" s="20">
        <v>0.44</v>
      </c>
      <c r="E21" s="17">
        <v>72.62</v>
      </c>
      <c r="F21" s="4">
        <v>65.23</v>
      </c>
      <c r="G21" s="1"/>
      <c r="H21" s="33">
        <v>2018</v>
      </c>
      <c r="J21" s="10">
        <f>(E21-'Podstawowe miary'!$D$6)^2</f>
        <v>103.5792937618148</v>
      </c>
    </row>
    <row r="22" spans="4:11" x14ac:dyDescent="0.25">
      <c r="D22" s="20">
        <v>0.48</v>
      </c>
      <c r="E22" s="17">
        <v>72.260000000000005</v>
      </c>
      <c r="F22" s="4">
        <v>56.99</v>
      </c>
      <c r="G22" s="1"/>
      <c r="H22" s="33">
        <v>2019</v>
      </c>
      <c r="J22" s="10">
        <f>(E22-'Podstawowe miary'!$D$6)^2</f>
        <v>96.381172022684368</v>
      </c>
    </row>
    <row r="23" spans="4:11" x14ac:dyDescent="0.25">
      <c r="D23" s="20">
        <v>0.53</v>
      </c>
      <c r="E23" s="17">
        <v>74.86</v>
      </c>
      <c r="F23" s="4">
        <v>39.68</v>
      </c>
      <c r="G23" s="1"/>
      <c r="H23" s="33">
        <v>2020</v>
      </c>
      <c r="J23" s="10">
        <f>(E23-'Podstawowe miary'!$D$6)^2</f>
        <v>154.19160680529293</v>
      </c>
    </row>
    <row r="24" spans="4:11" x14ac:dyDescent="0.25">
      <c r="D24" s="20">
        <v>0.56000000000000005</v>
      </c>
      <c r="E24" s="17">
        <v>96.76</v>
      </c>
      <c r="F24" s="4">
        <v>68.17</v>
      </c>
      <c r="G24" s="1"/>
      <c r="H24" s="33">
        <v>2021</v>
      </c>
      <c r="J24" s="10">
        <f>(E24-'Podstawowe miary'!$D$6)^2</f>
        <v>1177.6833459357281</v>
      </c>
      <c r="K24" s="9">
        <v>23</v>
      </c>
    </row>
    <row r="25" spans="4:11" x14ac:dyDescent="0.25">
      <c r="D25" s="1"/>
      <c r="G25" s="1"/>
      <c r="J25" s="11">
        <f>SUM(J2:J24)/K24</f>
        <v>251.79178449905481</v>
      </c>
    </row>
    <row r="26" spans="4:11" ht="18.75" x14ac:dyDescent="0.3">
      <c r="G26" s="3"/>
      <c r="J26" s="10"/>
    </row>
    <row r="27" spans="4:11" x14ac:dyDescent="0.25">
      <c r="G27"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2AED6-7578-4BFE-ACF7-063A009CDEAD}">
  <dimension ref="B1:M31"/>
  <sheetViews>
    <sheetView tabSelected="1" zoomScale="62" zoomScaleNormal="62" workbookViewId="0">
      <selection activeCell="E21" sqref="E21"/>
    </sheetView>
  </sheetViews>
  <sheetFormatPr defaultRowHeight="15" x14ac:dyDescent="0.25"/>
  <cols>
    <col min="3" max="3" width="25.140625" bestFit="1" customWidth="1"/>
    <col min="4" max="4" width="16.28515625" bestFit="1" customWidth="1"/>
    <col min="5" max="5" width="43.85546875" bestFit="1" customWidth="1"/>
    <col min="6" max="7" width="25.140625" bestFit="1" customWidth="1"/>
    <col min="8" max="8" width="16.28515625" bestFit="1" customWidth="1"/>
    <col min="9" max="9" width="43.85546875" bestFit="1" customWidth="1"/>
    <col min="11" max="11" width="25.140625" bestFit="1" customWidth="1"/>
    <col min="12" max="12" width="16.28515625" bestFit="1" customWidth="1"/>
  </cols>
  <sheetData>
    <row r="1" spans="2:13" x14ac:dyDescent="0.25">
      <c r="C1" s="15" t="s">
        <v>15</v>
      </c>
      <c r="D1" s="14" t="s">
        <v>14</v>
      </c>
      <c r="E1" s="13" t="s">
        <v>16</v>
      </c>
      <c r="G1" s="15" t="s">
        <v>15</v>
      </c>
      <c r="H1" s="14" t="s">
        <v>14</v>
      </c>
      <c r="I1" s="13" t="s">
        <v>16</v>
      </c>
      <c r="K1" s="15" t="s">
        <v>15</v>
      </c>
      <c r="L1" s="14" t="s">
        <v>14</v>
      </c>
      <c r="M1" s="13" t="s">
        <v>16</v>
      </c>
    </row>
    <row r="2" spans="2:13" x14ac:dyDescent="0.25">
      <c r="B2" s="19" t="s">
        <v>0</v>
      </c>
      <c r="C2" s="26">
        <f>MIN(Dane!D2:D24)</f>
        <v>0.23</v>
      </c>
      <c r="D2" s="21">
        <f>MIN(Dane!E2:E24)</f>
        <v>36.69</v>
      </c>
      <c r="E2" s="22">
        <f>MIN(Dane!F2:F24)</f>
        <v>19.350000000000001</v>
      </c>
      <c r="F2" s="19" t="s">
        <v>6</v>
      </c>
      <c r="G2" s="16">
        <f>_xlfn.QUARTILE.EXC(Dane!D2:D24,1)</f>
        <v>0.3</v>
      </c>
      <c r="H2" s="17">
        <f>_xlfn.QUARTILE.EXC(Dane!E2:E24,1)</f>
        <v>47.19</v>
      </c>
      <c r="I2" s="4">
        <f>_xlfn.QUARTILE.EXC(Dane!F2:F24,1)</f>
        <v>39.68</v>
      </c>
      <c r="J2" s="19" t="s">
        <v>21</v>
      </c>
      <c r="K2" s="16">
        <f>SKEW(Dane!D2:D24)</f>
        <v>0.15412064055022368</v>
      </c>
      <c r="L2" s="17">
        <f>SKEW(Dane!E2:E24)</f>
        <v>0.30380811274009062</v>
      </c>
      <c r="M2" s="4">
        <f>SKEW(Dane!F2:F24)</f>
        <v>0.18151650271146311</v>
      </c>
    </row>
    <row r="3" spans="2:13" x14ac:dyDescent="0.25">
      <c r="B3" s="19" t="s">
        <v>1</v>
      </c>
      <c r="C3" s="27">
        <f>VLOOKUP(C2,Dane!D2:$H$24,5,0)</f>
        <v>1999</v>
      </c>
      <c r="D3" s="17">
        <f>VLOOKUP(D2,Dane!E2:$H$24,4,0)</f>
        <v>2005</v>
      </c>
      <c r="E3" s="4">
        <f>VLOOKUP(E2,Dane!F2:$H$24,3,0)</f>
        <v>1999</v>
      </c>
      <c r="F3" s="19" t="s">
        <v>7</v>
      </c>
      <c r="G3" s="16">
        <f>_xlfn.QUARTILE.EXC(Dane!D2:D24,3)</f>
        <v>0.44</v>
      </c>
      <c r="H3" s="17">
        <f>_xlfn.QUARTILE.EXC(Dane!E2:E24,3)</f>
        <v>72.62</v>
      </c>
      <c r="I3" s="4">
        <f>_xlfn.QUARTILE.EXC(Dane!F2:F24,3)</f>
        <v>79.48</v>
      </c>
      <c r="J3" s="19" t="s">
        <v>17</v>
      </c>
      <c r="K3" s="20">
        <f>KURT(Dane!D2:D24)+3</f>
        <v>2.5468916402069883</v>
      </c>
      <c r="L3" s="17">
        <f>KURT(Dane!E2:E24)+3</f>
        <v>2.3166121090441858</v>
      </c>
      <c r="M3" s="4">
        <f>KURT(Dane!F2:F24)+3</f>
        <v>1.8946139867279044</v>
      </c>
    </row>
    <row r="4" spans="2:13" x14ac:dyDescent="0.25">
      <c r="B4" s="19" t="s">
        <v>2</v>
      </c>
      <c r="C4" s="26">
        <f>MAX(Dane!D2:D24)</f>
        <v>0.56000000000000005</v>
      </c>
      <c r="D4" s="21">
        <f>MAX(Dane!E2:E24)</f>
        <v>96.76</v>
      </c>
      <c r="E4" s="22">
        <f>MAX(Dane!F2:F24)</f>
        <v>99.67</v>
      </c>
      <c r="F4" s="19" t="s">
        <v>18</v>
      </c>
      <c r="G4" s="16">
        <f>VARPA(Dane!D2:D24)</f>
        <v>6.8559546313799406E-3</v>
      </c>
      <c r="H4" s="17">
        <f>VARPA(Dane!E2:E24)</f>
        <v>251.79178449905493</v>
      </c>
      <c r="I4" s="4">
        <f>VARPA(Dane!F2:F24)</f>
        <v>612.22179659735366</v>
      </c>
      <c r="J4" s="19" t="s">
        <v>13</v>
      </c>
      <c r="K4" s="16">
        <f>KURT(Dane!D2:D24)</f>
        <v>-0.45310835979301167</v>
      </c>
      <c r="L4" s="17">
        <f>KURT(Dane!E2:E24)</f>
        <v>-0.6833878909558142</v>
      </c>
      <c r="M4" s="4">
        <f>KURT(Dane!F2:F24)</f>
        <v>-1.1053860132720956</v>
      </c>
    </row>
    <row r="5" spans="2:13" x14ac:dyDescent="0.25">
      <c r="B5" s="19" t="s">
        <v>3</v>
      </c>
      <c r="C5" s="27">
        <f>VLOOKUP(C4,Dane!D2:$H$24,5,0)</f>
        <v>2021</v>
      </c>
      <c r="D5" s="17">
        <f>VLOOKUP(D4,Dane!E2:$H$24,4,0)</f>
        <v>2021</v>
      </c>
      <c r="E5" s="4">
        <f>VLOOKUP(E4,Dane!F2:$H$24,3,0)</f>
        <v>2008</v>
      </c>
      <c r="F5" s="19" t="s">
        <v>20</v>
      </c>
      <c r="G5" s="16">
        <f>_xlfn.STDEV.P(Dane!D2:D24)</f>
        <v>8.2800692215584407E-2</v>
      </c>
      <c r="H5" s="17">
        <f>_xlfn.STDEV.P(Dane!E2:E24)</f>
        <v>15.867948339311384</v>
      </c>
      <c r="I5" s="4">
        <f>_xlfn.STDEV.P(Dane!F2:F24)</f>
        <v>24.743116145654607</v>
      </c>
    </row>
    <row r="6" spans="2:13" x14ac:dyDescent="0.25">
      <c r="B6" s="19" t="s">
        <v>19</v>
      </c>
      <c r="C6" s="26">
        <f>AVERAGE(Dane!D2:D24)</f>
        <v>0.3830434782608696</v>
      </c>
      <c r="D6" s="21">
        <f>AVERAGE(Dane!E2:E24)</f>
        <v>62.442608695652176</v>
      </c>
      <c r="E6" s="22">
        <f>AVERAGE(Dane!F2:F24)</f>
        <v>59.283478260869565</v>
      </c>
      <c r="F6" s="19" t="s">
        <v>12</v>
      </c>
      <c r="G6" s="16" t="str">
        <f>_xlfn.TEXTJOIN(" ",1,"OD",E27,"Do",E28)</f>
        <v>OD 0,30 Do 0,46</v>
      </c>
      <c r="H6" s="17" t="str">
        <f t="shared" ref="H6:I6" si="0">_xlfn.TEXTJOIN(" ",1,"OD",F27,"Do",F28)</f>
        <v>OD 46,5 Do 78,3</v>
      </c>
      <c r="I6" s="4" t="str">
        <f t="shared" si="0"/>
        <v>OD 34,5 Do 84,0</v>
      </c>
    </row>
    <row r="7" spans="2:13" x14ac:dyDescent="0.25">
      <c r="B7" s="19" t="s">
        <v>8</v>
      </c>
      <c r="C7" s="26">
        <f>MEDIAN(Dane!D2:D24)</f>
        <v>0.4</v>
      </c>
      <c r="D7" s="21">
        <f>MEDIAN(Dane!E2:E24)</f>
        <v>64.239999999999995</v>
      </c>
      <c r="E7" s="22">
        <f>MEDIAN(Dane!F2:F24)</f>
        <v>56.99</v>
      </c>
      <c r="F7" s="19" t="s">
        <v>4</v>
      </c>
      <c r="G7" s="23">
        <f>G5/C6</f>
        <v>0.21616525777053816</v>
      </c>
      <c r="H7" s="24">
        <f t="shared" ref="H7:I7" si="1">H5/D6</f>
        <v>0.25412052236081956</v>
      </c>
      <c r="I7" s="25">
        <f t="shared" si="1"/>
        <v>0.41736950785471133</v>
      </c>
    </row>
    <row r="8" spans="2:13" x14ac:dyDescent="0.25">
      <c r="B8" s="28" t="s">
        <v>9</v>
      </c>
      <c r="C8" s="29">
        <f>_xlfn.IFNA(_xlfn.MODE.SNGL(Dane!D2:D24),"Brak Dominanty")</f>
        <v>0.3</v>
      </c>
      <c r="D8" s="30" t="str">
        <f>_xlfn.IFNA(_xlfn.MODE.SNGL(Dane!E2:E24),"Brak Dominanty")</f>
        <v>Brak Dominanty</v>
      </c>
      <c r="E8" s="31" t="str">
        <f>_xlfn.IFNA(_xlfn.MODE.SNGL(Dane!F2:F24),"Brak Dominanty")</f>
        <v>Brak Dominanty</v>
      </c>
      <c r="F8" s="19" t="s">
        <v>10</v>
      </c>
      <c r="G8" s="20">
        <f>C4-C2</f>
        <v>0.33000000000000007</v>
      </c>
      <c r="H8" s="21">
        <f t="shared" ref="H8:I8" si="2">D4-D2</f>
        <v>60.070000000000007</v>
      </c>
      <c r="I8" s="22">
        <f t="shared" si="2"/>
        <v>80.319999999999993</v>
      </c>
    </row>
    <row r="9" spans="2:13" x14ac:dyDescent="0.25">
      <c r="B9" s="32"/>
      <c r="C9" s="32"/>
      <c r="D9" s="32"/>
      <c r="E9" s="32"/>
      <c r="F9" s="19" t="s">
        <v>11</v>
      </c>
      <c r="G9" s="16">
        <f>G3-G2</f>
        <v>0.14000000000000001</v>
      </c>
      <c r="H9" s="17">
        <f t="shared" ref="H9:I9" si="3">H3-H2</f>
        <v>25.430000000000007</v>
      </c>
      <c r="I9" s="4">
        <f t="shared" si="3"/>
        <v>39.800000000000004</v>
      </c>
    </row>
    <row r="11" spans="2:13" x14ac:dyDescent="0.25">
      <c r="B11" s="18" t="s">
        <v>5</v>
      </c>
      <c r="E11" s="15" t="s">
        <v>15</v>
      </c>
      <c r="F11" s="14" t="s">
        <v>14</v>
      </c>
      <c r="G11" s="13" t="s">
        <v>16</v>
      </c>
    </row>
    <row r="12" spans="2:13" x14ac:dyDescent="0.25">
      <c r="D12" s="15" t="s">
        <v>15</v>
      </c>
      <c r="E12" s="16">
        <f>CORREL(Dane!D2:D24,Dane!$D2:$D24)</f>
        <v>0.99999999999999989</v>
      </c>
      <c r="F12" s="19">
        <f>CORREL(Dane!$D2:$D24,Dane!E2:E24)</f>
        <v>0.86441865904239312</v>
      </c>
      <c r="G12" s="19">
        <f>CORREL(Dane!$D2:$D24,Dane!F2:F24)</f>
        <v>0.50054252373221753</v>
      </c>
    </row>
    <row r="13" spans="2:13" x14ac:dyDescent="0.25">
      <c r="D13" s="14" t="s">
        <v>14</v>
      </c>
      <c r="E13" s="19">
        <f>CORREL(Dane!$D2:$D24,Dane!E2:E24)</f>
        <v>0.86441865904239312</v>
      </c>
      <c r="F13" s="17">
        <f>CORREL(Dane!$E2:$E24,Dane!E2:E24)</f>
        <v>1</v>
      </c>
      <c r="G13" s="19">
        <f>CORREL(Dane!$E2:$E24,Dane!F2:F24)</f>
        <v>0.60313504451269873</v>
      </c>
    </row>
    <row r="14" spans="2:13" x14ac:dyDescent="0.25">
      <c r="D14" s="13" t="s">
        <v>16</v>
      </c>
      <c r="E14" s="19">
        <f>CORREL(Dane!D2:D24,Dane!$F2:$F24)</f>
        <v>0.50054252373221753</v>
      </c>
      <c r="F14" s="19">
        <f>CORREL(Dane!E2:E24,Dane!$F2:$F24)</f>
        <v>0.60313504451269873</v>
      </c>
      <c r="G14" s="4">
        <f>CORREL(Dane!F2:F24,Dane!$F2:$F24)</f>
        <v>1</v>
      </c>
    </row>
    <row r="16" spans="2:13" x14ac:dyDescent="0.25">
      <c r="B16" s="18" t="s">
        <v>22</v>
      </c>
      <c r="E16" s="15" t="s">
        <v>15</v>
      </c>
      <c r="F16" s="14" t="s">
        <v>14</v>
      </c>
      <c r="G16" s="13" t="s">
        <v>16</v>
      </c>
    </row>
    <row r="17" spans="4:7" x14ac:dyDescent="0.25">
      <c r="D17" s="15" t="s">
        <v>15</v>
      </c>
      <c r="E17" s="16">
        <f>_xlfn.COVARIANCE.P(Dane!$D2:$D24,Dane!D2:D24)</f>
        <v>6.8559546313799622E-3</v>
      </c>
      <c r="F17" s="19">
        <f>_xlfn.COVARIANCE.P(Dane!$D2:$D24,Dane!E2:E24)</f>
        <v>1.1357398865784503</v>
      </c>
      <c r="G17" s="19">
        <f>_xlfn.COVARIANCE.P(Dane!$D2:$D24,Dane!F2:F24)</f>
        <v>1.0254850661625705</v>
      </c>
    </row>
    <row r="18" spans="4:7" x14ac:dyDescent="0.25">
      <c r="D18" s="14" t="s">
        <v>14</v>
      </c>
      <c r="E18" s="19">
        <f>_xlfn.COVARIANCE.P(Dane!D2:D24,Dane!$E2:$E24)</f>
        <v>1.1357398865784503</v>
      </c>
      <c r="F18" s="17">
        <f>_xlfn.COVARIANCE.P(Dane!E2:E24,Dane!$E2:$E24)</f>
        <v>251.79178449905481</v>
      </c>
      <c r="G18" s="19">
        <f>_xlfn.COVARIANCE.P(Dane!F2:F24,Dane!$E2:$E24)</f>
        <v>236.80438223062387</v>
      </c>
    </row>
    <row r="19" spans="4:7" x14ac:dyDescent="0.25">
      <c r="D19" s="13" t="s">
        <v>16</v>
      </c>
      <c r="E19" s="19">
        <f>_xlfn.COVARIANCE.P(Dane!D2:D24,Dane!$F2:$F24)</f>
        <v>1.0254850661625705</v>
      </c>
      <c r="F19" s="19">
        <f>_xlfn.COVARIANCE.P(Dane!E2:E24,Dane!$F2:$F24)</f>
        <v>236.80438223062387</v>
      </c>
      <c r="G19" s="4">
        <f>_xlfn.COVARIANCE.P(Dane!F2:F24,Dane!$F2:$F24)</f>
        <v>612.22179659735366</v>
      </c>
    </row>
    <row r="27" spans="4:7" x14ac:dyDescent="0.25">
      <c r="D27" s="9" t="s">
        <v>32</v>
      </c>
      <c r="E27" s="12" t="str">
        <f>MID(C6-G5,1,4)</f>
        <v>0,30</v>
      </c>
      <c r="F27" s="10" t="str">
        <f>MID(D6-H5,1,4)</f>
        <v>46,5</v>
      </c>
      <c r="G27" s="10" t="str">
        <f>MID(E6-I5,1,4)</f>
        <v>34,5</v>
      </c>
    </row>
    <row r="28" spans="4:7" x14ac:dyDescent="0.25">
      <c r="D28" s="9" t="s">
        <v>33</v>
      </c>
      <c r="E28" s="10" t="str">
        <f>MID(C6+G5,1,4)</f>
        <v>0,46</v>
      </c>
      <c r="F28" s="10" t="str">
        <f>MID(D6+H5,1,4)</f>
        <v>78,3</v>
      </c>
      <c r="G28" s="10" t="str">
        <f>MID(E6+I5,1,4)</f>
        <v>84,0</v>
      </c>
    </row>
    <row r="29" spans="4:7" x14ac:dyDescent="0.25">
      <c r="D29" s="9"/>
      <c r="E29" s="9"/>
      <c r="F29" s="9"/>
      <c r="G29" s="9"/>
    </row>
    <row r="30" spans="4:7" x14ac:dyDescent="0.25">
      <c r="D30" s="9"/>
      <c r="E30" s="9"/>
      <c r="F30" s="9"/>
      <c r="G30" s="9"/>
    </row>
    <row r="31" spans="4:7" x14ac:dyDescent="0.25">
      <c r="D31" s="9"/>
      <c r="E31" s="12" t="str">
        <f>MID(E27,1,4)</f>
        <v>0,30</v>
      </c>
      <c r="F31" s="9"/>
      <c r="G31" s="9"/>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BEAB-D706-4166-928A-2C3F68EBF773}">
  <dimension ref="F1:AA143"/>
  <sheetViews>
    <sheetView topLeftCell="A17" zoomScale="44" zoomScaleNormal="44" workbookViewId="0">
      <selection activeCell="L22" sqref="L22"/>
    </sheetView>
  </sheetViews>
  <sheetFormatPr defaultRowHeight="15" x14ac:dyDescent="0.25"/>
  <cols>
    <col min="12" max="12" width="10.28515625" customWidth="1"/>
    <col min="13" max="13" width="9.7109375" bestFit="1" customWidth="1"/>
  </cols>
  <sheetData>
    <row r="1" spans="6:27" ht="90" x14ac:dyDescent="0.25">
      <c r="F1" s="34"/>
      <c r="G1" s="34" t="s">
        <v>23</v>
      </c>
      <c r="H1" s="34" t="s">
        <v>24</v>
      </c>
      <c r="I1" s="34" t="s">
        <v>40</v>
      </c>
      <c r="J1" s="35" t="s">
        <v>25</v>
      </c>
      <c r="K1" s="35" t="s">
        <v>36</v>
      </c>
      <c r="L1" s="35" t="s">
        <v>37</v>
      </c>
      <c r="M1" s="34" t="s">
        <v>26</v>
      </c>
      <c r="N1" s="34" t="s">
        <v>27</v>
      </c>
      <c r="O1" s="34" t="s">
        <v>39</v>
      </c>
      <c r="P1" s="35" t="s">
        <v>28</v>
      </c>
      <c r="Q1" s="35" t="s">
        <v>29</v>
      </c>
      <c r="T1" s="44" t="s">
        <v>38</v>
      </c>
      <c r="U1" s="8" t="s">
        <v>41</v>
      </c>
      <c r="V1" s="7" t="s">
        <v>43</v>
      </c>
      <c r="W1" s="43" t="s">
        <v>42</v>
      </c>
      <c r="X1" s="42" t="s">
        <v>44</v>
      </c>
      <c r="Y1" s="46" t="s">
        <v>48</v>
      </c>
      <c r="Z1" s="41" t="s">
        <v>45</v>
      </c>
      <c r="AA1" s="41" t="s">
        <v>46</v>
      </c>
    </row>
    <row r="2" spans="6:27" ht="45" x14ac:dyDescent="0.25">
      <c r="F2" s="40" t="s">
        <v>34</v>
      </c>
      <c r="G2" s="16">
        <f>_xlfn.COVARIANCE.P(Dane!H2:H24,Dane!D2:D24)</f>
        <v>0.51782608695652177</v>
      </c>
      <c r="H2" s="16">
        <f>_xlfn.STDEV.P(Dane!H2:H24)</f>
        <v>6.6332495807107996</v>
      </c>
      <c r="I2" s="16">
        <f>_xlfn.STDEV.P(Dane!D2:D24)</f>
        <v>8.2800692215584407E-2</v>
      </c>
      <c r="J2" s="39">
        <f>G2/(H2^2)</f>
        <v>1.1768774703557312E-2</v>
      </c>
      <c r="K2" s="39">
        <f>AVERAGE(Dane!D2:D24)</f>
        <v>0.3830434782608696</v>
      </c>
      <c r="L2" s="39">
        <f>AVERAGE(Dane!H2:H24)</f>
        <v>2010</v>
      </c>
      <c r="M2" s="20">
        <f>K2-J2*L2</f>
        <v>-23.272193675889326</v>
      </c>
      <c r="N2" s="16">
        <f>(G2/(H2*I2))^2</f>
        <v>0.88888840149593729</v>
      </c>
      <c r="O2" s="16">
        <f>1-N2</f>
        <v>0.11111159850406271</v>
      </c>
      <c r="P2" s="16">
        <f>SQRT((SUMSQ(V2:V24)/(COUNT(V2:V24)-2)))</f>
        <v>2.8884704967600015E-2</v>
      </c>
      <c r="Q2" s="23">
        <f>P2/K2</f>
        <v>7.5408423865471086E-2</v>
      </c>
      <c r="T2" s="36">
        <f>Dane!H2</f>
        <v>1999</v>
      </c>
      <c r="U2" s="16">
        <f>$M$2+$J$2*T2</f>
        <v>0.25358695652174035</v>
      </c>
      <c r="V2" s="20">
        <f>Dane!D2-Prognoza!U2</f>
        <v>-2.3586956521740338E-2</v>
      </c>
      <c r="W2" s="17">
        <f>$M$3+$J$3*T2</f>
        <v>42.313913043478351</v>
      </c>
      <c r="X2" s="17">
        <f>Dane!E2-Prognoza!W2</f>
        <v>0.66608695652164585</v>
      </c>
      <c r="Y2" s="47">
        <f>Dane!E2</f>
        <v>42.98</v>
      </c>
      <c r="Z2" s="16">
        <f>$M$4+$J$4*Y2</f>
        <v>0.29525482766411537</v>
      </c>
      <c r="AA2" s="20">
        <f>Dane!D2-Z2</f>
        <v>-6.5254827664115361E-2</v>
      </c>
    </row>
    <row r="3" spans="6:27" ht="45" x14ac:dyDescent="0.25">
      <c r="F3" s="37" t="s">
        <v>35</v>
      </c>
      <c r="G3" s="17">
        <f>_xlfn.COVARIANCE.P(Dane!H2:H24,Dane!E2:E24)</f>
        <v>80.514782608695654</v>
      </c>
      <c r="H3" s="17">
        <f>_xlfn.STDEV.P(Dane!H2:H24)</f>
        <v>6.6332495807107996</v>
      </c>
      <c r="I3" s="17">
        <f>_xlfn.STDEV.P(Dane!E2:E24)</f>
        <v>15.867948339311384</v>
      </c>
      <c r="J3" s="38">
        <f t="shared" ref="J3" si="0">G3/(H3^2)</f>
        <v>1.8298814229249012</v>
      </c>
      <c r="K3" s="38">
        <f>AVERAGE(Dane!E2:E24)</f>
        <v>62.442608695652176</v>
      </c>
      <c r="L3" s="38">
        <f>AVERAGE(Dane!H2:H24)</f>
        <v>2010</v>
      </c>
      <c r="M3" s="21">
        <f t="shared" ref="M3" si="1">K3-J3*L3</f>
        <v>-3615.619051383399</v>
      </c>
      <c r="N3" s="17">
        <f t="shared" ref="N3" si="2">(G3/(H3*I3))^2</f>
        <v>0.58513626749026082</v>
      </c>
      <c r="O3" s="17">
        <f t="shared" ref="O3:O4" si="3">1-N3</f>
        <v>0.41486373250973918</v>
      </c>
      <c r="P3" s="17">
        <f>SQRT((SUMSQ(X2:X24)/(COUNT(X2:X24)-2)))</f>
        <v>10.696157363520353</v>
      </c>
      <c r="Q3" s="24">
        <f t="shared" ref="Q3:Q4" si="4">P3/K3</f>
        <v>0.17129581205765859</v>
      </c>
      <c r="T3" s="36">
        <f>Dane!H3</f>
        <v>2000</v>
      </c>
      <c r="U3" s="16">
        <f t="shared" ref="U3:U24" si="5">$M$2+$J$2*T3</f>
        <v>0.26535573122529854</v>
      </c>
      <c r="V3" s="20">
        <f>Dane!D3-Prognoza!U3</f>
        <v>4.6442687747014766E-3</v>
      </c>
      <c r="W3" s="17">
        <f t="shared" ref="W3:W66" si="6">$M$3+$J$3*T3</f>
        <v>44.143794466403506</v>
      </c>
      <c r="X3" s="17">
        <f>Dane!E3-Prognoza!W3</f>
        <v>6.6762055335964945</v>
      </c>
      <c r="Y3" s="47">
        <f>Dane!E3</f>
        <v>50.82</v>
      </c>
      <c r="Z3" s="16">
        <f t="shared" ref="Z3:Z66" si="7">$M$4+$J$4*Y3</f>
        <v>0.33061817650605696</v>
      </c>
      <c r="AA3" s="20">
        <f>Dane!D3-Z3</f>
        <v>-6.0618176506056942E-2</v>
      </c>
    </row>
    <row r="4" spans="6:27" ht="60" x14ac:dyDescent="0.25">
      <c r="F4" s="41" t="s">
        <v>47</v>
      </c>
      <c r="G4" s="16">
        <f>_xlfn.COVARIANCE.P(Dane!D2:D24,Dane!E2:E24)</f>
        <v>1.1357398865784503</v>
      </c>
      <c r="H4" s="16">
        <f>_xlfn.STDEV.P(Dane!E2:E24)</f>
        <v>15.867948339311384</v>
      </c>
      <c r="I4" s="16">
        <f>_xlfn.STDEV.P(Dane!D2:D24)</f>
        <v>8.2800692215584407E-2</v>
      </c>
      <c r="J4" s="39">
        <f t="shared" ref="J4" si="8">G4/(H4^2)</f>
        <v>4.5106312298394836E-3</v>
      </c>
      <c r="K4" s="39">
        <f>AVERAGE(Dane!D2:D24)</f>
        <v>0.3830434782608696</v>
      </c>
      <c r="L4" s="39">
        <f>AVERAGE(Dane!E2:E24)</f>
        <v>62.442608695652176</v>
      </c>
      <c r="M4" s="20">
        <f t="shared" ref="M4" si="9">K4-J4*L4</f>
        <v>0.10138789740561438</v>
      </c>
      <c r="N4" s="16">
        <f t="shared" ref="N4" si="10">(G4/(H4*I4))^2</f>
        <v>0.74721961810065118</v>
      </c>
      <c r="O4" s="16">
        <f t="shared" si="3"/>
        <v>0.25278038189934882</v>
      </c>
      <c r="P4" s="16">
        <f>SQRT((SUMSQ(AA2:AA24)/(COUNT(AA2:AA24)-2)))</f>
        <v>4.3567227247155817E-2</v>
      </c>
      <c r="Q4" s="23">
        <f t="shared" si="4"/>
        <v>0.11373963980528759</v>
      </c>
      <c r="T4" s="36">
        <f>Dane!H4</f>
        <v>2001</v>
      </c>
      <c r="U4" s="16">
        <f t="shared" si="5"/>
        <v>0.27712450592885673</v>
      </c>
      <c r="V4" s="20">
        <f>Dane!D4-Prognoza!U4</f>
        <v>2.2875494071143254E-2</v>
      </c>
      <c r="W4" s="17">
        <f t="shared" si="6"/>
        <v>45.973675889328206</v>
      </c>
      <c r="X4" s="17">
        <f>Dane!E4-Prognoza!W4</f>
        <v>4.476324110671797</v>
      </c>
      <c r="Y4" s="47">
        <f>Dane!E4</f>
        <v>50.45</v>
      </c>
      <c r="Z4" s="16">
        <f t="shared" si="7"/>
        <v>0.32894924295101635</v>
      </c>
      <c r="AA4" s="20">
        <f>Dane!D4-Z4</f>
        <v>-2.8949242951016363E-2</v>
      </c>
    </row>
    <row r="5" spans="6:27" x14ac:dyDescent="0.25">
      <c r="T5" s="36">
        <f>Dane!H5</f>
        <v>2002</v>
      </c>
      <c r="U5" s="16">
        <f t="shared" si="5"/>
        <v>0.28889328063241138</v>
      </c>
      <c r="V5" s="20">
        <f>Dane!D5-Prognoza!U5</f>
        <v>1.1067193675886045E-3</v>
      </c>
      <c r="W5" s="17">
        <f t="shared" si="6"/>
        <v>47.803557312253361</v>
      </c>
      <c r="X5" s="17">
        <f>Dane!E5-Prognoza!W5</f>
        <v>-4.1935573122533611</v>
      </c>
      <c r="Y5" s="47">
        <f>Dane!E5</f>
        <v>43.61</v>
      </c>
      <c r="Z5" s="16">
        <f t="shared" si="7"/>
        <v>0.29809652533891429</v>
      </c>
      <c r="AA5" s="20">
        <f>Dane!D5-Z5</f>
        <v>-8.0965253389143066E-3</v>
      </c>
    </row>
    <row r="6" spans="6:27" x14ac:dyDescent="0.25">
      <c r="T6" s="36">
        <f>Dane!H6</f>
        <v>2003</v>
      </c>
      <c r="U6" s="16">
        <f t="shared" si="5"/>
        <v>0.30066205533596957</v>
      </c>
      <c r="V6" s="20">
        <f>Dane!D6-Prognoza!U6</f>
        <v>-6.6205533596958022E-4</v>
      </c>
      <c r="W6" s="17">
        <f t="shared" si="6"/>
        <v>49.633438735178061</v>
      </c>
      <c r="X6" s="17">
        <f>Dane!E6-Prognoza!W6</f>
        <v>-4.1234387351780626</v>
      </c>
      <c r="Y6" s="47">
        <f>Dane!E6</f>
        <v>45.51</v>
      </c>
      <c r="Z6" s="16">
        <f t="shared" si="7"/>
        <v>0.30666672467560929</v>
      </c>
      <c r="AA6" s="20">
        <f>Dane!D6-Z6</f>
        <v>-6.6667246756093035E-3</v>
      </c>
    </row>
    <row r="7" spans="6:27" x14ac:dyDescent="0.25">
      <c r="T7" s="36">
        <f>Dane!H7</f>
        <v>2004</v>
      </c>
      <c r="U7" s="16">
        <f t="shared" si="5"/>
        <v>0.31243083003952776</v>
      </c>
      <c r="V7" s="20">
        <f>Dane!D7-Prognoza!U7</f>
        <v>-2.4308300395277649E-3</v>
      </c>
      <c r="W7" s="17">
        <f t="shared" si="6"/>
        <v>51.463320158103215</v>
      </c>
      <c r="X7" s="17">
        <f>Dane!E7-Prognoza!W7</f>
        <v>-4.2733201581032176</v>
      </c>
      <c r="Y7" s="47">
        <f>Dane!E7</f>
        <v>47.19</v>
      </c>
      <c r="Z7" s="16">
        <f t="shared" si="7"/>
        <v>0.31424458514173959</v>
      </c>
      <c r="AA7" s="20">
        <f>Dane!D7-Z7</f>
        <v>-4.2445851417395875E-3</v>
      </c>
    </row>
    <row r="8" spans="6:27" x14ac:dyDescent="0.25">
      <c r="T8" s="36">
        <f>Dane!H8</f>
        <v>2005</v>
      </c>
      <c r="U8" s="16">
        <f t="shared" si="5"/>
        <v>0.32419960474308596</v>
      </c>
      <c r="V8" s="20">
        <f>Dane!D8-Prognoza!U8</f>
        <v>-2.4199604743085967E-2</v>
      </c>
      <c r="W8" s="17">
        <f t="shared" si="6"/>
        <v>53.293201581027915</v>
      </c>
      <c r="X8" s="17">
        <f>Dane!E8-Prognoza!W8</f>
        <v>-16.603201581027918</v>
      </c>
      <c r="Y8" s="47">
        <f>Dane!E8</f>
        <v>36.69</v>
      </c>
      <c r="Z8" s="16">
        <f t="shared" si="7"/>
        <v>0.26688295722842503</v>
      </c>
      <c r="AA8" s="20">
        <f>Dane!D8-Z8</f>
        <v>3.3117042771574956E-2</v>
      </c>
    </row>
    <row r="9" spans="6:27" x14ac:dyDescent="0.25">
      <c r="T9" s="36">
        <f>Dane!H9</f>
        <v>2006</v>
      </c>
      <c r="U9" s="16">
        <f t="shared" si="5"/>
        <v>0.3359683794466406</v>
      </c>
      <c r="V9" s="20">
        <f>Dane!D9-Prognoza!U9</f>
        <v>-3.5968379446640608E-2</v>
      </c>
      <c r="W9" s="17">
        <f t="shared" si="6"/>
        <v>55.123083003952615</v>
      </c>
      <c r="X9" s="17">
        <f>Dane!E9-Prognoza!W9</f>
        <v>-10.363083003952617</v>
      </c>
      <c r="Y9" s="47">
        <f>Dane!E9</f>
        <v>44.76</v>
      </c>
      <c r="Z9" s="16">
        <f t="shared" si="7"/>
        <v>0.30328375125322965</v>
      </c>
      <c r="AA9" s="20">
        <f>Dane!D9-Z9</f>
        <v>-3.2837512532296609E-3</v>
      </c>
    </row>
    <row r="10" spans="6:27" x14ac:dyDescent="0.25">
      <c r="T10" s="36">
        <f>Dane!H10</f>
        <v>2007</v>
      </c>
      <c r="U10" s="16">
        <f t="shared" si="5"/>
        <v>0.34773715415019879</v>
      </c>
      <c r="V10" s="20">
        <f>Dane!D10-Prognoza!U10</f>
        <v>2.2628458498011872E-3</v>
      </c>
      <c r="W10" s="17">
        <f t="shared" si="6"/>
        <v>56.95296442687777</v>
      </c>
      <c r="X10" s="17">
        <f>Dane!E10-Prognoza!W10</f>
        <v>13.727035573122237</v>
      </c>
      <c r="Y10" s="47">
        <f>Dane!E10</f>
        <v>70.680000000000007</v>
      </c>
      <c r="Z10" s="16">
        <f t="shared" si="7"/>
        <v>0.42019931273066913</v>
      </c>
      <c r="AA10" s="20">
        <f>Dane!D10-Z10</f>
        <v>-7.019931273066915E-2</v>
      </c>
    </row>
    <row r="11" spans="6:27" x14ac:dyDescent="0.25">
      <c r="T11" s="36">
        <f>Dane!H11</f>
        <v>2008</v>
      </c>
      <c r="U11" s="16">
        <f t="shared" si="5"/>
        <v>0.35950592885375698</v>
      </c>
      <c r="V11" s="20">
        <f>Dane!D11-Prognoza!U11</f>
        <v>3.0494071146243029E-2</v>
      </c>
      <c r="W11" s="17">
        <f t="shared" si="6"/>
        <v>58.78284584980247</v>
      </c>
      <c r="X11" s="17">
        <f>Dane!E11-Prognoza!W11</f>
        <v>5.4571541501975247</v>
      </c>
      <c r="Y11" s="47">
        <f>Dane!E11</f>
        <v>64.239999999999995</v>
      </c>
      <c r="Z11" s="16">
        <f t="shared" si="7"/>
        <v>0.39115084761050278</v>
      </c>
      <c r="AA11" s="20">
        <f>Dane!D11-Z11</f>
        <v>-1.1508476105027698E-3</v>
      </c>
    </row>
    <row r="12" spans="6:27" x14ac:dyDescent="0.25">
      <c r="T12" s="36">
        <f>Dane!H12</f>
        <v>2009</v>
      </c>
      <c r="U12" s="16">
        <f t="shared" si="5"/>
        <v>0.37127470355731518</v>
      </c>
      <c r="V12" s="20">
        <f>Dane!D12-Prognoza!U12</f>
        <v>1.8725296442684836E-2</v>
      </c>
      <c r="W12" s="17">
        <f t="shared" si="6"/>
        <v>60.612727272727625</v>
      </c>
      <c r="X12" s="17">
        <f>Dane!E12-Prognoza!W12</f>
        <v>-12.352727272727627</v>
      </c>
      <c r="Y12" s="47">
        <f>Dane!E12</f>
        <v>48.26</v>
      </c>
      <c r="Z12" s="16">
        <f t="shared" si="7"/>
        <v>0.31907096055766782</v>
      </c>
      <c r="AA12" s="20">
        <f>Dane!D12-Z12</f>
        <v>7.0929039442332198E-2</v>
      </c>
    </row>
    <row r="13" spans="6:27" x14ac:dyDescent="0.25">
      <c r="T13" s="36">
        <f>Dane!H13</f>
        <v>2010</v>
      </c>
      <c r="U13" s="16">
        <f t="shared" si="5"/>
        <v>0.38304347826086982</v>
      </c>
      <c r="V13" s="20">
        <f>Dane!D13-Prognoza!U13</f>
        <v>1.6956521739130204E-2</v>
      </c>
      <c r="W13" s="17">
        <f t="shared" si="6"/>
        <v>62.442608695652325</v>
      </c>
      <c r="X13" s="17">
        <f>Dane!E13-Prognoza!W13</f>
        <v>-2.6026086956523216</v>
      </c>
      <c r="Y13" s="47">
        <f>Dane!E13</f>
        <v>59.84</v>
      </c>
      <c r="Z13" s="16">
        <f t="shared" si="7"/>
        <v>0.37130407019920908</v>
      </c>
      <c r="AA13" s="20">
        <f>Dane!D13-Z13</f>
        <v>2.8695929800790942E-2</v>
      </c>
    </row>
    <row r="14" spans="6:27" x14ac:dyDescent="0.25">
      <c r="T14" s="36">
        <f>Dane!H14</f>
        <v>2011</v>
      </c>
      <c r="U14" s="16">
        <f t="shared" si="5"/>
        <v>0.39481225296442801</v>
      </c>
      <c r="V14" s="20">
        <f>Dane!D14-Prognoza!U14</f>
        <v>4.518774703557199E-2</v>
      </c>
      <c r="W14" s="17">
        <f t="shared" si="6"/>
        <v>64.27249011857748</v>
      </c>
      <c r="X14" s="17">
        <f>Dane!E14-Prognoza!W14</f>
        <v>17.717509881422515</v>
      </c>
      <c r="Y14" s="47">
        <f>Dane!E14</f>
        <v>81.99</v>
      </c>
      <c r="Z14" s="16">
        <f t="shared" si="7"/>
        <v>0.4712145519401536</v>
      </c>
      <c r="AA14" s="20">
        <f>Dane!D14-Z14</f>
        <v>-3.1214551940153601E-2</v>
      </c>
    </row>
    <row r="15" spans="6:27" x14ac:dyDescent="0.25">
      <c r="T15" s="36">
        <f>Dane!H15</f>
        <v>2012</v>
      </c>
      <c r="U15" s="16">
        <f t="shared" si="5"/>
        <v>0.40658102766798621</v>
      </c>
      <c r="V15" s="20">
        <f>Dane!D15-Prognoza!U15</f>
        <v>3.3418972332013797E-2</v>
      </c>
      <c r="W15" s="17">
        <f t="shared" si="6"/>
        <v>66.10237154150218</v>
      </c>
      <c r="X15" s="17">
        <f>Dane!E15-Prognoza!W15</f>
        <v>23.237628458497824</v>
      </c>
      <c r="Y15" s="47">
        <f>Dane!E15</f>
        <v>89.34</v>
      </c>
      <c r="Z15" s="16">
        <f t="shared" si="7"/>
        <v>0.50436769147947391</v>
      </c>
      <c r="AA15" s="20">
        <f>Dane!D15-Z15</f>
        <v>-6.436769147947391E-2</v>
      </c>
    </row>
    <row r="16" spans="6:27" x14ac:dyDescent="0.25">
      <c r="T16" s="36">
        <f>Dane!H16</f>
        <v>2013</v>
      </c>
      <c r="U16" s="16">
        <f t="shared" si="5"/>
        <v>0.4183498023715444</v>
      </c>
      <c r="V16" s="20">
        <f>Dane!D16-Prognoza!U16</f>
        <v>1.1650197628455594E-2</v>
      </c>
      <c r="W16" s="17">
        <f t="shared" si="6"/>
        <v>67.932252964427335</v>
      </c>
      <c r="X16" s="17">
        <f>Dane!E16-Prognoza!W16</f>
        <v>11.737747035572667</v>
      </c>
      <c r="Y16" s="47">
        <f>Dane!E16</f>
        <v>79.67</v>
      </c>
      <c r="Z16" s="16">
        <f t="shared" si="7"/>
        <v>0.46074988748692602</v>
      </c>
      <c r="AA16" s="20">
        <f>Dane!D16-Z16</f>
        <v>-3.0749887486926031E-2</v>
      </c>
    </row>
    <row r="17" spans="20:27" x14ac:dyDescent="0.25">
      <c r="T17" s="36">
        <f>Dane!H17</f>
        <v>2014</v>
      </c>
      <c r="U17" s="16">
        <f t="shared" si="5"/>
        <v>0.43011857707509904</v>
      </c>
      <c r="V17" s="20">
        <f>Dane!D17-Prognoza!U17</f>
        <v>-1.0118577075099056E-2</v>
      </c>
      <c r="W17" s="17">
        <f t="shared" si="6"/>
        <v>69.762134387352035</v>
      </c>
      <c r="X17" s="17">
        <f>Dane!E17-Prognoza!W17</f>
        <v>-1.4021343873520351</v>
      </c>
      <c r="Y17" s="47">
        <f>Dane!E17</f>
        <v>68.36</v>
      </c>
      <c r="Z17" s="16">
        <f t="shared" si="7"/>
        <v>0.40973464827744149</v>
      </c>
      <c r="AA17" s="20">
        <f>Dane!D17-Z17</f>
        <v>1.0265351722558491E-2</v>
      </c>
    </row>
    <row r="18" spans="20:27" x14ac:dyDescent="0.25">
      <c r="T18" s="36">
        <f>Dane!H18</f>
        <v>2015</v>
      </c>
      <c r="U18" s="16">
        <f t="shared" si="5"/>
        <v>0.44188735177865723</v>
      </c>
      <c r="V18" s="20">
        <f>Dane!D18-Prognoza!U18</f>
        <v>-3.1887351778657258E-2</v>
      </c>
      <c r="W18" s="17">
        <f t="shared" si="6"/>
        <v>71.592015810276735</v>
      </c>
      <c r="X18" s="17">
        <f>Dane!E18-Prognoza!W18</f>
        <v>-4.7620158102767363</v>
      </c>
      <c r="Y18" s="47">
        <f>Dane!E18</f>
        <v>66.83</v>
      </c>
      <c r="Z18" s="16">
        <f t="shared" si="7"/>
        <v>0.40283338249578704</v>
      </c>
      <c r="AA18" s="20">
        <f>Dane!D18-Z18</f>
        <v>7.1666175042129354E-3</v>
      </c>
    </row>
    <row r="19" spans="20:27" x14ac:dyDescent="0.25">
      <c r="T19" s="36">
        <f>Dane!H19</f>
        <v>2016</v>
      </c>
      <c r="U19" s="16">
        <f t="shared" si="5"/>
        <v>0.45365612648221543</v>
      </c>
      <c r="V19" s="20">
        <f>Dane!D19-Prognoza!U19</f>
        <v>-4.3656126482215452E-2</v>
      </c>
      <c r="W19" s="17">
        <f t="shared" si="6"/>
        <v>73.421897233201889</v>
      </c>
      <c r="X19" s="17">
        <f>Dane!E19-Prognoza!W19</f>
        <v>-11.401897233201886</v>
      </c>
      <c r="Y19" s="47">
        <f>Dane!E19</f>
        <v>62.02</v>
      </c>
      <c r="Z19" s="16">
        <f t="shared" si="7"/>
        <v>0.38113724628025919</v>
      </c>
      <c r="AA19" s="20">
        <f>Dane!D19-Z19</f>
        <v>2.8862753719740786E-2</v>
      </c>
    </row>
    <row r="20" spans="20:27" x14ac:dyDescent="0.25">
      <c r="T20" s="36">
        <f>Dane!H20</f>
        <v>2017</v>
      </c>
      <c r="U20" s="16">
        <f t="shared" si="5"/>
        <v>0.46542490118577362</v>
      </c>
      <c r="V20" s="20">
        <f>Dane!D20-Prognoza!U20</f>
        <v>-4.5424901185773636E-2</v>
      </c>
      <c r="W20" s="17">
        <f t="shared" si="6"/>
        <v>75.251778656126589</v>
      </c>
      <c r="X20" s="17">
        <f>Dane!E20-Prognoza!W20</f>
        <v>-8.8117786561265916</v>
      </c>
      <c r="Y20" s="47">
        <f>Dane!E20</f>
        <v>66.44</v>
      </c>
      <c r="Z20" s="16">
        <f t="shared" si="7"/>
        <v>0.40107423631614963</v>
      </c>
      <c r="AA20" s="20">
        <f>Dane!D20-Z20</f>
        <v>1.892576368385035E-2</v>
      </c>
    </row>
    <row r="21" spans="20:27" x14ac:dyDescent="0.25">
      <c r="T21" s="36">
        <f>Dane!H21</f>
        <v>2018</v>
      </c>
      <c r="U21" s="16">
        <f t="shared" si="5"/>
        <v>0.47719367588932826</v>
      </c>
      <c r="V21" s="20">
        <f>Dane!D21-Prognoza!U21</f>
        <v>-3.7193675889328259E-2</v>
      </c>
      <c r="W21" s="17">
        <f t="shared" si="6"/>
        <v>77.081660079051744</v>
      </c>
      <c r="X21" s="17">
        <f>Dane!E21-Prognoza!W21</f>
        <v>-4.4616600790517396</v>
      </c>
      <c r="Y21" s="47">
        <f>Dane!E21</f>
        <v>72.62</v>
      </c>
      <c r="Z21" s="16">
        <f t="shared" si="7"/>
        <v>0.42894993731655767</v>
      </c>
      <c r="AA21" s="20">
        <f>Dane!D21-Z21</f>
        <v>1.105006268344233E-2</v>
      </c>
    </row>
    <row r="22" spans="20:27" x14ac:dyDescent="0.25">
      <c r="T22" s="36">
        <f>Dane!H22</f>
        <v>2019</v>
      </c>
      <c r="U22" s="16">
        <f t="shared" si="5"/>
        <v>0.48896245059288646</v>
      </c>
      <c r="V22" s="20">
        <f>Dane!D22-Prognoza!U22</f>
        <v>-8.9624505928864728E-3</v>
      </c>
      <c r="W22" s="17">
        <f t="shared" si="6"/>
        <v>78.911541501976444</v>
      </c>
      <c r="X22" s="17">
        <f>Dane!E22-Prognoza!W22</f>
        <v>-6.651541501976439</v>
      </c>
      <c r="Y22" s="47">
        <f>Dane!E22</f>
        <v>72.260000000000005</v>
      </c>
      <c r="Z22" s="16">
        <f t="shared" si="7"/>
        <v>0.42732611007381549</v>
      </c>
      <c r="AA22" s="20">
        <f>Dane!D22-Z22</f>
        <v>5.2673889926184492E-2</v>
      </c>
    </row>
    <row r="23" spans="20:27" x14ac:dyDescent="0.25">
      <c r="T23" s="36">
        <f>Dane!H23</f>
        <v>2020</v>
      </c>
      <c r="U23" s="16">
        <f t="shared" si="5"/>
        <v>0.50073122529644465</v>
      </c>
      <c r="V23" s="20">
        <f>Dane!D23-Prognoza!U23</f>
        <v>2.9268774703555378E-2</v>
      </c>
      <c r="W23" s="17">
        <f t="shared" si="6"/>
        <v>80.741422924901599</v>
      </c>
      <c r="X23" s="17">
        <f>Dane!E23-Prognoza!W23</f>
        <v>-5.8814229249015995</v>
      </c>
      <c r="Y23" s="47">
        <f>Dane!E23</f>
        <v>74.86</v>
      </c>
      <c r="Z23" s="16">
        <f t="shared" si="7"/>
        <v>0.43905375127139812</v>
      </c>
      <c r="AA23" s="20">
        <f>Dane!D23-Z23</f>
        <v>9.0946248728601908E-2</v>
      </c>
    </row>
    <row r="24" spans="20:27" x14ac:dyDescent="0.25">
      <c r="T24" s="36">
        <f>Dane!H24</f>
        <v>2021</v>
      </c>
      <c r="U24" s="16">
        <f t="shared" si="5"/>
        <v>0.51250000000000284</v>
      </c>
      <c r="V24" s="20">
        <f>Dane!D24-Prognoza!U24</f>
        <v>4.7499999999997211E-2</v>
      </c>
      <c r="W24" s="17">
        <f t="shared" si="6"/>
        <v>82.571304347826299</v>
      </c>
      <c r="X24" s="17">
        <f>Dane!E24-Prognoza!W24</f>
        <v>14.188695652173706</v>
      </c>
      <c r="Y24" s="47">
        <f>Dane!E24</f>
        <v>96.76</v>
      </c>
      <c r="Z24" s="16">
        <f t="shared" si="7"/>
        <v>0.53783657520488282</v>
      </c>
      <c r="AA24" s="20">
        <f>Dane!D24-Z24</f>
        <v>2.2163424795117237E-2</v>
      </c>
    </row>
    <row r="25" spans="20:27" x14ac:dyDescent="0.25">
      <c r="T25" s="50">
        <v>2022</v>
      </c>
      <c r="U25" s="49">
        <f>$M$2+$J$2*T25</f>
        <v>0.52426877470355748</v>
      </c>
      <c r="W25" s="51">
        <f t="shared" si="6"/>
        <v>84.401185770750999</v>
      </c>
      <c r="Y25" s="48">
        <f>W25</f>
        <v>84.401185770750999</v>
      </c>
      <c r="Z25" s="49">
        <f t="shared" si="7"/>
        <v>0.4820905217786477</v>
      </c>
    </row>
    <row r="26" spans="20:27" x14ac:dyDescent="0.25">
      <c r="T26" s="50">
        <v>2023</v>
      </c>
      <c r="U26" s="49">
        <f t="shared" ref="U26:U89" si="11">$M$2+$J$2*T26</f>
        <v>0.53603754940711568</v>
      </c>
      <c r="W26" s="51">
        <f t="shared" si="6"/>
        <v>86.231067193676154</v>
      </c>
      <c r="Y26" s="48">
        <f t="shared" ref="Y26:Y89" si="12">W26</f>
        <v>86.231067193676154</v>
      </c>
      <c r="Z26" s="49">
        <f t="shared" si="7"/>
        <v>0.490344442071797</v>
      </c>
    </row>
    <row r="27" spans="20:27" x14ac:dyDescent="0.25">
      <c r="T27" s="50">
        <v>2024</v>
      </c>
      <c r="U27" s="49">
        <f t="shared" si="11"/>
        <v>0.54780632411067387</v>
      </c>
      <c r="W27" s="51">
        <f t="shared" si="6"/>
        <v>88.060948616600854</v>
      </c>
      <c r="Y27" s="48">
        <f t="shared" si="12"/>
        <v>88.060948616600854</v>
      </c>
      <c r="Z27" s="49">
        <f t="shared" si="7"/>
        <v>0.49859836236494426</v>
      </c>
    </row>
    <row r="28" spans="20:27" x14ac:dyDescent="0.25">
      <c r="T28" s="50">
        <v>2025</v>
      </c>
      <c r="U28" s="49">
        <f t="shared" si="11"/>
        <v>0.55957509881423206</v>
      </c>
      <c r="W28" s="51">
        <f t="shared" si="6"/>
        <v>89.890830039526008</v>
      </c>
      <c r="Y28" s="48">
        <f t="shared" si="12"/>
        <v>89.890830039526008</v>
      </c>
      <c r="Z28" s="49">
        <f t="shared" si="7"/>
        <v>0.50685228265809357</v>
      </c>
    </row>
    <row r="29" spans="20:27" x14ac:dyDescent="0.25">
      <c r="T29" s="50">
        <v>2026</v>
      </c>
      <c r="U29" s="49">
        <f t="shared" si="11"/>
        <v>0.5713438735177867</v>
      </c>
      <c r="W29" s="51">
        <f t="shared" si="6"/>
        <v>91.720711462450708</v>
      </c>
      <c r="Y29" s="48">
        <f t="shared" si="12"/>
        <v>91.720711462450708</v>
      </c>
      <c r="Z29" s="49">
        <f t="shared" si="7"/>
        <v>0.51510620295124077</v>
      </c>
    </row>
    <row r="30" spans="20:27" x14ac:dyDescent="0.25">
      <c r="T30" s="50">
        <v>2027</v>
      </c>
      <c r="U30" s="49">
        <f t="shared" si="11"/>
        <v>0.5831126482213449</v>
      </c>
      <c r="W30" s="51">
        <f t="shared" si="6"/>
        <v>93.550592885375863</v>
      </c>
      <c r="Y30" s="48">
        <f t="shared" si="12"/>
        <v>93.550592885375863</v>
      </c>
      <c r="Z30" s="49">
        <f t="shared" si="7"/>
        <v>0.52336012324439007</v>
      </c>
    </row>
    <row r="31" spans="20:27" x14ac:dyDescent="0.25">
      <c r="T31" s="50">
        <v>2028</v>
      </c>
      <c r="U31" s="49">
        <f t="shared" si="11"/>
        <v>0.59488142292490309</v>
      </c>
      <c r="W31" s="51">
        <f t="shared" si="6"/>
        <v>95.380474308300563</v>
      </c>
      <c r="Y31" s="48">
        <f t="shared" si="12"/>
        <v>95.380474308300563</v>
      </c>
      <c r="Z31" s="49">
        <f t="shared" si="7"/>
        <v>0.53161404353753738</v>
      </c>
    </row>
    <row r="32" spans="20:27" x14ac:dyDescent="0.25">
      <c r="T32" s="50">
        <v>2029</v>
      </c>
      <c r="U32" s="49">
        <f t="shared" si="11"/>
        <v>0.60665019762846129</v>
      </c>
      <c r="W32" s="51">
        <f t="shared" si="6"/>
        <v>97.210355731225718</v>
      </c>
      <c r="Y32" s="48">
        <f t="shared" si="12"/>
        <v>97.210355731225718</v>
      </c>
      <c r="Z32" s="49">
        <f t="shared" si="7"/>
        <v>0.53986796383068669</v>
      </c>
    </row>
    <row r="33" spans="20:26" x14ac:dyDescent="0.25">
      <c r="T33" s="50">
        <v>2030</v>
      </c>
      <c r="U33" s="49">
        <f t="shared" si="11"/>
        <v>0.61841897233201593</v>
      </c>
      <c r="W33" s="51">
        <f t="shared" si="6"/>
        <v>99.040237154150418</v>
      </c>
      <c r="Y33" s="48">
        <f t="shared" si="12"/>
        <v>99.040237154150418</v>
      </c>
      <c r="Z33" s="49">
        <f t="shared" si="7"/>
        <v>0.548121884123834</v>
      </c>
    </row>
    <row r="34" spans="20:26" x14ac:dyDescent="0.25">
      <c r="T34" s="50">
        <v>2031</v>
      </c>
      <c r="U34" s="49">
        <f t="shared" si="11"/>
        <v>0.63018774703557412</v>
      </c>
      <c r="W34" s="51">
        <f t="shared" si="6"/>
        <v>100.87011857707512</v>
      </c>
      <c r="Y34" s="48">
        <f t="shared" si="12"/>
        <v>100.87011857707512</v>
      </c>
      <c r="Z34" s="49">
        <f t="shared" si="7"/>
        <v>0.55637580441698131</v>
      </c>
    </row>
    <row r="35" spans="20:26" x14ac:dyDescent="0.25">
      <c r="T35" s="50">
        <v>2032</v>
      </c>
      <c r="U35" s="49">
        <f t="shared" si="11"/>
        <v>0.64195652173913231</v>
      </c>
      <c r="W35" s="51">
        <f t="shared" si="6"/>
        <v>102.70000000000027</v>
      </c>
      <c r="Y35" s="48">
        <f t="shared" si="12"/>
        <v>102.70000000000027</v>
      </c>
      <c r="Z35" s="49">
        <f t="shared" si="7"/>
        <v>0.56462972471013062</v>
      </c>
    </row>
    <row r="36" spans="20:26" x14ac:dyDescent="0.25">
      <c r="T36" s="50">
        <v>2033</v>
      </c>
      <c r="U36" s="49">
        <f t="shared" si="11"/>
        <v>0.65372529644269051</v>
      </c>
      <c r="W36" s="51">
        <f t="shared" si="6"/>
        <v>104.52988142292497</v>
      </c>
      <c r="Y36" s="48">
        <f t="shared" si="12"/>
        <v>104.52988142292497</v>
      </c>
      <c r="Z36" s="49">
        <f t="shared" si="7"/>
        <v>0.57288364500327782</v>
      </c>
    </row>
    <row r="37" spans="20:26" x14ac:dyDescent="0.25">
      <c r="T37" s="50">
        <v>2034</v>
      </c>
      <c r="U37" s="49">
        <f t="shared" si="11"/>
        <v>0.66549407114624515</v>
      </c>
      <c r="W37" s="51">
        <f t="shared" si="6"/>
        <v>106.35976284585013</v>
      </c>
      <c r="Y37" s="48">
        <f t="shared" si="12"/>
        <v>106.35976284585013</v>
      </c>
      <c r="Z37" s="49">
        <f t="shared" si="7"/>
        <v>0.58113756529642713</v>
      </c>
    </row>
    <row r="38" spans="20:26" x14ac:dyDescent="0.25">
      <c r="T38" s="50">
        <v>2035</v>
      </c>
      <c r="U38" s="49">
        <f t="shared" si="11"/>
        <v>0.67726284584980334</v>
      </c>
      <c r="W38" s="51">
        <f t="shared" si="6"/>
        <v>108.18964426877483</v>
      </c>
      <c r="Y38" s="48">
        <f t="shared" si="12"/>
        <v>108.18964426877483</v>
      </c>
      <c r="Z38" s="49">
        <f t="shared" si="7"/>
        <v>0.58939148558957444</v>
      </c>
    </row>
    <row r="39" spans="20:26" x14ac:dyDescent="0.25">
      <c r="T39" s="50">
        <v>2036</v>
      </c>
      <c r="U39" s="49">
        <f t="shared" si="11"/>
        <v>0.68903162055336153</v>
      </c>
      <c r="W39" s="51">
        <f t="shared" si="6"/>
        <v>110.01952569169998</v>
      </c>
      <c r="Y39" s="48">
        <f t="shared" si="12"/>
        <v>110.01952569169998</v>
      </c>
      <c r="Z39" s="49">
        <f t="shared" si="7"/>
        <v>0.59764540588272375</v>
      </c>
    </row>
    <row r="40" spans="20:26" x14ac:dyDescent="0.25">
      <c r="T40" s="50">
        <v>2037</v>
      </c>
      <c r="U40" s="49">
        <f t="shared" si="11"/>
        <v>0.70080039525691973</v>
      </c>
      <c r="W40" s="51">
        <f t="shared" si="6"/>
        <v>111.84940711462468</v>
      </c>
      <c r="Y40" s="48">
        <f t="shared" si="12"/>
        <v>111.84940711462468</v>
      </c>
      <c r="Z40" s="49">
        <f t="shared" si="7"/>
        <v>0.60589932617587094</v>
      </c>
    </row>
    <row r="41" spans="20:26" x14ac:dyDescent="0.25">
      <c r="T41" s="50">
        <v>2038</v>
      </c>
      <c r="U41" s="49">
        <f t="shared" si="11"/>
        <v>0.71256916996047437</v>
      </c>
      <c r="W41" s="51">
        <f t="shared" si="6"/>
        <v>113.67928853754984</v>
      </c>
      <c r="Y41" s="48">
        <f t="shared" si="12"/>
        <v>113.67928853754984</v>
      </c>
      <c r="Z41" s="49">
        <f t="shared" si="7"/>
        <v>0.61415324646902036</v>
      </c>
    </row>
    <row r="42" spans="20:26" x14ac:dyDescent="0.25">
      <c r="T42" s="50">
        <v>2039</v>
      </c>
      <c r="U42" s="49">
        <f t="shared" si="11"/>
        <v>0.72433794466403256</v>
      </c>
      <c r="W42" s="51">
        <f t="shared" si="6"/>
        <v>115.50916996047454</v>
      </c>
      <c r="Y42" s="48">
        <f t="shared" si="12"/>
        <v>115.50916996047454</v>
      </c>
      <c r="Z42" s="49">
        <f t="shared" si="7"/>
        <v>0.62240716676216756</v>
      </c>
    </row>
    <row r="43" spans="20:26" x14ac:dyDescent="0.25">
      <c r="T43" s="50">
        <v>2040</v>
      </c>
      <c r="U43" s="49">
        <f t="shared" si="11"/>
        <v>0.73610671936759076</v>
      </c>
      <c r="W43" s="51">
        <f t="shared" si="6"/>
        <v>117.33905138339924</v>
      </c>
      <c r="Y43" s="48">
        <f t="shared" si="12"/>
        <v>117.33905138339924</v>
      </c>
      <c r="Z43" s="49">
        <f t="shared" si="7"/>
        <v>0.63066108705531487</v>
      </c>
    </row>
    <row r="44" spans="20:26" x14ac:dyDescent="0.25">
      <c r="T44" s="50">
        <v>2041</v>
      </c>
      <c r="U44" s="49">
        <f t="shared" si="11"/>
        <v>0.74787549407114895</v>
      </c>
      <c r="W44" s="51">
        <f t="shared" si="6"/>
        <v>119.16893280632439</v>
      </c>
      <c r="Y44" s="48">
        <f t="shared" si="12"/>
        <v>119.16893280632439</v>
      </c>
      <c r="Z44" s="49">
        <f t="shared" si="7"/>
        <v>0.63891500734846418</v>
      </c>
    </row>
    <row r="45" spans="20:26" x14ac:dyDescent="0.25">
      <c r="T45" s="50">
        <v>2042</v>
      </c>
      <c r="U45" s="49">
        <f t="shared" si="11"/>
        <v>0.75964426877470359</v>
      </c>
      <c r="W45" s="51">
        <f t="shared" si="6"/>
        <v>120.99881422924909</v>
      </c>
      <c r="Y45" s="48">
        <f t="shared" si="12"/>
        <v>120.99881422924909</v>
      </c>
      <c r="Z45" s="49">
        <f t="shared" si="7"/>
        <v>0.64716892764161138</v>
      </c>
    </row>
    <row r="46" spans="20:26" x14ac:dyDescent="0.25">
      <c r="T46" s="50">
        <v>2043</v>
      </c>
      <c r="U46" s="49">
        <f t="shared" si="11"/>
        <v>0.77141304347826178</v>
      </c>
      <c r="W46" s="51">
        <f t="shared" si="6"/>
        <v>122.82869565217425</v>
      </c>
      <c r="Y46" s="48">
        <f t="shared" si="12"/>
        <v>122.82869565217425</v>
      </c>
      <c r="Z46" s="49">
        <f t="shared" si="7"/>
        <v>0.65542284793476069</v>
      </c>
    </row>
    <row r="47" spans="20:26" x14ac:dyDescent="0.25">
      <c r="T47" s="50">
        <v>2044</v>
      </c>
      <c r="U47" s="49">
        <f t="shared" si="11"/>
        <v>0.78318181818181998</v>
      </c>
      <c r="W47" s="51">
        <f t="shared" si="6"/>
        <v>124.65857707509895</v>
      </c>
      <c r="Y47" s="48">
        <f t="shared" si="12"/>
        <v>124.65857707509895</v>
      </c>
      <c r="Z47" s="49">
        <f t="shared" si="7"/>
        <v>0.663676768227908</v>
      </c>
    </row>
    <row r="48" spans="20:26" x14ac:dyDescent="0.25">
      <c r="T48" s="50">
        <v>2045</v>
      </c>
      <c r="U48" s="49">
        <f t="shared" si="11"/>
        <v>0.79495059288537817</v>
      </c>
      <c r="W48" s="51">
        <f t="shared" si="6"/>
        <v>126.4884584980241</v>
      </c>
      <c r="Y48" s="48">
        <f t="shared" si="12"/>
        <v>126.4884584980241</v>
      </c>
      <c r="Z48" s="49">
        <f t="shared" si="7"/>
        <v>0.67193068852105731</v>
      </c>
    </row>
    <row r="49" spans="20:26" x14ac:dyDescent="0.25">
      <c r="T49" s="50">
        <v>2046</v>
      </c>
      <c r="U49" s="49">
        <f t="shared" si="11"/>
        <v>0.80671936758893281</v>
      </c>
      <c r="W49" s="51">
        <f t="shared" si="6"/>
        <v>128.3183399209488</v>
      </c>
      <c r="Y49" s="48">
        <f t="shared" si="12"/>
        <v>128.3183399209488</v>
      </c>
      <c r="Z49" s="49">
        <f t="shared" si="7"/>
        <v>0.68018460881420462</v>
      </c>
    </row>
    <row r="50" spans="20:26" x14ac:dyDescent="0.25">
      <c r="T50" s="50">
        <v>2047</v>
      </c>
      <c r="U50" s="49">
        <f t="shared" si="11"/>
        <v>0.81848814229249101</v>
      </c>
      <c r="W50" s="51">
        <f t="shared" si="6"/>
        <v>130.14822134387396</v>
      </c>
      <c r="Y50" s="48">
        <f t="shared" si="12"/>
        <v>130.14822134387396</v>
      </c>
      <c r="Z50" s="49">
        <f t="shared" si="7"/>
        <v>0.68843852910735392</v>
      </c>
    </row>
    <row r="51" spans="20:26" x14ac:dyDescent="0.25">
      <c r="T51" s="50">
        <v>2048</v>
      </c>
      <c r="U51" s="49">
        <f t="shared" si="11"/>
        <v>0.8302569169960492</v>
      </c>
      <c r="W51" s="51">
        <f t="shared" si="6"/>
        <v>131.97810276679866</v>
      </c>
      <c r="Y51" s="48">
        <f t="shared" si="12"/>
        <v>131.97810276679866</v>
      </c>
      <c r="Z51" s="49">
        <f t="shared" si="7"/>
        <v>0.69669244940050112</v>
      </c>
    </row>
    <row r="52" spans="20:26" x14ac:dyDescent="0.25">
      <c r="T52" s="50">
        <v>2049</v>
      </c>
      <c r="U52" s="49">
        <f t="shared" si="11"/>
        <v>0.84202569169960739</v>
      </c>
      <c r="W52" s="51">
        <f t="shared" si="6"/>
        <v>133.80798418972336</v>
      </c>
      <c r="Y52" s="48">
        <f t="shared" si="12"/>
        <v>133.80798418972336</v>
      </c>
      <c r="Z52" s="49">
        <f t="shared" si="7"/>
        <v>0.70494636969364843</v>
      </c>
    </row>
    <row r="53" spans="20:26" x14ac:dyDescent="0.25">
      <c r="T53" s="50">
        <v>2050</v>
      </c>
      <c r="U53" s="49">
        <f t="shared" si="11"/>
        <v>0.85379446640316559</v>
      </c>
      <c r="W53" s="51">
        <f t="shared" si="6"/>
        <v>135.63786561264851</v>
      </c>
      <c r="Y53" s="48">
        <f t="shared" si="12"/>
        <v>135.63786561264851</v>
      </c>
      <c r="Z53" s="49">
        <f t="shared" si="7"/>
        <v>0.71320028998679774</v>
      </c>
    </row>
    <row r="54" spans="20:26" x14ac:dyDescent="0.25">
      <c r="T54" s="50">
        <v>2051</v>
      </c>
      <c r="U54" s="49">
        <f t="shared" si="11"/>
        <v>0.86556324110672023</v>
      </c>
      <c r="W54" s="51">
        <f t="shared" si="6"/>
        <v>137.46774703557321</v>
      </c>
      <c r="Y54" s="48">
        <f t="shared" si="12"/>
        <v>137.46774703557321</v>
      </c>
      <c r="Z54" s="49">
        <f t="shared" si="7"/>
        <v>0.72145421027994494</v>
      </c>
    </row>
    <row r="55" spans="20:26" x14ac:dyDescent="0.25">
      <c r="T55" s="50">
        <v>2052</v>
      </c>
      <c r="U55" s="49">
        <f t="shared" si="11"/>
        <v>0.87733201581027842</v>
      </c>
      <c r="W55" s="51">
        <f t="shared" si="6"/>
        <v>139.29762845849837</v>
      </c>
      <c r="Y55" s="48">
        <f t="shared" si="12"/>
        <v>139.29762845849837</v>
      </c>
      <c r="Z55" s="49">
        <f t="shared" si="7"/>
        <v>0.72970813057309436</v>
      </c>
    </row>
    <row r="56" spans="20:26" x14ac:dyDescent="0.25">
      <c r="T56" s="50">
        <v>2053</v>
      </c>
      <c r="U56" s="49">
        <f t="shared" si="11"/>
        <v>0.88910079051383661</v>
      </c>
      <c r="W56" s="51">
        <f t="shared" si="6"/>
        <v>141.12750988142307</v>
      </c>
      <c r="Y56" s="48">
        <f t="shared" si="12"/>
        <v>141.12750988142307</v>
      </c>
      <c r="Z56" s="49">
        <f t="shared" si="7"/>
        <v>0.73796205086624156</v>
      </c>
    </row>
    <row r="57" spans="20:26" x14ac:dyDescent="0.25">
      <c r="T57" s="50">
        <v>2054</v>
      </c>
      <c r="U57" s="49">
        <f t="shared" si="11"/>
        <v>0.90086956521739481</v>
      </c>
      <c r="W57" s="51">
        <f t="shared" si="6"/>
        <v>142.95739130434822</v>
      </c>
      <c r="Y57" s="48">
        <f t="shared" si="12"/>
        <v>142.95739130434822</v>
      </c>
      <c r="Z57" s="49">
        <f t="shared" si="7"/>
        <v>0.74621597115939087</v>
      </c>
    </row>
    <row r="58" spans="20:26" x14ac:dyDescent="0.25">
      <c r="T58" s="50">
        <v>2055</v>
      </c>
      <c r="U58" s="49">
        <f t="shared" si="11"/>
        <v>0.91263833992094945</v>
      </c>
      <c r="W58" s="51">
        <f t="shared" si="6"/>
        <v>144.78727272727292</v>
      </c>
      <c r="Y58" s="48">
        <f t="shared" si="12"/>
        <v>144.78727272727292</v>
      </c>
      <c r="Z58" s="49">
        <f t="shared" si="7"/>
        <v>0.75446989145253818</v>
      </c>
    </row>
    <row r="59" spans="20:26" x14ac:dyDescent="0.25">
      <c r="T59" s="50">
        <v>2056</v>
      </c>
      <c r="U59" s="49">
        <f t="shared" si="11"/>
        <v>0.92440711462450764</v>
      </c>
      <c r="W59" s="51">
        <f t="shared" si="6"/>
        <v>146.61715415019808</v>
      </c>
      <c r="Y59" s="48">
        <f t="shared" si="12"/>
        <v>146.61715415019808</v>
      </c>
      <c r="Z59" s="49">
        <f t="shared" si="7"/>
        <v>0.76272381174568749</v>
      </c>
    </row>
    <row r="60" spans="20:26" x14ac:dyDescent="0.25">
      <c r="T60" s="50">
        <v>2057</v>
      </c>
      <c r="U60" s="49">
        <f t="shared" si="11"/>
        <v>0.93617588932806584</v>
      </c>
      <c r="W60" s="51">
        <f t="shared" si="6"/>
        <v>148.44703557312278</v>
      </c>
      <c r="Y60" s="48">
        <f t="shared" si="12"/>
        <v>148.44703557312278</v>
      </c>
      <c r="Z60" s="49">
        <f t="shared" si="7"/>
        <v>0.77097773203883468</v>
      </c>
    </row>
    <row r="61" spans="20:26" x14ac:dyDescent="0.25">
      <c r="T61" s="50">
        <v>2058</v>
      </c>
      <c r="U61" s="49">
        <f t="shared" si="11"/>
        <v>0.94794466403162403</v>
      </c>
      <c r="W61" s="51">
        <f t="shared" si="6"/>
        <v>150.27691699604748</v>
      </c>
      <c r="Y61" s="48">
        <f t="shared" si="12"/>
        <v>150.27691699604748</v>
      </c>
      <c r="Z61" s="49">
        <f t="shared" si="7"/>
        <v>0.77923165233198199</v>
      </c>
    </row>
    <row r="62" spans="20:26" x14ac:dyDescent="0.25">
      <c r="T62" s="50">
        <v>2059</v>
      </c>
      <c r="U62" s="49">
        <f t="shared" si="11"/>
        <v>0.95971343873517867</v>
      </c>
      <c r="W62" s="51">
        <f t="shared" si="6"/>
        <v>152.10679841897263</v>
      </c>
      <c r="Y62" s="48">
        <f t="shared" si="12"/>
        <v>152.10679841897263</v>
      </c>
      <c r="Z62" s="49">
        <f t="shared" si="7"/>
        <v>0.7874855726251313</v>
      </c>
    </row>
    <row r="63" spans="20:26" x14ac:dyDescent="0.25">
      <c r="T63" s="50">
        <v>2060</v>
      </c>
      <c r="U63" s="49">
        <f t="shared" si="11"/>
        <v>0.97148221343873686</v>
      </c>
      <c r="W63" s="51">
        <f t="shared" si="6"/>
        <v>153.93667984189733</v>
      </c>
      <c r="Y63" s="48">
        <f t="shared" si="12"/>
        <v>153.93667984189733</v>
      </c>
      <c r="Z63" s="49">
        <f t="shared" si="7"/>
        <v>0.79573949291827861</v>
      </c>
    </row>
    <row r="64" spans="20:26" x14ac:dyDescent="0.25">
      <c r="T64" s="50">
        <v>2061</v>
      </c>
      <c r="U64" s="49">
        <f t="shared" si="11"/>
        <v>0.98325098814229506</v>
      </c>
      <c r="W64" s="51">
        <f t="shared" si="6"/>
        <v>155.76656126482249</v>
      </c>
      <c r="Y64" s="48">
        <f t="shared" si="12"/>
        <v>155.76656126482249</v>
      </c>
      <c r="Z64" s="49">
        <f t="shared" si="7"/>
        <v>0.80399341321142792</v>
      </c>
    </row>
    <row r="65" spans="20:26" x14ac:dyDescent="0.25">
      <c r="T65" s="50">
        <v>2062</v>
      </c>
      <c r="U65" s="49">
        <f t="shared" si="11"/>
        <v>0.99501976284585325</v>
      </c>
      <c r="W65" s="51">
        <f t="shared" si="6"/>
        <v>157.59644268774719</v>
      </c>
      <c r="Y65" s="48">
        <f t="shared" si="12"/>
        <v>157.59644268774719</v>
      </c>
      <c r="Z65" s="49">
        <f t="shared" si="7"/>
        <v>0.81224733350457512</v>
      </c>
    </row>
    <row r="66" spans="20:26" x14ac:dyDescent="0.25">
      <c r="T66" s="50">
        <v>2063</v>
      </c>
      <c r="U66" s="49">
        <f t="shared" si="11"/>
        <v>1.0067885375494079</v>
      </c>
      <c r="W66" s="51">
        <f t="shared" si="6"/>
        <v>159.42632411067234</v>
      </c>
      <c r="Y66" s="48">
        <f t="shared" si="12"/>
        <v>159.42632411067234</v>
      </c>
      <c r="Z66" s="49">
        <f t="shared" si="7"/>
        <v>0.82050125379772443</v>
      </c>
    </row>
    <row r="67" spans="20:26" x14ac:dyDescent="0.25">
      <c r="T67" s="50">
        <v>2064</v>
      </c>
      <c r="U67" s="49">
        <f t="shared" si="11"/>
        <v>1.0185573122529661</v>
      </c>
      <c r="W67" s="51">
        <f t="shared" ref="W67:W90" si="13">$M$3+$J$3*T67</f>
        <v>161.25620553359704</v>
      </c>
      <c r="Y67" s="48">
        <f t="shared" si="12"/>
        <v>161.25620553359704</v>
      </c>
      <c r="Z67" s="49">
        <f t="shared" ref="Z67:Z90" si="14">$M$4+$J$4*Y67</f>
        <v>0.82875517409087174</v>
      </c>
    </row>
    <row r="68" spans="20:26" x14ac:dyDescent="0.25">
      <c r="T68" s="50">
        <v>2065</v>
      </c>
      <c r="U68" s="49">
        <f t="shared" si="11"/>
        <v>1.0303260869565243</v>
      </c>
      <c r="W68" s="51">
        <f t="shared" si="13"/>
        <v>163.08608695652219</v>
      </c>
      <c r="Y68" s="48">
        <f t="shared" si="12"/>
        <v>163.08608695652219</v>
      </c>
      <c r="Z68" s="49">
        <f t="shared" si="14"/>
        <v>0.83700909438402105</v>
      </c>
    </row>
    <row r="69" spans="20:26" x14ac:dyDescent="0.25">
      <c r="T69" s="50">
        <v>2066</v>
      </c>
      <c r="U69" s="49">
        <f t="shared" si="11"/>
        <v>1.0420948616600825</v>
      </c>
      <c r="W69" s="51">
        <f t="shared" si="13"/>
        <v>164.91596837944689</v>
      </c>
      <c r="Y69" s="48">
        <f t="shared" si="12"/>
        <v>164.91596837944689</v>
      </c>
      <c r="Z69" s="49">
        <f t="shared" si="14"/>
        <v>0.84526301467716836</v>
      </c>
    </row>
    <row r="70" spans="20:26" x14ac:dyDescent="0.25">
      <c r="T70" s="50">
        <v>2067</v>
      </c>
      <c r="U70" s="49">
        <f t="shared" si="11"/>
        <v>1.0538636363636371</v>
      </c>
      <c r="W70" s="51">
        <f t="shared" si="13"/>
        <v>166.74584980237159</v>
      </c>
      <c r="Y70" s="48">
        <f t="shared" si="12"/>
        <v>166.74584980237159</v>
      </c>
      <c r="Z70" s="49">
        <f t="shared" si="14"/>
        <v>0.85351693497031556</v>
      </c>
    </row>
    <row r="71" spans="20:26" x14ac:dyDescent="0.25">
      <c r="T71" s="50">
        <v>2068</v>
      </c>
      <c r="U71" s="49">
        <f t="shared" si="11"/>
        <v>1.0656324110671953</v>
      </c>
      <c r="W71" s="51">
        <f t="shared" si="13"/>
        <v>168.57573122529675</v>
      </c>
      <c r="Y71" s="48">
        <f t="shared" si="12"/>
        <v>168.57573122529675</v>
      </c>
      <c r="Z71" s="49">
        <f t="shared" si="14"/>
        <v>0.86177085526346486</v>
      </c>
    </row>
    <row r="72" spans="20:26" x14ac:dyDescent="0.25">
      <c r="T72" s="50">
        <v>2069</v>
      </c>
      <c r="U72" s="49">
        <f t="shared" si="11"/>
        <v>1.0774011857707535</v>
      </c>
      <c r="W72" s="51">
        <f t="shared" si="13"/>
        <v>170.40561264822145</v>
      </c>
      <c r="Y72" s="48">
        <f t="shared" si="12"/>
        <v>170.40561264822145</v>
      </c>
      <c r="Z72" s="49">
        <f t="shared" si="14"/>
        <v>0.87002477555661217</v>
      </c>
    </row>
    <row r="73" spans="20:26" x14ac:dyDescent="0.25">
      <c r="T73" s="50">
        <v>2070</v>
      </c>
      <c r="U73" s="49">
        <f t="shared" si="11"/>
        <v>1.0891699604743117</v>
      </c>
      <c r="W73" s="51">
        <f t="shared" si="13"/>
        <v>172.2354940711466</v>
      </c>
      <c r="Y73" s="48">
        <f t="shared" si="12"/>
        <v>172.2354940711466</v>
      </c>
      <c r="Z73" s="49">
        <f t="shared" si="14"/>
        <v>0.87827869584976148</v>
      </c>
    </row>
    <row r="74" spans="20:26" x14ac:dyDescent="0.25">
      <c r="T74" s="50">
        <v>2071</v>
      </c>
      <c r="U74" s="49">
        <f t="shared" si="11"/>
        <v>1.1009387351778663</v>
      </c>
      <c r="W74" s="51">
        <f t="shared" si="13"/>
        <v>174.0653754940713</v>
      </c>
      <c r="Y74" s="48">
        <f t="shared" si="12"/>
        <v>174.0653754940713</v>
      </c>
      <c r="Z74" s="49">
        <f t="shared" si="14"/>
        <v>0.88653261614290868</v>
      </c>
    </row>
    <row r="75" spans="20:26" x14ac:dyDescent="0.25">
      <c r="T75" s="50">
        <v>2072</v>
      </c>
      <c r="U75" s="49">
        <f t="shared" si="11"/>
        <v>1.1127075098814245</v>
      </c>
      <c r="W75" s="51">
        <f t="shared" si="13"/>
        <v>175.89525691699646</v>
      </c>
      <c r="Y75" s="48">
        <f t="shared" si="12"/>
        <v>175.89525691699646</v>
      </c>
      <c r="Z75" s="49">
        <f t="shared" si="14"/>
        <v>0.8947865364360581</v>
      </c>
    </row>
    <row r="76" spans="20:26" x14ac:dyDescent="0.25">
      <c r="T76" s="50">
        <v>2073</v>
      </c>
      <c r="U76" s="49">
        <f t="shared" si="11"/>
        <v>1.1244762845849827</v>
      </c>
      <c r="W76" s="51">
        <f t="shared" si="13"/>
        <v>177.72513833992116</v>
      </c>
      <c r="Y76" s="48">
        <f t="shared" si="12"/>
        <v>177.72513833992116</v>
      </c>
      <c r="Z76" s="49">
        <f t="shared" si="14"/>
        <v>0.9030404567292053</v>
      </c>
    </row>
    <row r="77" spans="20:26" x14ac:dyDescent="0.25">
      <c r="T77" s="50">
        <v>2074</v>
      </c>
      <c r="U77" s="49">
        <f t="shared" si="11"/>
        <v>1.1362450592885409</v>
      </c>
      <c r="W77" s="51">
        <f t="shared" si="13"/>
        <v>179.55501976284631</v>
      </c>
      <c r="Y77" s="48">
        <f t="shared" si="12"/>
        <v>179.55501976284631</v>
      </c>
      <c r="Z77" s="49">
        <f t="shared" si="14"/>
        <v>0.91129437702235461</v>
      </c>
    </row>
    <row r="78" spans="20:26" x14ac:dyDescent="0.25">
      <c r="T78" s="50">
        <v>2075</v>
      </c>
      <c r="U78" s="49">
        <f t="shared" si="11"/>
        <v>1.1480138339920956</v>
      </c>
      <c r="W78" s="51">
        <f t="shared" si="13"/>
        <v>181.38490118577101</v>
      </c>
      <c r="Y78" s="48">
        <f t="shared" si="12"/>
        <v>181.38490118577101</v>
      </c>
      <c r="Z78" s="49">
        <f t="shared" si="14"/>
        <v>0.91954829731550192</v>
      </c>
    </row>
    <row r="79" spans="20:26" x14ac:dyDescent="0.25">
      <c r="T79" s="50">
        <v>2076</v>
      </c>
      <c r="U79" s="49">
        <f t="shared" si="11"/>
        <v>1.1597826086956537</v>
      </c>
      <c r="W79" s="51">
        <f t="shared" si="13"/>
        <v>183.21478260869571</v>
      </c>
      <c r="Y79" s="48">
        <f t="shared" si="12"/>
        <v>183.21478260869571</v>
      </c>
      <c r="Z79" s="49">
        <f t="shared" si="14"/>
        <v>0.92780221760864912</v>
      </c>
    </row>
    <row r="80" spans="20:26" x14ac:dyDescent="0.25">
      <c r="T80" s="50">
        <v>2077</v>
      </c>
      <c r="U80" s="49">
        <f t="shared" si="11"/>
        <v>1.1715513833992119</v>
      </c>
      <c r="W80" s="51">
        <f t="shared" si="13"/>
        <v>185.04466403162087</v>
      </c>
      <c r="Y80" s="48">
        <f t="shared" si="12"/>
        <v>185.04466403162087</v>
      </c>
      <c r="Z80" s="49">
        <f t="shared" si="14"/>
        <v>0.93605613790179842</v>
      </c>
    </row>
    <row r="81" spans="20:26" x14ac:dyDescent="0.25">
      <c r="T81" s="50">
        <v>2078</v>
      </c>
      <c r="U81" s="49">
        <f t="shared" si="11"/>
        <v>1.1833201581027701</v>
      </c>
      <c r="W81" s="51">
        <f t="shared" si="13"/>
        <v>186.87454545454557</v>
      </c>
      <c r="Y81" s="48">
        <f t="shared" si="12"/>
        <v>186.87454545454557</v>
      </c>
      <c r="Z81" s="49">
        <f t="shared" si="14"/>
        <v>0.94431005819494573</v>
      </c>
    </row>
    <row r="82" spans="20:26" x14ac:dyDescent="0.25">
      <c r="T82" s="50">
        <v>2079</v>
      </c>
      <c r="U82" s="49">
        <f t="shared" si="11"/>
        <v>1.1950889328063248</v>
      </c>
      <c r="W82" s="51">
        <f t="shared" si="13"/>
        <v>188.70442687747072</v>
      </c>
      <c r="Y82" s="48">
        <f t="shared" si="12"/>
        <v>188.70442687747072</v>
      </c>
      <c r="Z82" s="49">
        <f t="shared" si="14"/>
        <v>0.95256397848809504</v>
      </c>
    </row>
    <row r="83" spans="20:26" x14ac:dyDescent="0.25">
      <c r="T83" s="50">
        <v>2080</v>
      </c>
      <c r="U83" s="49">
        <f t="shared" si="11"/>
        <v>1.206857707509883</v>
      </c>
      <c r="W83" s="51">
        <f t="shared" si="13"/>
        <v>190.53430830039542</v>
      </c>
      <c r="Y83" s="48">
        <f t="shared" si="12"/>
        <v>190.53430830039542</v>
      </c>
      <c r="Z83" s="49">
        <f t="shared" si="14"/>
        <v>0.96081789878124235</v>
      </c>
    </row>
    <row r="84" spans="20:26" x14ac:dyDescent="0.25">
      <c r="T84" s="50">
        <v>2081</v>
      </c>
      <c r="U84" s="49">
        <f t="shared" si="11"/>
        <v>1.2186264822134412</v>
      </c>
      <c r="W84" s="51">
        <f t="shared" si="13"/>
        <v>192.36418972332058</v>
      </c>
      <c r="Y84" s="48">
        <f t="shared" si="12"/>
        <v>192.36418972332058</v>
      </c>
      <c r="Z84" s="49">
        <f t="shared" si="14"/>
        <v>0.96907181907439166</v>
      </c>
    </row>
    <row r="85" spans="20:26" x14ac:dyDescent="0.25">
      <c r="T85" s="50">
        <v>2082</v>
      </c>
      <c r="U85" s="49">
        <f t="shared" si="11"/>
        <v>1.2303952569169994</v>
      </c>
      <c r="W85" s="51">
        <f t="shared" si="13"/>
        <v>194.19407114624528</v>
      </c>
      <c r="Y85" s="48">
        <f t="shared" si="12"/>
        <v>194.19407114624528</v>
      </c>
      <c r="Z85" s="49">
        <f t="shared" si="14"/>
        <v>0.97732573936753886</v>
      </c>
    </row>
    <row r="86" spans="20:26" x14ac:dyDescent="0.25">
      <c r="T86" s="50">
        <v>2083</v>
      </c>
      <c r="U86" s="49">
        <f t="shared" si="11"/>
        <v>1.242164031620554</v>
      </c>
      <c r="W86" s="51">
        <f t="shared" si="13"/>
        <v>196.02395256916998</v>
      </c>
      <c r="Y86" s="48">
        <f t="shared" si="12"/>
        <v>196.02395256916998</v>
      </c>
      <c r="Z86" s="49">
        <f t="shared" si="14"/>
        <v>0.98557965966068617</v>
      </c>
    </row>
    <row r="87" spans="20:26" x14ac:dyDescent="0.25">
      <c r="T87" s="50">
        <v>2084</v>
      </c>
      <c r="U87" s="49">
        <f t="shared" si="11"/>
        <v>1.2539328063241122</v>
      </c>
      <c r="W87" s="51">
        <f t="shared" si="13"/>
        <v>197.85383399209513</v>
      </c>
      <c r="Y87" s="48">
        <f t="shared" si="12"/>
        <v>197.85383399209513</v>
      </c>
      <c r="Z87" s="49">
        <f t="shared" si="14"/>
        <v>0.99383357995383548</v>
      </c>
    </row>
    <row r="88" spans="20:26" x14ac:dyDescent="0.25">
      <c r="T88" s="50">
        <v>2085</v>
      </c>
      <c r="U88" s="49">
        <f t="shared" si="11"/>
        <v>1.2657015810276704</v>
      </c>
      <c r="W88" s="51">
        <f t="shared" si="13"/>
        <v>199.68371541501983</v>
      </c>
      <c r="Y88" s="48">
        <f t="shared" si="12"/>
        <v>199.68371541501983</v>
      </c>
      <c r="Z88" s="49">
        <f t="shared" si="14"/>
        <v>1.0020875002469829</v>
      </c>
    </row>
    <row r="89" spans="20:26" x14ac:dyDescent="0.25">
      <c r="T89" s="50">
        <v>2086</v>
      </c>
      <c r="U89" s="49">
        <f t="shared" si="11"/>
        <v>1.2774703557312286</v>
      </c>
      <c r="W89" s="51">
        <f t="shared" si="13"/>
        <v>201.51359683794499</v>
      </c>
      <c r="Y89" s="48">
        <f t="shared" si="12"/>
        <v>201.51359683794499</v>
      </c>
      <c r="Z89" s="49">
        <f t="shared" si="14"/>
        <v>1.010341420540132</v>
      </c>
    </row>
    <row r="90" spans="20:26" x14ac:dyDescent="0.25">
      <c r="T90" s="50">
        <v>2087</v>
      </c>
      <c r="U90" s="49">
        <f t="shared" ref="U90" si="15">$M$2+$J$2*T90</f>
        <v>1.2892391304347832</v>
      </c>
      <c r="W90" s="51">
        <f t="shared" si="13"/>
        <v>203.34347826086969</v>
      </c>
      <c r="Y90" s="48">
        <f t="shared" ref="Y90" si="16">W90</f>
        <v>203.34347826086969</v>
      </c>
      <c r="Z90" s="49">
        <f t="shared" si="14"/>
        <v>1.0185953408332793</v>
      </c>
    </row>
    <row r="91" spans="20:26" x14ac:dyDescent="0.25">
      <c r="T91" s="45"/>
    </row>
    <row r="92" spans="20:26" x14ac:dyDescent="0.25">
      <c r="T92" s="45"/>
    </row>
    <row r="93" spans="20:26" x14ac:dyDescent="0.25">
      <c r="T93" s="45"/>
    </row>
    <row r="94" spans="20:26" x14ac:dyDescent="0.25">
      <c r="T94" s="45"/>
    </row>
    <row r="95" spans="20:26" x14ac:dyDescent="0.25">
      <c r="T95" s="45"/>
    </row>
    <row r="96" spans="20:26" x14ac:dyDescent="0.25">
      <c r="T96" s="45"/>
    </row>
    <row r="97" spans="20:20" x14ac:dyDescent="0.25">
      <c r="T97" s="45"/>
    </row>
    <row r="98" spans="20:20" x14ac:dyDescent="0.25">
      <c r="T98" s="45"/>
    </row>
    <row r="99" spans="20:20" x14ac:dyDescent="0.25">
      <c r="T99" s="45"/>
    </row>
    <row r="100" spans="20:20" x14ac:dyDescent="0.25">
      <c r="T100" s="45"/>
    </row>
    <row r="101" spans="20:20" x14ac:dyDescent="0.25">
      <c r="T101" s="45"/>
    </row>
    <row r="102" spans="20:20" x14ac:dyDescent="0.25">
      <c r="T102" s="45"/>
    </row>
    <row r="103" spans="20:20" x14ac:dyDescent="0.25">
      <c r="T103" s="45"/>
    </row>
    <row r="104" spans="20:20" x14ac:dyDescent="0.25">
      <c r="T104" s="45"/>
    </row>
    <row r="105" spans="20:20" x14ac:dyDescent="0.25">
      <c r="T105" s="45"/>
    </row>
    <row r="106" spans="20:20" x14ac:dyDescent="0.25">
      <c r="T106" s="45"/>
    </row>
    <row r="107" spans="20:20" x14ac:dyDescent="0.25">
      <c r="T107" s="45"/>
    </row>
    <row r="108" spans="20:20" x14ac:dyDescent="0.25">
      <c r="T108" s="45"/>
    </row>
    <row r="109" spans="20:20" x14ac:dyDescent="0.25">
      <c r="T109" s="45"/>
    </row>
    <row r="110" spans="20:20" x14ac:dyDescent="0.25">
      <c r="T110" s="45"/>
    </row>
    <row r="111" spans="20:20" x14ac:dyDescent="0.25">
      <c r="T111" s="45"/>
    </row>
    <row r="112" spans="20:20" x14ac:dyDescent="0.25">
      <c r="T112" s="45"/>
    </row>
    <row r="113" spans="20:20" x14ac:dyDescent="0.25">
      <c r="T113" s="45"/>
    </row>
    <row r="114" spans="20:20" x14ac:dyDescent="0.25">
      <c r="T114" s="45"/>
    </row>
    <row r="115" spans="20:20" x14ac:dyDescent="0.25">
      <c r="T115" s="45"/>
    </row>
    <row r="116" spans="20:20" x14ac:dyDescent="0.25">
      <c r="T116" s="45"/>
    </row>
    <row r="117" spans="20:20" x14ac:dyDescent="0.25">
      <c r="T117" s="45"/>
    </row>
    <row r="118" spans="20:20" x14ac:dyDescent="0.25">
      <c r="T118" s="45"/>
    </row>
    <row r="119" spans="20:20" x14ac:dyDescent="0.25">
      <c r="T119" s="45"/>
    </row>
    <row r="120" spans="20:20" x14ac:dyDescent="0.25">
      <c r="T120" s="45"/>
    </row>
    <row r="121" spans="20:20" x14ac:dyDescent="0.25">
      <c r="T121" s="45"/>
    </row>
    <row r="122" spans="20:20" x14ac:dyDescent="0.25">
      <c r="T122" s="45"/>
    </row>
    <row r="123" spans="20:20" x14ac:dyDescent="0.25">
      <c r="T123" s="45"/>
    </row>
    <row r="124" spans="20:20" x14ac:dyDescent="0.25">
      <c r="T124" s="45"/>
    </row>
    <row r="125" spans="20:20" x14ac:dyDescent="0.25">
      <c r="T125" s="45"/>
    </row>
    <row r="126" spans="20:20" x14ac:dyDescent="0.25">
      <c r="T126" s="45"/>
    </row>
    <row r="127" spans="20:20" x14ac:dyDescent="0.25">
      <c r="T127" s="45"/>
    </row>
    <row r="128" spans="20:20" x14ac:dyDescent="0.25">
      <c r="T128" s="45"/>
    </row>
    <row r="129" spans="20:20" x14ac:dyDescent="0.25">
      <c r="T129" s="45"/>
    </row>
    <row r="130" spans="20:20" x14ac:dyDescent="0.25">
      <c r="T130" s="45"/>
    </row>
    <row r="131" spans="20:20" x14ac:dyDescent="0.25">
      <c r="T131" s="45"/>
    </row>
    <row r="132" spans="20:20" x14ac:dyDescent="0.25">
      <c r="T132" s="45"/>
    </row>
    <row r="133" spans="20:20" x14ac:dyDescent="0.25">
      <c r="T133" s="45"/>
    </row>
    <row r="134" spans="20:20" x14ac:dyDescent="0.25">
      <c r="T134" s="45"/>
    </row>
    <row r="135" spans="20:20" x14ac:dyDescent="0.25">
      <c r="T135" s="45"/>
    </row>
    <row r="136" spans="20:20" x14ac:dyDescent="0.25">
      <c r="T136" s="45"/>
    </row>
    <row r="137" spans="20:20" x14ac:dyDescent="0.25">
      <c r="T137" s="45"/>
    </row>
    <row r="138" spans="20:20" x14ac:dyDescent="0.25">
      <c r="T138" s="45"/>
    </row>
    <row r="139" spans="20:20" x14ac:dyDescent="0.25">
      <c r="T139" s="45"/>
    </row>
    <row r="140" spans="20:20" x14ac:dyDescent="0.25">
      <c r="T140" s="45"/>
    </row>
    <row r="141" spans="20:20" x14ac:dyDescent="0.25">
      <c r="T141" s="45"/>
    </row>
    <row r="142" spans="20:20" x14ac:dyDescent="0.25">
      <c r="T142" s="45"/>
    </row>
    <row r="143" spans="20:20" x14ac:dyDescent="0.25">
      <c r="T143" s="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D91C0-0E6E-4972-B5B6-68AC0931D70F}">
  <dimension ref="A1:A35"/>
  <sheetViews>
    <sheetView topLeftCell="A9" zoomScale="40" zoomScaleNormal="40" workbookViewId="0">
      <selection activeCell="T61" sqref="T61"/>
    </sheetView>
  </sheetViews>
  <sheetFormatPr defaultRowHeight="15" x14ac:dyDescent="0.25"/>
  <sheetData>
    <row r="1" spans="1:1" x14ac:dyDescent="0.25">
      <c r="A1" t="s">
        <v>56</v>
      </c>
    </row>
    <row r="20" spans="1:1" x14ac:dyDescent="0.25">
      <c r="A20" t="s">
        <v>57</v>
      </c>
    </row>
    <row r="35" spans="1:1" x14ac:dyDescent="0.25">
      <c r="A35" t="s">
        <v>58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20188-9264-47B9-A6A1-A2EFD308C498}">
  <dimension ref="A1:J27"/>
  <sheetViews>
    <sheetView topLeftCell="A8" zoomScale="85" zoomScaleNormal="85" workbookViewId="0">
      <selection activeCell="D27" sqref="D26:D27"/>
    </sheetView>
  </sheetViews>
  <sheetFormatPr defaultRowHeight="15" x14ac:dyDescent="0.25"/>
  <cols>
    <col min="1" max="1" width="21.85546875" bestFit="1" customWidth="1"/>
  </cols>
  <sheetData>
    <row r="1" spans="1:10" ht="90" x14ac:dyDescent="0.25">
      <c r="A1" s="52" t="s">
        <v>38</v>
      </c>
      <c r="B1" s="54" t="s">
        <v>49</v>
      </c>
      <c r="C1" s="53" t="s">
        <v>54</v>
      </c>
      <c r="D1" s="58" t="s">
        <v>55</v>
      </c>
      <c r="E1" s="55" t="s">
        <v>50</v>
      </c>
      <c r="F1" s="42" t="s">
        <v>53</v>
      </c>
      <c r="G1" s="59" t="s">
        <v>55</v>
      </c>
      <c r="H1" s="57" t="s">
        <v>51</v>
      </c>
      <c r="I1" s="56" t="s">
        <v>54</v>
      </c>
      <c r="J1" s="5" t="s">
        <v>55</v>
      </c>
    </row>
    <row r="2" spans="1:10" x14ac:dyDescent="0.25">
      <c r="A2" s="33">
        <f>Dane!H2</f>
        <v>1999</v>
      </c>
      <c r="B2" s="60">
        <f>Dane!D2</f>
        <v>0.23</v>
      </c>
      <c r="C2" s="61">
        <f>(B2-$B$2)/$B$2</f>
        <v>0</v>
      </c>
      <c r="D2" s="62" t="s">
        <v>52</v>
      </c>
      <c r="E2" s="63">
        <f>Dane!E2</f>
        <v>42.98</v>
      </c>
      <c r="F2" s="24">
        <f>(E2-$E$2)/$E$2</f>
        <v>0</v>
      </c>
      <c r="G2" s="17" t="s">
        <v>52</v>
      </c>
      <c r="H2" s="64">
        <f>Dane!F2</f>
        <v>19.350000000000001</v>
      </c>
      <c r="I2" s="25">
        <f>(H2-$H$2)/$H$2</f>
        <v>0</v>
      </c>
      <c r="J2" s="4" t="s">
        <v>52</v>
      </c>
    </row>
    <row r="3" spans="1:10" x14ac:dyDescent="0.25">
      <c r="A3" s="33">
        <f>Dane!H3</f>
        <v>2000</v>
      </c>
      <c r="B3" s="60">
        <f>Dane!D3</f>
        <v>0.27</v>
      </c>
      <c r="C3" s="61">
        <f t="shared" ref="C3:C24" si="0">(B3-$B$2)/$B$2</f>
        <v>0.17391304347826089</v>
      </c>
      <c r="D3" s="61">
        <f>(B3-B2)/B2</f>
        <v>0.17391304347826089</v>
      </c>
      <c r="E3" s="63">
        <f>Dane!E3</f>
        <v>50.82</v>
      </c>
      <c r="F3" s="24">
        <f>(E3-$E$2)/$E$2</f>
        <v>0.18241042345276881</v>
      </c>
      <c r="G3" s="24">
        <f>(E3-E2)/E2</f>
        <v>0.18241042345276881</v>
      </c>
      <c r="H3" s="64">
        <f>Dane!F3</f>
        <v>30.38</v>
      </c>
      <c r="I3" s="25">
        <f t="shared" ref="I3:I24" si="1">(H3-$H$2)/$H$2</f>
        <v>0.57002583979328147</v>
      </c>
      <c r="J3" s="25">
        <f>(H3-H2)/H2</f>
        <v>0.57002583979328147</v>
      </c>
    </row>
    <row r="4" spans="1:10" x14ac:dyDescent="0.25">
      <c r="A4" s="33">
        <f>Dane!H4</f>
        <v>2001</v>
      </c>
      <c r="B4" s="60">
        <f>Dane!D4</f>
        <v>0.3</v>
      </c>
      <c r="C4" s="61">
        <f t="shared" si="0"/>
        <v>0.30434782608695643</v>
      </c>
      <c r="D4" s="61">
        <f t="shared" ref="D4:D24" si="2">(B4-B3)/B3</f>
        <v>0.11111111111111099</v>
      </c>
      <c r="E4" s="63">
        <f>Dane!E4</f>
        <v>50.45</v>
      </c>
      <c r="F4" s="24">
        <f t="shared" ref="F4:F24" si="3">(E4-$E$2)/$E$2</f>
        <v>0.17380176826430913</v>
      </c>
      <c r="G4" s="24">
        <f t="shared" ref="G4:G24" si="4">(E4-E3)/E3</f>
        <v>-7.2805981896890484E-3</v>
      </c>
      <c r="H4" s="64">
        <f>Dane!F4</f>
        <v>25.98</v>
      </c>
      <c r="I4" s="25">
        <f t="shared" si="1"/>
        <v>0.34263565891472858</v>
      </c>
      <c r="J4" s="25">
        <f t="shared" ref="J4:J24" si="5">(H4-H3)/H3</f>
        <v>-0.14483212639894663</v>
      </c>
    </row>
    <row r="5" spans="1:10" x14ac:dyDescent="0.25">
      <c r="A5" s="33">
        <f>Dane!H5</f>
        <v>2002</v>
      </c>
      <c r="B5" s="60">
        <f>Dane!D5</f>
        <v>0.28999999999999998</v>
      </c>
      <c r="C5" s="61">
        <f t="shared" si="0"/>
        <v>0.26086956521739119</v>
      </c>
      <c r="D5" s="61">
        <f t="shared" si="2"/>
        <v>-3.3333333333333368E-2</v>
      </c>
      <c r="E5" s="63">
        <f>Dane!E5</f>
        <v>43.61</v>
      </c>
      <c r="F5" s="24">
        <f t="shared" si="3"/>
        <v>1.4657980456026119E-2</v>
      </c>
      <c r="G5" s="24">
        <f t="shared" si="4"/>
        <v>-0.135579781962339</v>
      </c>
      <c r="H5" s="64">
        <f>Dane!F5</f>
        <v>26.19</v>
      </c>
      <c r="I5" s="25">
        <f t="shared" si="1"/>
        <v>0.3534883720930232</v>
      </c>
      <c r="J5" s="25">
        <f t="shared" si="5"/>
        <v>8.0831408775981859E-3</v>
      </c>
    </row>
    <row r="6" spans="1:10" x14ac:dyDescent="0.25">
      <c r="A6" s="33">
        <f>Dane!H6</f>
        <v>2003</v>
      </c>
      <c r="B6" s="60">
        <f>Dane!D6</f>
        <v>0.3</v>
      </c>
      <c r="C6" s="61">
        <f t="shared" si="0"/>
        <v>0.30434782608695643</v>
      </c>
      <c r="D6" s="61">
        <f t="shared" si="2"/>
        <v>3.4482758620689689E-2</v>
      </c>
      <c r="E6" s="63">
        <f>Dane!E6</f>
        <v>45.51</v>
      </c>
      <c r="F6" s="24">
        <f t="shared" si="3"/>
        <v>5.8864588180549127E-2</v>
      </c>
      <c r="G6" s="24">
        <f t="shared" si="4"/>
        <v>4.3567988993350119E-2</v>
      </c>
      <c r="H6" s="64">
        <f>Dane!F6</f>
        <v>31.08</v>
      </c>
      <c r="I6" s="25">
        <f t="shared" si="1"/>
        <v>0.60620155038759671</v>
      </c>
      <c r="J6" s="25">
        <f t="shared" si="5"/>
        <v>0.18671248568155771</v>
      </c>
    </row>
    <row r="7" spans="1:10" x14ac:dyDescent="0.25">
      <c r="A7" s="33">
        <f>Dane!H7</f>
        <v>2004</v>
      </c>
      <c r="B7" s="60">
        <f>Dane!D7</f>
        <v>0.31</v>
      </c>
      <c r="C7" s="61">
        <f t="shared" si="0"/>
        <v>0.34782608695652167</v>
      </c>
      <c r="D7" s="61">
        <f t="shared" si="2"/>
        <v>3.3333333333333368E-2</v>
      </c>
      <c r="E7" s="63">
        <f>Dane!E7</f>
        <v>47.19</v>
      </c>
      <c r="F7" s="24">
        <f t="shared" si="3"/>
        <v>9.7952536063285273E-2</v>
      </c>
      <c r="G7" s="24">
        <f t="shared" si="4"/>
        <v>3.6914963744232032E-2</v>
      </c>
      <c r="H7" s="64">
        <f>Dane!F7</f>
        <v>41.51</v>
      </c>
      <c r="I7" s="25">
        <f t="shared" si="1"/>
        <v>1.1452196382428939</v>
      </c>
      <c r="J7" s="25">
        <f t="shared" si="5"/>
        <v>0.3355855855855856</v>
      </c>
    </row>
    <row r="8" spans="1:10" x14ac:dyDescent="0.25">
      <c r="A8" s="33">
        <f>Dane!H8</f>
        <v>2005</v>
      </c>
      <c r="B8" s="60">
        <f>Dane!D8</f>
        <v>0.3</v>
      </c>
      <c r="C8" s="61">
        <f t="shared" si="0"/>
        <v>0.30434782608695643</v>
      </c>
      <c r="D8" s="61">
        <f t="shared" si="2"/>
        <v>-3.2258064516129059E-2</v>
      </c>
      <c r="E8" s="63">
        <f>Dane!E8</f>
        <v>36.69</v>
      </c>
      <c r="F8" s="24">
        <f t="shared" si="3"/>
        <v>-0.14634713820381573</v>
      </c>
      <c r="G8" s="24">
        <f t="shared" si="4"/>
        <v>-0.22250476795931343</v>
      </c>
      <c r="H8" s="64">
        <f>Dane!F8</f>
        <v>56.64</v>
      </c>
      <c r="I8" s="25">
        <f t="shared" si="1"/>
        <v>1.9271317829457362</v>
      </c>
      <c r="J8" s="25">
        <f t="shared" si="5"/>
        <v>0.36449048422066982</v>
      </c>
    </row>
    <row r="9" spans="1:10" x14ac:dyDescent="0.25">
      <c r="A9" s="33">
        <f>Dane!H9</f>
        <v>2006</v>
      </c>
      <c r="B9" s="60">
        <f>Dane!D9</f>
        <v>0.3</v>
      </c>
      <c r="C9" s="61">
        <f t="shared" si="0"/>
        <v>0.30434782608695643</v>
      </c>
      <c r="D9" s="61">
        <f t="shared" si="2"/>
        <v>0</v>
      </c>
      <c r="E9" s="63">
        <f>Dane!E9</f>
        <v>44.76</v>
      </c>
      <c r="F9" s="24">
        <f t="shared" si="3"/>
        <v>4.1414611447184765E-2</v>
      </c>
      <c r="G9" s="24">
        <f t="shared" si="4"/>
        <v>0.21995094031071138</v>
      </c>
      <c r="H9" s="64">
        <f>Dane!F9</f>
        <v>66.05</v>
      </c>
      <c r="I9" s="25">
        <f t="shared" si="1"/>
        <v>2.4134366925064596</v>
      </c>
      <c r="J9" s="25">
        <f t="shared" si="5"/>
        <v>0.16613700564971745</v>
      </c>
    </row>
    <row r="10" spans="1:10" x14ac:dyDescent="0.25">
      <c r="A10" s="33">
        <f>Dane!H10</f>
        <v>2007</v>
      </c>
      <c r="B10" s="60">
        <f>Dane!D10</f>
        <v>0.35</v>
      </c>
      <c r="C10" s="61">
        <f t="shared" si="0"/>
        <v>0.52173913043478248</v>
      </c>
      <c r="D10" s="61">
        <f t="shared" si="2"/>
        <v>0.16666666666666663</v>
      </c>
      <c r="E10" s="63">
        <f>Dane!E10</f>
        <v>70.680000000000007</v>
      </c>
      <c r="F10" s="24">
        <f t="shared" si="3"/>
        <v>0.64448580735225713</v>
      </c>
      <c r="G10" s="24">
        <f t="shared" si="4"/>
        <v>0.57908847184986623</v>
      </c>
      <c r="H10" s="64">
        <f>Dane!F10</f>
        <v>72.34</v>
      </c>
      <c r="I10" s="25">
        <f t="shared" si="1"/>
        <v>2.7385012919896639</v>
      </c>
      <c r="J10" s="25">
        <f t="shared" si="5"/>
        <v>9.5230885692657183E-2</v>
      </c>
    </row>
    <row r="11" spans="1:10" x14ac:dyDescent="0.25">
      <c r="A11" s="33">
        <f>Dane!H11</f>
        <v>2008</v>
      </c>
      <c r="B11" s="60">
        <f>Dane!D11</f>
        <v>0.39</v>
      </c>
      <c r="C11" s="61">
        <f t="shared" si="0"/>
        <v>0.69565217391304346</v>
      </c>
      <c r="D11" s="61">
        <f t="shared" si="2"/>
        <v>0.11428571428571439</v>
      </c>
      <c r="E11" s="63">
        <f>Dane!E11</f>
        <v>64.239999999999995</v>
      </c>
      <c r="F11" s="24">
        <f t="shared" si="3"/>
        <v>0.49464867380176825</v>
      </c>
      <c r="G11" s="24">
        <f t="shared" si="4"/>
        <v>-9.1114883984154099E-2</v>
      </c>
      <c r="H11" s="64">
        <f>Dane!F11</f>
        <v>99.67</v>
      </c>
      <c r="I11" s="25">
        <f t="shared" si="1"/>
        <v>4.1509043927648568</v>
      </c>
      <c r="J11" s="25">
        <f t="shared" si="5"/>
        <v>0.37779928117224215</v>
      </c>
    </row>
    <row r="12" spans="1:10" x14ac:dyDescent="0.25">
      <c r="A12" s="33">
        <f>Dane!H12</f>
        <v>2009</v>
      </c>
      <c r="B12" s="60">
        <f>Dane!D12</f>
        <v>0.39</v>
      </c>
      <c r="C12" s="61">
        <f t="shared" si="0"/>
        <v>0.69565217391304346</v>
      </c>
      <c r="D12" s="61">
        <f t="shared" si="2"/>
        <v>0</v>
      </c>
      <c r="E12" s="63">
        <f>Dane!E12</f>
        <v>48.26</v>
      </c>
      <c r="F12" s="24">
        <f t="shared" si="3"/>
        <v>0.1228478362028851</v>
      </c>
      <c r="G12" s="24">
        <f t="shared" si="4"/>
        <v>-0.24875466998754667</v>
      </c>
      <c r="H12" s="64">
        <f>Dane!F12</f>
        <v>61.95</v>
      </c>
      <c r="I12" s="25">
        <f t="shared" si="1"/>
        <v>2.2015503875968991</v>
      </c>
      <c r="J12" s="25">
        <f t="shared" si="5"/>
        <v>-0.37844888130831744</v>
      </c>
    </row>
    <row r="13" spans="1:10" x14ac:dyDescent="0.25">
      <c r="A13" s="33">
        <f>Dane!H13</f>
        <v>2010</v>
      </c>
      <c r="B13" s="60">
        <f>Dane!D13</f>
        <v>0.4</v>
      </c>
      <c r="C13" s="61">
        <f t="shared" si="0"/>
        <v>0.73913043478260876</v>
      </c>
      <c r="D13" s="61">
        <f t="shared" si="2"/>
        <v>2.5641025641025664E-2</v>
      </c>
      <c r="E13" s="63">
        <f>Dane!E13</f>
        <v>59.84</v>
      </c>
      <c r="F13" s="24">
        <f t="shared" si="3"/>
        <v>0.39227547696603088</v>
      </c>
      <c r="G13" s="24">
        <f t="shared" si="4"/>
        <v>0.23995026937422309</v>
      </c>
      <c r="H13" s="64">
        <f>Dane!F13</f>
        <v>79.48</v>
      </c>
      <c r="I13" s="25">
        <f t="shared" si="1"/>
        <v>3.1074935400516797</v>
      </c>
      <c r="J13" s="25">
        <f t="shared" si="5"/>
        <v>0.28297013720742537</v>
      </c>
    </row>
    <row r="14" spans="1:10" x14ac:dyDescent="0.25">
      <c r="A14" s="33">
        <f>Dane!H14</f>
        <v>2011</v>
      </c>
      <c r="B14" s="60">
        <f>Dane!D14</f>
        <v>0.44</v>
      </c>
      <c r="C14" s="61">
        <f t="shared" si="0"/>
        <v>0.91304347826086951</v>
      </c>
      <c r="D14" s="61">
        <f t="shared" si="2"/>
        <v>9.999999999999995E-2</v>
      </c>
      <c r="E14" s="63">
        <f>Dane!E14</f>
        <v>81.99</v>
      </c>
      <c r="F14" s="24">
        <f t="shared" si="3"/>
        <v>0.90763145649139132</v>
      </c>
      <c r="G14" s="24">
        <f t="shared" si="4"/>
        <v>0.37015374331550788</v>
      </c>
      <c r="H14" s="64">
        <f>Dane!F14</f>
        <v>94.88</v>
      </c>
      <c r="I14" s="25">
        <f t="shared" si="1"/>
        <v>3.9033591731266148</v>
      </c>
      <c r="J14" s="25">
        <f t="shared" si="5"/>
        <v>0.19375943633618509</v>
      </c>
    </row>
    <row r="15" spans="1:10" x14ac:dyDescent="0.25">
      <c r="A15" s="33">
        <f>Dane!H15</f>
        <v>2012</v>
      </c>
      <c r="B15" s="60">
        <f>Dane!D15</f>
        <v>0.44</v>
      </c>
      <c r="C15" s="61">
        <f t="shared" si="0"/>
        <v>0.91304347826086951</v>
      </c>
      <c r="D15" s="61">
        <f t="shared" si="2"/>
        <v>0</v>
      </c>
      <c r="E15" s="63">
        <f>Dane!E15</f>
        <v>89.34</v>
      </c>
      <c r="F15" s="24">
        <f t="shared" si="3"/>
        <v>1.0786412284783622</v>
      </c>
      <c r="G15" s="24">
        <f t="shared" si="4"/>
        <v>8.9645078668130374E-2</v>
      </c>
      <c r="H15" s="64">
        <f>Dane!F15</f>
        <v>94.05</v>
      </c>
      <c r="I15" s="25">
        <f t="shared" si="1"/>
        <v>3.8604651162790691</v>
      </c>
      <c r="J15" s="25">
        <f t="shared" si="5"/>
        <v>-8.7478920741989701E-3</v>
      </c>
    </row>
    <row r="16" spans="1:10" x14ac:dyDescent="0.25">
      <c r="A16" s="33">
        <f>Dane!H16</f>
        <v>2013</v>
      </c>
      <c r="B16" s="60">
        <f>Dane!D16</f>
        <v>0.43</v>
      </c>
      <c r="C16" s="61">
        <f t="shared" si="0"/>
        <v>0.86956521739130421</v>
      </c>
      <c r="D16" s="61">
        <f t="shared" si="2"/>
        <v>-2.2727272727272749E-2</v>
      </c>
      <c r="E16" s="63">
        <f>Dane!E16</f>
        <v>79.67</v>
      </c>
      <c r="F16" s="24">
        <f t="shared" si="3"/>
        <v>0.85365286179618449</v>
      </c>
      <c r="G16" s="24">
        <f t="shared" si="4"/>
        <v>-0.10823819117976272</v>
      </c>
      <c r="H16" s="64">
        <f>Dane!F16</f>
        <v>97.98</v>
      </c>
      <c r="I16" s="25">
        <f t="shared" si="1"/>
        <v>4.0635658914728676</v>
      </c>
      <c r="J16" s="25">
        <f t="shared" si="5"/>
        <v>4.1786283891547121E-2</v>
      </c>
    </row>
    <row r="17" spans="1:10" x14ac:dyDescent="0.25">
      <c r="A17" s="33">
        <f>Dane!H17</f>
        <v>2014</v>
      </c>
      <c r="B17" s="60">
        <f>Dane!D17</f>
        <v>0.42</v>
      </c>
      <c r="C17" s="61">
        <f t="shared" si="0"/>
        <v>0.82608695652173902</v>
      </c>
      <c r="D17" s="61">
        <f t="shared" si="2"/>
        <v>-2.3255813953488393E-2</v>
      </c>
      <c r="E17" s="63">
        <f>Dane!E17</f>
        <v>68.36</v>
      </c>
      <c r="F17" s="24">
        <f t="shared" si="3"/>
        <v>0.59050721265704986</v>
      </c>
      <c r="G17" s="24">
        <f t="shared" si="4"/>
        <v>-0.1419605874231204</v>
      </c>
      <c r="H17" s="64">
        <f>Dane!F17</f>
        <v>93.17</v>
      </c>
      <c r="I17" s="25">
        <f t="shared" si="1"/>
        <v>3.8149870801033585</v>
      </c>
      <c r="J17" s="25">
        <f t="shared" si="5"/>
        <v>-4.9091651357419906E-2</v>
      </c>
    </row>
    <row r="18" spans="1:10" x14ac:dyDescent="0.25">
      <c r="A18" s="33">
        <f>Dane!H18</f>
        <v>2015</v>
      </c>
      <c r="B18" s="60">
        <f>Dane!D18</f>
        <v>0.41</v>
      </c>
      <c r="C18" s="61">
        <f t="shared" si="0"/>
        <v>0.78260869565217372</v>
      </c>
      <c r="D18" s="61">
        <f t="shared" si="2"/>
        <v>-2.3809523809523832E-2</v>
      </c>
      <c r="E18" s="63">
        <f>Dane!E18</f>
        <v>66.83</v>
      </c>
      <c r="F18" s="24">
        <f t="shared" si="3"/>
        <v>0.55490926012098662</v>
      </c>
      <c r="G18" s="24">
        <f t="shared" si="4"/>
        <v>-2.2381509654768889E-2</v>
      </c>
      <c r="H18" s="64">
        <f>Dane!F18</f>
        <v>48.66</v>
      </c>
      <c r="I18" s="25">
        <f t="shared" si="1"/>
        <v>1.5147286821705424</v>
      </c>
      <c r="J18" s="25">
        <f t="shared" si="5"/>
        <v>-0.47772888268756042</v>
      </c>
    </row>
    <row r="19" spans="1:10" x14ac:dyDescent="0.25">
      <c r="A19" s="33">
        <f>Dane!H19</f>
        <v>2016</v>
      </c>
      <c r="B19" s="60">
        <f>Dane!D19</f>
        <v>0.41</v>
      </c>
      <c r="C19" s="61">
        <f t="shared" si="0"/>
        <v>0.78260869565217372</v>
      </c>
      <c r="D19" s="61">
        <f t="shared" si="2"/>
        <v>0</v>
      </c>
      <c r="E19" s="63">
        <f>Dane!E19</f>
        <v>62.02</v>
      </c>
      <c r="F19" s="24">
        <f t="shared" si="3"/>
        <v>0.44299674267100997</v>
      </c>
      <c r="G19" s="24">
        <f t="shared" si="4"/>
        <v>-7.1973664521921221E-2</v>
      </c>
      <c r="H19" s="64">
        <f>Dane!F19</f>
        <v>43.29</v>
      </c>
      <c r="I19" s="25">
        <f t="shared" si="1"/>
        <v>1.2372093023255812</v>
      </c>
      <c r="J19" s="25">
        <f t="shared" si="5"/>
        <v>-0.11035758323057948</v>
      </c>
    </row>
    <row r="20" spans="1:10" x14ac:dyDescent="0.25">
      <c r="A20" s="33">
        <f>Dane!H20</f>
        <v>2017</v>
      </c>
      <c r="B20" s="60">
        <f>Dane!D20</f>
        <v>0.42</v>
      </c>
      <c r="C20" s="61">
        <f t="shared" si="0"/>
        <v>0.82608695652173902</v>
      </c>
      <c r="D20" s="61">
        <f t="shared" si="2"/>
        <v>2.4390243902439046E-2</v>
      </c>
      <c r="E20" s="63">
        <f>Dane!E20</f>
        <v>66.44</v>
      </c>
      <c r="F20" s="24">
        <f t="shared" si="3"/>
        <v>0.54583527221963712</v>
      </c>
      <c r="G20" s="24">
        <f t="shared" si="4"/>
        <v>7.1267333118348833E-2</v>
      </c>
      <c r="H20" s="64">
        <f>Dane!F20</f>
        <v>50.8</v>
      </c>
      <c r="I20" s="25">
        <f t="shared" si="1"/>
        <v>1.6253229974160204</v>
      </c>
      <c r="J20" s="25">
        <f t="shared" si="5"/>
        <v>0.17348117348117345</v>
      </c>
    </row>
    <row r="21" spans="1:10" x14ac:dyDescent="0.25">
      <c r="A21" s="33">
        <f>Dane!H21</f>
        <v>2018</v>
      </c>
      <c r="B21" s="60">
        <f>Dane!D21</f>
        <v>0.44</v>
      </c>
      <c r="C21" s="61">
        <f t="shared" si="0"/>
        <v>0.91304347826086951</v>
      </c>
      <c r="D21" s="61">
        <f t="shared" si="2"/>
        <v>4.7619047619047665E-2</v>
      </c>
      <c r="E21" s="63">
        <f>Dane!E21</f>
        <v>72.62</v>
      </c>
      <c r="F21" s="24">
        <f t="shared" si="3"/>
        <v>0.6896230805025596</v>
      </c>
      <c r="G21" s="24">
        <f t="shared" si="4"/>
        <v>9.3016255267911005E-2</v>
      </c>
      <c r="H21" s="64">
        <f>Dane!F21</f>
        <v>65.23</v>
      </c>
      <c r="I21" s="25">
        <f t="shared" si="1"/>
        <v>2.3710594315245479</v>
      </c>
      <c r="J21" s="25">
        <f t="shared" si="5"/>
        <v>0.28405511811023637</v>
      </c>
    </row>
    <row r="22" spans="1:10" x14ac:dyDescent="0.25">
      <c r="A22" s="33">
        <f>Dane!H22</f>
        <v>2019</v>
      </c>
      <c r="B22" s="60">
        <f>Dane!D22</f>
        <v>0.48</v>
      </c>
      <c r="C22" s="61">
        <f t="shared" si="0"/>
        <v>1.0869565217391304</v>
      </c>
      <c r="D22" s="61">
        <f t="shared" si="2"/>
        <v>9.090909090909087E-2</v>
      </c>
      <c r="E22" s="63">
        <f>Dane!E22</f>
        <v>72.260000000000005</v>
      </c>
      <c r="F22" s="24">
        <f t="shared" si="3"/>
        <v>0.68124709167054465</v>
      </c>
      <c r="G22" s="24">
        <f t="shared" si="4"/>
        <v>-4.9573120352519881E-3</v>
      </c>
      <c r="H22" s="64">
        <f>Dane!F22</f>
        <v>56.99</v>
      </c>
      <c r="I22" s="25">
        <f t="shared" si="1"/>
        <v>1.9452196382428939</v>
      </c>
      <c r="J22" s="25">
        <f t="shared" si="5"/>
        <v>-0.12632224436608924</v>
      </c>
    </row>
    <row r="23" spans="1:10" x14ac:dyDescent="0.25">
      <c r="A23" s="33">
        <f>Dane!H23</f>
        <v>2020</v>
      </c>
      <c r="B23" s="60">
        <f>Dane!D23</f>
        <v>0.53</v>
      </c>
      <c r="C23" s="61">
        <f t="shared" si="0"/>
        <v>1.3043478260869568</v>
      </c>
      <c r="D23" s="61">
        <f t="shared" si="2"/>
        <v>0.10416666666666677</v>
      </c>
      <c r="E23" s="63">
        <f>Dane!E23</f>
        <v>74.86</v>
      </c>
      <c r="F23" s="24">
        <f t="shared" si="3"/>
        <v>0.74174034434620761</v>
      </c>
      <c r="G23" s="24">
        <f t="shared" si="4"/>
        <v>3.5981179075560393E-2</v>
      </c>
      <c r="H23" s="64">
        <f>Dane!F23</f>
        <v>39.68</v>
      </c>
      <c r="I23" s="25">
        <f t="shared" si="1"/>
        <v>1.0506459948320412</v>
      </c>
      <c r="J23" s="25">
        <f t="shared" si="5"/>
        <v>-0.30373749780663278</v>
      </c>
    </row>
    <row r="24" spans="1:10" x14ac:dyDescent="0.25">
      <c r="A24" s="33">
        <f>Dane!H24</f>
        <v>2021</v>
      </c>
      <c r="B24" s="60">
        <f>Dane!D24</f>
        <v>0.56000000000000005</v>
      </c>
      <c r="C24" s="61">
        <f t="shared" si="0"/>
        <v>1.4347826086956523</v>
      </c>
      <c r="D24" s="61">
        <f t="shared" si="2"/>
        <v>5.660377358490571E-2</v>
      </c>
      <c r="E24" s="63">
        <f>Dane!E24</f>
        <v>96.76</v>
      </c>
      <c r="F24" s="24">
        <f t="shared" si="3"/>
        <v>1.251279664960447</v>
      </c>
      <c r="G24" s="24">
        <f t="shared" si="4"/>
        <v>0.29254608602725096</v>
      </c>
      <c r="H24" s="64">
        <f>Dane!F24</f>
        <v>68.17</v>
      </c>
      <c r="I24" s="25">
        <f t="shared" si="1"/>
        <v>2.5229974160206718</v>
      </c>
      <c r="J24" s="25">
        <f t="shared" si="5"/>
        <v>0.71799395161290325</v>
      </c>
    </row>
    <row r="26" spans="1:10" x14ac:dyDescent="0.25">
      <c r="D26" s="65"/>
      <c r="G26" s="65"/>
      <c r="J26" s="65"/>
    </row>
    <row r="27" spans="1:10" x14ac:dyDescent="0.25">
      <c r="D27" s="6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Dane</vt:lpstr>
      <vt:lpstr>Podstawowe miary</vt:lpstr>
      <vt:lpstr>Prognoza</vt:lpstr>
      <vt:lpstr>Wykresy</vt:lpstr>
      <vt:lpstr>Tempo zmian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blazej snieg</dc:creator>
  <cp:lastModifiedBy>blazej snieg</cp:lastModifiedBy>
  <dcterms:created xsi:type="dcterms:W3CDTF">2023-05-22T17:40:41Z</dcterms:created>
  <dcterms:modified xsi:type="dcterms:W3CDTF">2023-06-13T22:53:44Z</dcterms:modified>
</cp:coreProperties>
</file>