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thur\Google Drive\DUT S3\M3204 - Gestion des Systèmes d'information\"/>
    </mc:Choice>
  </mc:AlternateContent>
  <xr:revisionPtr revIDLastSave="0" documentId="13_ncr:1_{C9C4C2B2-1C75-4590-B3A8-2E4306A40276}" xr6:coauthVersionLast="44" xr6:coauthVersionMax="44" xr10:uidLastSave="{00000000-0000-0000-0000-000000000000}"/>
  <bookViews>
    <workbookView xWindow="-120" yWindow="-120" windowWidth="20730" windowHeight="11160" activeTab="8" xr2:uid="{00000000-000D-0000-FFFF-FFFF00000000}"/>
  </bookViews>
  <sheets>
    <sheet name="II-2)" sheetId="1" r:id="rId1"/>
    <sheet name="II-3)" sheetId="2" r:id="rId2"/>
    <sheet name="II-4)" sheetId="3" r:id="rId3"/>
    <sheet name="II-5)" sheetId="4" r:id="rId4"/>
    <sheet name="III-6)" sheetId="5" r:id="rId5"/>
    <sheet name="III-7)" sheetId="6" r:id="rId6"/>
    <sheet name="III-8)" sheetId="7" r:id="rId7"/>
    <sheet name="III-9)" sheetId="8" r:id="rId8"/>
    <sheet name="III-10)" sheetId="9" r:id="rId9"/>
    <sheet name="III-11)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0" l="1"/>
  <c r="C14" i="9"/>
  <c r="N10" i="10"/>
  <c r="M10" i="10"/>
  <c r="L10" i="10"/>
  <c r="K10" i="10"/>
  <c r="J10" i="10"/>
  <c r="I10" i="10"/>
  <c r="H10" i="10"/>
  <c r="H11" i="10" s="1"/>
  <c r="N9" i="10"/>
  <c r="M9" i="10"/>
  <c r="L9" i="10"/>
  <c r="K9" i="10"/>
  <c r="J9" i="10"/>
  <c r="I9" i="10"/>
  <c r="H9" i="10"/>
  <c r="B10" i="10"/>
  <c r="B9" i="10"/>
  <c r="B8" i="10"/>
  <c r="B7" i="10"/>
  <c r="B6" i="10"/>
  <c r="B5" i="10"/>
  <c r="B4" i="10"/>
  <c r="M12" i="9"/>
  <c r="J6" i="9" s="1"/>
  <c r="M11" i="9"/>
  <c r="I6" i="9" s="1"/>
  <c r="E7" i="9"/>
  <c r="F7" i="9" s="1"/>
  <c r="G7" i="9" s="1"/>
  <c r="H7" i="9" s="1"/>
  <c r="H6" i="9"/>
  <c r="G6" i="9"/>
  <c r="F6" i="9"/>
  <c r="E6" i="9"/>
  <c r="M10" i="9"/>
  <c r="M9" i="9"/>
  <c r="M8" i="9"/>
  <c r="M7" i="9"/>
  <c r="J6" i="8"/>
  <c r="H11" i="8"/>
  <c r="H7" i="8"/>
  <c r="H8" i="8"/>
  <c r="H9" i="8"/>
  <c r="H10" i="8"/>
  <c r="H6" i="8"/>
  <c r="B21" i="8"/>
  <c r="B20" i="8"/>
  <c r="B19" i="8"/>
  <c r="B18" i="8"/>
  <c r="B17" i="8"/>
  <c r="I11" i="10" l="1"/>
  <c r="J11" i="10" s="1"/>
  <c r="K11" i="10" s="1"/>
  <c r="L11" i="10" s="1"/>
  <c r="M11" i="10" s="1"/>
  <c r="N11" i="10" s="1"/>
  <c r="I7" i="9"/>
  <c r="J7" i="9" s="1"/>
  <c r="J13" i="7"/>
  <c r="J12" i="7" l="1"/>
  <c r="J10" i="7"/>
  <c r="J7" i="7"/>
  <c r="C4" i="7" l="1"/>
  <c r="H12" i="7" s="1"/>
  <c r="B17" i="7"/>
  <c r="B16" i="7"/>
  <c r="B15" i="7"/>
  <c r="H11" i="7" s="1"/>
  <c r="B14" i="7"/>
  <c r="H9" i="7" s="1"/>
  <c r="F7" i="7"/>
  <c r="F12" i="7"/>
  <c r="E13" i="6"/>
  <c r="J13" i="6"/>
  <c r="J12" i="6" s="1"/>
  <c r="J11" i="6" s="1"/>
  <c r="E12" i="6" s="1"/>
  <c r="E10" i="6"/>
  <c r="G15" i="5"/>
  <c r="G17" i="5"/>
  <c r="G16" i="5"/>
  <c r="H17" i="5"/>
  <c r="H16" i="5"/>
  <c r="H15" i="5"/>
  <c r="F10" i="7" l="1"/>
  <c r="F9" i="7"/>
  <c r="F11" i="7"/>
  <c r="F14" i="7"/>
  <c r="F8" i="7"/>
  <c r="F13" i="7" s="1"/>
  <c r="H13" i="7"/>
  <c r="H14" i="7" s="1"/>
  <c r="C8" i="5"/>
  <c r="C9" i="5" s="1"/>
  <c r="G9" i="4"/>
  <c r="E11" i="4"/>
</calcChain>
</file>

<file path=xl/sharedStrings.xml><?xml version="1.0" encoding="utf-8"?>
<sst xmlns="http://schemas.openxmlformats.org/spreadsheetml/2006/main" count="166" uniqueCount="92">
  <si>
    <t>2 : capitaliser un placement en périodes entières</t>
  </si>
  <si>
    <t>V</t>
  </si>
  <si>
    <t>n</t>
  </si>
  <si>
    <t>i</t>
  </si>
  <si>
    <t>Formule</t>
  </si>
  <si>
    <t>Vn = (V((1+i)^n-1))/i</t>
  </si>
  <si>
    <t>Resultat</t>
  </si>
  <si>
    <t>0.02</t>
  </si>
  <si>
    <t>3 : capitaliser un placement</t>
  </si>
  <si>
    <t>Vo</t>
  </si>
  <si>
    <t>Vn = Vo(1+i)^n</t>
  </si>
  <si>
    <t xml:space="preserve">4. Capitaliser des versements constants </t>
  </si>
  <si>
    <t>1+i</t>
  </si>
  <si>
    <t xml:space="preserve">5. Comparer des placements </t>
  </si>
  <si>
    <t>Comptant</t>
  </si>
  <si>
    <t>Dans 5 ans</t>
  </si>
  <si>
    <t>5 annuités</t>
  </si>
  <si>
    <t>Vn</t>
  </si>
  <si>
    <t>Vo = V(1-(1+i)^n)/i</t>
  </si>
  <si>
    <t>Vo = Vn(1+i)^n</t>
  </si>
  <si>
    <t>L'offre des 5 annuités est plus intéréssante</t>
  </si>
  <si>
    <t>Investissement</t>
  </si>
  <si>
    <t>Marge brute</t>
  </si>
  <si>
    <t>Année 1</t>
  </si>
  <si>
    <t>Année 2</t>
  </si>
  <si>
    <t>Année 3</t>
  </si>
  <si>
    <t>VAN</t>
  </si>
  <si>
    <t>Indice de profitabilité</t>
  </si>
  <si>
    <t xml:space="preserve">Formule </t>
  </si>
  <si>
    <t>N</t>
  </si>
  <si>
    <r>
      <t xml:space="preserve">VAN = </t>
    </r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CF(1+i)^-n-I</t>
    </r>
  </si>
  <si>
    <t>(1+i)^-n</t>
  </si>
  <si>
    <t>Coût des travaux</t>
  </si>
  <si>
    <t>CF</t>
  </si>
  <si>
    <t>Fonds de roulement nécéssaires</t>
  </si>
  <si>
    <t>Flux de trésorerie</t>
  </si>
  <si>
    <t>Investsissement de départ</t>
  </si>
  <si>
    <t>CF annuel</t>
  </si>
  <si>
    <t>(1-(1+i)^-n)/i</t>
  </si>
  <si>
    <t>Somme des CF sur 9 ans</t>
  </si>
  <si>
    <t>Conlusion :</t>
  </si>
  <si>
    <t>LA VAN et l'indice de profitabilité sont positifs, par conséquent le projet sera rentable mais peu, compte tenu des chiffres</t>
  </si>
  <si>
    <t>Prix d'acquisition</t>
  </si>
  <si>
    <t>1ere solution</t>
  </si>
  <si>
    <t>2e solution</t>
  </si>
  <si>
    <t>3e solution</t>
  </si>
  <si>
    <t>Durée de vie</t>
  </si>
  <si>
    <t>Location/an</t>
  </si>
  <si>
    <t>Location année 1</t>
  </si>
  <si>
    <t>Location année 2</t>
  </si>
  <si>
    <t>Location année 3</t>
  </si>
  <si>
    <t>Actualisé à T0</t>
  </si>
  <si>
    <t>année</t>
  </si>
  <si>
    <t>Actualisation</t>
  </si>
  <si>
    <t>Location année 2 à T0</t>
  </si>
  <si>
    <t>Location année 3 à T0</t>
  </si>
  <si>
    <t>Location année 4 à T0</t>
  </si>
  <si>
    <t>Prix HT</t>
  </si>
  <si>
    <t>On n'actualise pas la 1ere année de location  ni la garantie car ils seront payés au début du contrat</t>
  </si>
  <si>
    <t>Achat année 4</t>
  </si>
  <si>
    <t>Coût total</t>
  </si>
  <si>
    <t>Garantie à T0</t>
  </si>
  <si>
    <t>Coût total sans garantie</t>
  </si>
  <si>
    <t>Apport perso</t>
  </si>
  <si>
    <t>Financement année 1</t>
  </si>
  <si>
    <t>Financement année 2</t>
  </si>
  <si>
    <t>Année 2 à T0</t>
  </si>
  <si>
    <t>Financement année 3</t>
  </si>
  <si>
    <t>Année 3 à T0</t>
  </si>
  <si>
    <t>De plus, l'année 2 est actualisée à n=-1 et ainsi de suite</t>
  </si>
  <si>
    <t>Synthèse</t>
  </si>
  <si>
    <t>La 2e solution est la plus avantageuse pour le client car il s'agit de celle qui lui coûtera le moins cher</t>
  </si>
  <si>
    <t>Année 4</t>
  </si>
  <si>
    <t>Année 5</t>
  </si>
  <si>
    <t>Cashflow</t>
  </si>
  <si>
    <t>Investissement départ</t>
  </si>
  <si>
    <t>Total</t>
  </si>
  <si>
    <t>Taux de profitabilité</t>
  </si>
  <si>
    <t>Rapport</t>
  </si>
  <si>
    <t>Le projet serait rentable, en effet l'indice de profitabilité est positif. L'opportunité peut être saisie</t>
  </si>
  <si>
    <t>Année</t>
  </si>
  <si>
    <t>Invest</t>
  </si>
  <si>
    <t>Année 6</t>
  </si>
  <si>
    <t>Flux nets (CF)</t>
  </si>
  <si>
    <t>Flux nets actualisés</t>
  </si>
  <si>
    <t>Flux nets cumulés</t>
  </si>
  <si>
    <t>Conclusion</t>
  </si>
  <si>
    <t>Délai de récupération de la somme investie</t>
  </si>
  <si>
    <t>L'indice de profitabilité est très élevé, le projet devrait donc être mené</t>
  </si>
  <si>
    <t>Cashflow constant</t>
  </si>
  <si>
    <t>Ce projet n'est pas rentable, le gain étant vraiment trop faible</t>
  </si>
  <si>
    <r>
      <t>360/</t>
    </r>
    <r>
      <rPr>
        <sz val="11"/>
        <color rgb="FFFF0000"/>
        <rFont val="Calibri"/>
        <family val="2"/>
        <scheme val="minor"/>
      </rPr>
      <t>Premier cumul positif</t>
    </r>
    <r>
      <rPr>
        <sz val="11"/>
        <color theme="1"/>
        <rFont val="Calibri"/>
        <family val="2"/>
        <scheme val="minor"/>
      </rPr>
      <t>*</t>
    </r>
    <r>
      <rPr>
        <sz val="11"/>
        <color theme="5"/>
        <rFont val="Calibri"/>
        <family val="2"/>
        <scheme val="minor"/>
      </rPr>
      <t>Dernier cumul negatif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</si>
</sst>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Border="1" applyAlignment="1"/>
    <xf numFmtId="4" fontId="0" fillId="0" borderId="0" xfId="0" applyNumberFormat="1" applyBorder="1" applyAlignment="1"/>
    <xf numFmtId="44" fontId="2" fillId="0" borderId="1" xfId="1" applyFont="1" applyBorder="1" applyAlignment="1"/>
    <xf numFmtId="44" fontId="0" fillId="0" borderId="2" xfId="1" applyFont="1" applyBorder="1" applyAlignment="1"/>
    <xf numFmtId="3" fontId="0" fillId="0" borderId="1" xfId="0" applyNumberFormat="1" applyBorder="1"/>
    <xf numFmtId="0" fontId="0" fillId="0" borderId="1" xfId="0" applyBorder="1" applyAlignment="1">
      <alignment horizontal="right"/>
    </xf>
    <xf numFmtId="0" fontId="0" fillId="2" borderId="0" xfId="0" applyFill="1"/>
    <xf numFmtId="4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/>
    <xf numFmtId="164" fontId="0" fillId="0" borderId="1" xfId="0" applyNumberFormat="1" applyBorder="1"/>
    <xf numFmtId="2" fontId="0" fillId="0" borderId="1" xfId="0" applyNumberFormat="1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5" xfId="0" applyFill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44" fontId="0" fillId="0" borderId="2" xfId="1" applyFont="1" applyBorder="1"/>
    <xf numFmtId="44" fontId="0" fillId="0" borderId="11" xfId="1" applyFont="1" applyBorder="1"/>
    <xf numFmtId="44" fontId="0" fillId="0" borderId="15" xfId="1" applyFont="1" applyBorder="1"/>
    <xf numFmtId="0" fontId="2" fillId="0" borderId="0" xfId="0" applyFont="1"/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44" fontId="0" fillId="0" borderId="1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4" fontId="6" fillId="0" borderId="11" xfId="1" applyFont="1" applyBorder="1"/>
    <xf numFmtId="44" fontId="7" fillId="0" borderId="2" xfId="1" applyFont="1" applyBorder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9"/>
  <sheetViews>
    <sheetView workbookViewId="0">
      <selection activeCell="B17" sqref="B17"/>
    </sheetView>
  </sheetViews>
  <sheetFormatPr baseColWidth="10" defaultColWidth="9.140625" defaultRowHeight="15" x14ac:dyDescent="0.25"/>
  <cols>
    <col min="2" max="2" width="12.5703125" bestFit="1" customWidth="1"/>
    <col min="8" max="8" width="9.28515625" customWidth="1"/>
    <col min="9" max="9" width="9.5703125" bestFit="1" customWidth="1"/>
  </cols>
  <sheetData>
    <row r="4" spans="2:6" x14ac:dyDescent="0.25">
      <c r="B4" s="52" t="s">
        <v>0</v>
      </c>
      <c r="C4" s="52"/>
      <c r="D4" s="52"/>
      <c r="E4" s="52"/>
      <c r="F4" s="52"/>
    </row>
    <row r="5" spans="2:6" x14ac:dyDescent="0.25">
      <c r="B5" s="2" t="s">
        <v>1</v>
      </c>
      <c r="C5" s="51">
        <v>5000</v>
      </c>
      <c r="D5" s="51"/>
      <c r="E5" s="51"/>
      <c r="F5" s="51"/>
    </row>
    <row r="6" spans="2:6" x14ac:dyDescent="0.25">
      <c r="B6" s="2" t="s">
        <v>2</v>
      </c>
      <c r="C6" s="51">
        <v>4</v>
      </c>
      <c r="D6" s="51"/>
      <c r="E6" s="51"/>
      <c r="F6" s="51"/>
    </row>
    <row r="7" spans="2:6" x14ac:dyDescent="0.25">
      <c r="B7" s="2" t="s">
        <v>3</v>
      </c>
      <c r="C7" s="51" t="s">
        <v>7</v>
      </c>
      <c r="D7" s="51"/>
      <c r="E7" s="51"/>
      <c r="F7" s="51"/>
    </row>
    <row r="8" spans="2:6" x14ac:dyDescent="0.25">
      <c r="B8" s="2" t="s">
        <v>4</v>
      </c>
      <c r="C8" s="51" t="s">
        <v>5</v>
      </c>
      <c r="D8" s="51"/>
      <c r="E8" s="51"/>
      <c r="F8" s="51"/>
    </row>
    <row r="9" spans="2:6" x14ac:dyDescent="0.25">
      <c r="B9" s="3" t="s">
        <v>6</v>
      </c>
      <c r="C9" s="50">
        <v>20608.04</v>
      </c>
      <c r="D9" s="51"/>
      <c r="E9" s="51"/>
      <c r="F9" s="51"/>
    </row>
  </sheetData>
  <mergeCells count="6">
    <mergeCell ref="C9:F9"/>
    <mergeCell ref="B4:F4"/>
    <mergeCell ref="C8:F8"/>
    <mergeCell ref="C7:F7"/>
    <mergeCell ref="C6:F6"/>
    <mergeCell ref="C5:F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F9D13-7B60-489A-9219-657F7A4FB060}">
  <dimension ref="B3:O21"/>
  <sheetViews>
    <sheetView topLeftCell="G1" workbookViewId="0">
      <selection activeCell="P15" sqref="P15:P16"/>
    </sheetView>
  </sheetViews>
  <sheetFormatPr baseColWidth="10" defaultRowHeight="15" x14ac:dyDescent="0.25"/>
  <cols>
    <col min="6" max="6" width="19.140625" bestFit="1" customWidth="1"/>
    <col min="7" max="8" width="12.85546875" bestFit="1" customWidth="1"/>
    <col min="9" max="10" width="11.85546875" bestFit="1" customWidth="1"/>
    <col min="11" max="11" width="14.85546875" customWidth="1"/>
    <col min="12" max="12" width="11.85546875" bestFit="1" customWidth="1"/>
    <col min="13" max="13" width="12.85546875" bestFit="1" customWidth="1"/>
    <col min="14" max="14" width="14.42578125" customWidth="1"/>
    <col min="16" max="16" width="12.7109375" bestFit="1" customWidth="1"/>
  </cols>
  <sheetData>
    <row r="3" spans="2:15" x14ac:dyDescent="0.25">
      <c r="B3" s="39" t="s">
        <v>53</v>
      </c>
      <c r="C3" s="39" t="s">
        <v>52</v>
      </c>
      <c r="E3" s="51" t="s">
        <v>89</v>
      </c>
      <c r="F3" s="51"/>
    </row>
    <row r="4" spans="2:15" x14ac:dyDescent="0.25">
      <c r="B4" s="39">
        <f>POWER(1.04,-1)</f>
        <v>0.96153846153846145</v>
      </c>
      <c r="C4" s="39">
        <v>1</v>
      </c>
      <c r="E4" s="83">
        <v>20000</v>
      </c>
      <c r="F4" s="83"/>
    </row>
    <row r="5" spans="2:15" x14ac:dyDescent="0.25">
      <c r="B5" s="39">
        <f>POWER(1.04,-2)</f>
        <v>0.92455621301775137</v>
      </c>
      <c r="C5" s="39">
        <v>2</v>
      </c>
    </row>
    <row r="6" spans="2:15" x14ac:dyDescent="0.25">
      <c r="B6" s="39">
        <f>POWER(1.04,-3)</f>
        <v>0.88899635867091487</v>
      </c>
      <c r="C6" s="39">
        <v>3</v>
      </c>
    </row>
    <row r="7" spans="2:15" x14ac:dyDescent="0.25">
      <c r="B7" s="39">
        <f>POWER(1.04,-4)</f>
        <v>0.85480419102972571</v>
      </c>
      <c r="C7" s="39">
        <v>4</v>
      </c>
    </row>
    <row r="8" spans="2:15" x14ac:dyDescent="0.25">
      <c r="B8" s="39">
        <f>POWER(1.04,-5)</f>
        <v>0.82192710675935154</v>
      </c>
      <c r="C8" s="35">
        <v>5</v>
      </c>
      <c r="F8" s="1" t="s">
        <v>80</v>
      </c>
      <c r="G8" s="1" t="s">
        <v>81</v>
      </c>
      <c r="H8" s="1" t="s">
        <v>23</v>
      </c>
      <c r="I8" s="1" t="s">
        <v>24</v>
      </c>
      <c r="J8" s="1" t="s">
        <v>25</v>
      </c>
      <c r="K8" s="1" t="s">
        <v>72</v>
      </c>
      <c r="L8" s="1" t="s">
        <v>73</v>
      </c>
      <c r="M8" s="1" t="s">
        <v>82</v>
      </c>
      <c r="N8" s="1" t="s">
        <v>82</v>
      </c>
    </row>
    <row r="9" spans="2:15" x14ac:dyDescent="0.25">
      <c r="B9" s="39">
        <f>POWER(1.04,-6)</f>
        <v>0.79031452573014571</v>
      </c>
      <c r="C9" s="35">
        <v>6</v>
      </c>
      <c r="F9" s="1" t="s">
        <v>83</v>
      </c>
      <c r="G9" s="40">
        <v>120000</v>
      </c>
      <c r="H9" s="10">
        <f>E4</f>
        <v>20000</v>
      </c>
      <c r="I9" s="10">
        <f>E4</f>
        <v>20000</v>
      </c>
      <c r="J9" s="10">
        <f>E4</f>
        <v>20000</v>
      </c>
      <c r="K9" s="10">
        <f>E4</f>
        <v>20000</v>
      </c>
      <c r="L9" s="10">
        <f>E4</f>
        <v>20000</v>
      </c>
      <c r="M9" s="10">
        <f>E4</f>
        <v>20000</v>
      </c>
      <c r="N9" s="10">
        <f>E4</f>
        <v>20000</v>
      </c>
    </row>
    <row r="10" spans="2:15" ht="15.75" thickBot="1" x14ac:dyDescent="0.3">
      <c r="B10" s="39">
        <f>POWER(1.04,-7)</f>
        <v>0.75991781320206331</v>
      </c>
      <c r="C10" s="35">
        <v>7</v>
      </c>
      <c r="F10" s="1" t="s">
        <v>84</v>
      </c>
      <c r="G10" s="40">
        <v>0</v>
      </c>
      <c r="H10" s="40">
        <f>H9*B4</f>
        <v>19230.76923076923</v>
      </c>
      <c r="I10" s="40">
        <f>I9*B5</f>
        <v>18491.124260355027</v>
      </c>
      <c r="J10" s="40">
        <f>J9*B6</f>
        <v>17779.927173418298</v>
      </c>
      <c r="K10" s="40">
        <f>K9*B7</f>
        <v>17096.083820594515</v>
      </c>
      <c r="L10" s="40">
        <f>L9*B8</f>
        <v>16438.542135187032</v>
      </c>
      <c r="M10" s="40">
        <f>M9*B9</f>
        <v>15806.290514602913</v>
      </c>
      <c r="N10" s="90">
        <f>N9*B10</f>
        <v>15198.356264041266</v>
      </c>
    </row>
    <row r="11" spans="2:15" ht="15.75" thickBot="1" x14ac:dyDescent="0.3">
      <c r="F11" s="1" t="s">
        <v>85</v>
      </c>
      <c r="G11" s="40">
        <v>-120000</v>
      </c>
      <c r="H11" s="40">
        <f>G11+H10</f>
        <v>-100769.23076923077</v>
      </c>
      <c r="I11" s="40">
        <f t="shared" ref="I11:N11" si="0">H11+I10</f>
        <v>-82278.106508875731</v>
      </c>
      <c r="J11" s="40">
        <f t="shared" si="0"/>
        <v>-64498.179335457433</v>
      </c>
      <c r="K11" s="40">
        <f t="shared" si="0"/>
        <v>-47402.095514862915</v>
      </c>
      <c r="L11" s="40">
        <f t="shared" si="0"/>
        <v>-30963.553379675883</v>
      </c>
      <c r="M11" s="91">
        <f t="shared" si="0"/>
        <v>-15157.262865072969</v>
      </c>
      <c r="N11" s="48">
        <f t="shared" si="0"/>
        <v>41.093398968296242</v>
      </c>
      <c r="O11" s="49" t="s">
        <v>26</v>
      </c>
    </row>
    <row r="14" spans="2:15" ht="15.75" thickBot="1" x14ac:dyDescent="0.3">
      <c r="F14" s="44"/>
    </row>
    <row r="15" spans="2:15" x14ac:dyDescent="0.25">
      <c r="F15" s="45"/>
      <c r="K15" s="87" t="s">
        <v>87</v>
      </c>
      <c r="L15" s="88"/>
      <c r="M15" s="88"/>
      <c r="N15" s="89"/>
    </row>
    <row r="16" spans="2:15" ht="15.75" thickBot="1" x14ac:dyDescent="0.3">
      <c r="K16" s="84" t="s">
        <v>91</v>
      </c>
      <c r="L16" s="85"/>
      <c r="M16" s="85"/>
      <c r="N16" s="86"/>
    </row>
    <row r="17" spans="6:10" ht="15.75" thickBot="1" x14ac:dyDescent="0.3"/>
    <row r="18" spans="6:10" ht="15.75" thickBot="1" x14ac:dyDescent="0.3">
      <c r="F18" s="32" t="s">
        <v>77</v>
      </c>
      <c r="H18" s="41" t="s">
        <v>86</v>
      </c>
    </row>
    <row r="19" spans="6:10" x14ac:dyDescent="0.25">
      <c r="F19" s="1">
        <f>N11/E4</f>
        <v>2.0546699484148122E-3</v>
      </c>
      <c r="H19" s="60" t="s">
        <v>90</v>
      </c>
      <c r="I19" s="61"/>
      <c r="J19" s="62"/>
    </row>
    <row r="20" spans="6:10" x14ac:dyDescent="0.25">
      <c r="H20" s="63"/>
      <c r="I20" s="64"/>
      <c r="J20" s="65"/>
    </row>
    <row r="21" spans="6:10" ht="15.75" thickBot="1" x14ac:dyDescent="0.3">
      <c r="H21" s="66"/>
      <c r="I21" s="67"/>
      <c r="J21" s="68"/>
    </row>
  </sheetData>
  <mergeCells count="5">
    <mergeCell ref="E3:F3"/>
    <mergeCell ref="E4:F4"/>
    <mergeCell ref="H19:J21"/>
    <mergeCell ref="K16:N16"/>
    <mergeCell ref="K15:N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B9AD-84EA-4D69-9150-C31BF7C0BDB6}">
  <dimension ref="B6:F11"/>
  <sheetViews>
    <sheetView workbookViewId="0">
      <selection activeCell="C11" sqref="C11:F11"/>
    </sheetView>
  </sheetViews>
  <sheetFormatPr baseColWidth="10" defaultRowHeight="15" x14ac:dyDescent="0.25"/>
  <sheetData>
    <row r="6" spans="2:6" x14ac:dyDescent="0.25">
      <c r="B6" s="52" t="s">
        <v>8</v>
      </c>
      <c r="C6" s="52"/>
      <c r="D6" s="52"/>
      <c r="E6" s="52"/>
      <c r="F6" s="52"/>
    </row>
    <row r="7" spans="2:6" x14ac:dyDescent="0.25">
      <c r="B7" s="2" t="s">
        <v>9</v>
      </c>
      <c r="C7" s="51">
        <v>1000</v>
      </c>
      <c r="D7" s="51"/>
      <c r="E7" s="51"/>
      <c r="F7" s="51"/>
    </row>
    <row r="8" spans="2:6" x14ac:dyDescent="0.25">
      <c r="B8" s="2" t="s">
        <v>2</v>
      </c>
      <c r="C8" s="51">
        <v>7.75</v>
      </c>
      <c r="D8" s="51"/>
      <c r="E8" s="51"/>
      <c r="F8" s="51"/>
    </row>
    <row r="9" spans="2:6" x14ac:dyDescent="0.25">
      <c r="B9" s="2" t="s">
        <v>3</v>
      </c>
      <c r="C9" s="51">
        <v>0.04</v>
      </c>
      <c r="D9" s="51"/>
      <c r="E9" s="51"/>
      <c r="F9" s="51"/>
    </row>
    <row r="10" spans="2:6" x14ac:dyDescent="0.25">
      <c r="B10" s="2" t="s">
        <v>4</v>
      </c>
      <c r="C10" s="51" t="s">
        <v>10</v>
      </c>
      <c r="D10" s="51"/>
      <c r="E10" s="51"/>
      <c r="F10" s="51"/>
    </row>
    <row r="11" spans="2:6" x14ac:dyDescent="0.25">
      <c r="B11" s="3" t="s">
        <v>6</v>
      </c>
      <c r="C11" s="51">
        <v>1355.2155605259234</v>
      </c>
      <c r="D11" s="51"/>
      <c r="E11" s="51"/>
      <c r="F11" s="51"/>
    </row>
  </sheetData>
  <mergeCells count="6">
    <mergeCell ref="C11:F11"/>
    <mergeCell ref="C10:F10"/>
    <mergeCell ref="B6:F6"/>
    <mergeCell ref="C7:F7"/>
    <mergeCell ref="C8:F8"/>
    <mergeCell ref="C9:F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59F6-ED8C-4186-BCBF-1241E7A2088C}">
  <dimension ref="B8:F13"/>
  <sheetViews>
    <sheetView workbookViewId="0">
      <selection activeCell="D23" sqref="D23"/>
    </sheetView>
  </sheetViews>
  <sheetFormatPr baseColWidth="10" defaultRowHeight="15" x14ac:dyDescent="0.25"/>
  <sheetData>
    <row r="8" spans="2:6" x14ac:dyDescent="0.25">
      <c r="B8" s="52" t="s">
        <v>11</v>
      </c>
      <c r="C8" s="52"/>
      <c r="D8" s="52"/>
      <c r="E8" s="52"/>
      <c r="F8" s="52"/>
    </row>
    <row r="9" spans="2:6" x14ac:dyDescent="0.25">
      <c r="B9" s="2" t="s">
        <v>1</v>
      </c>
      <c r="C9" s="51">
        <v>1200</v>
      </c>
      <c r="D9" s="51"/>
      <c r="E9" s="51"/>
      <c r="F9" s="51"/>
    </row>
    <row r="10" spans="2:6" x14ac:dyDescent="0.25">
      <c r="B10" s="2" t="s">
        <v>2</v>
      </c>
      <c r="C10" s="51">
        <v>48</v>
      </c>
      <c r="D10" s="51"/>
      <c r="E10" s="51"/>
      <c r="F10" s="51"/>
    </row>
    <row r="11" spans="2:6" x14ac:dyDescent="0.25">
      <c r="B11" s="2" t="s">
        <v>12</v>
      </c>
      <c r="C11" s="51">
        <v>1.0049166700000001</v>
      </c>
      <c r="D11" s="51"/>
      <c r="E11" s="51"/>
      <c r="F11" s="51"/>
    </row>
    <row r="12" spans="2:6" x14ac:dyDescent="0.25">
      <c r="B12" s="2" t="s">
        <v>4</v>
      </c>
      <c r="C12" s="51" t="s">
        <v>5</v>
      </c>
      <c r="D12" s="51"/>
      <c r="E12" s="51"/>
      <c r="F12" s="51"/>
    </row>
    <row r="13" spans="2:6" x14ac:dyDescent="0.25">
      <c r="B13" s="3" t="s">
        <v>6</v>
      </c>
      <c r="C13" s="50">
        <v>64785.760000000002</v>
      </c>
      <c r="D13" s="51"/>
      <c r="E13" s="51"/>
      <c r="F13" s="51"/>
    </row>
  </sheetData>
  <mergeCells count="6">
    <mergeCell ref="C13:F13"/>
    <mergeCell ref="B8:F8"/>
    <mergeCell ref="C9:F9"/>
    <mergeCell ref="C10:F10"/>
    <mergeCell ref="C11:F11"/>
    <mergeCell ref="C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53AA5-8B42-4CF8-9E95-451BB3E9DFFA}">
  <dimension ref="B5:G22"/>
  <sheetViews>
    <sheetView topLeftCell="A4" workbookViewId="0">
      <selection activeCell="G20" sqref="G20"/>
    </sheetView>
  </sheetViews>
  <sheetFormatPr baseColWidth="10" defaultRowHeight="15" x14ac:dyDescent="0.25"/>
  <cols>
    <col min="2" max="2" width="9.7109375" bestFit="1" customWidth="1"/>
    <col min="3" max="3" width="12.85546875" bestFit="1" customWidth="1"/>
    <col min="5" max="5" width="14.5703125" bestFit="1" customWidth="1"/>
    <col min="7" max="7" width="18.140625" bestFit="1" customWidth="1"/>
  </cols>
  <sheetData>
    <row r="5" spans="2:7" x14ac:dyDescent="0.25">
      <c r="B5" s="52" t="s">
        <v>13</v>
      </c>
      <c r="C5" s="52"/>
      <c r="D5" s="52"/>
      <c r="E5" s="52"/>
      <c r="F5" s="52"/>
      <c r="G5" s="52"/>
    </row>
    <row r="6" spans="2:7" x14ac:dyDescent="0.25">
      <c r="B6" s="53" t="s">
        <v>14</v>
      </c>
      <c r="C6" s="54"/>
      <c r="D6" s="53" t="s">
        <v>15</v>
      </c>
      <c r="E6" s="53"/>
      <c r="F6" s="53" t="s">
        <v>16</v>
      </c>
      <c r="G6" s="53"/>
    </row>
    <row r="7" spans="2:7" x14ac:dyDescent="0.25">
      <c r="B7" s="8" t="s">
        <v>6</v>
      </c>
      <c r="C7" s="9">
        <v>675000</v>
      </c>
      <c r="D7" s="2" t="s">
        <v>17</v>
      </c>
      <c r="E7" s="10">
        <v>825000</v>
      </c>
      <c r="F7" s="2" t="s">
        <v>1</v>
      </c>
      <c r="G7" s="10">
        <v>160000</v>
      </c>
    </row>
    <row r="8" spans="2:7" x14ac:dyDescent="0.25">
      <c r="B8" s="12"/>
      <c r="C8" s="12"/>
      <c r="D8" s="2" t="s">
        <v>2</v>
      </c>
      <c r="E8" s="1">
        <v>-5</v>
      </c>
      <c r="F8" s="2" t="s">
        <v>2</v>
      </c>
      <c r="G8" s="1">
        <v>-5</v>
      </c>
    </row>
    <row r="9" spans="2:7" x14ac:dyDescent="0.25">
      <c r="B9" s="12"/>
      <c r="C9" s="12"/>
      <c r="D9" s="2" t="s">
        <v>12</v>
      </c>
      <c r="E9" s="1">
        <v>1.04</v>
      </c>
      <c r="F9" s="2" t="s">
        <v>12</v>
      </c>
      <c r="G9" s="11">
        <f>1+0.04</f>
        <v>1.04</v>
      </c>
    </row>
    <row r="10" spans="2:7" x14ac:dyDescent="0.25">
      <c r="B10" s="12"/>
      <c r="C10" s="12"/>
      <c r="D10" s="2" t="s">
        <v>4</v>
      </c>
      <c r="E10" s="1" t="s">
        <v>19</v>
      </c>
      <c r="F10" s="2" t="s">
        <v>4</v>
      </c>
      <c r="G10" s="1" t="s">
        <v>18</v>
      </c>
    </row>
    <row r="11" spans="2:7" x14ac:dyDescent="0.25">
      <c r="B11" s="12"/>
      <c r="C11" s="12"/>
      <c r="D11" s="2" t="s">
        <v>6</v>
      </c>
      <c r="E11" s="13">
        <f>E7*0.82192711</f>
        <v>678089.86575</v>
      </c>
      <c r="F11" s="2" t="s">
        <v>6</v>
      </c>
      <c r="G11" s="13">
        <v>712291.57299999997</v>
      </c>
    </row>
    <row r="13" spans="2:7" x14ac:dyDescent="0.25">
      <c r="E13" s="55" t="s">
        <v>20</v>
      </c>
      <c r="F13" s="55"/>
      <c r="G13" s="55"/>
    </row>
    <row r="17" spans="3:7" x14ac:dyDescent="0.25">
      <c r="C17" s="4"/>
      <c r="D17" s="6"/>
      <c r="E17" s="6"/>
      <c r="F17" s="6"/>
      <c r="G17" s="6"/>
    </row>
    <row r="18" spans="3:7" x14ac:dyDescent="0.25">
      <c r="C18" s="4"/>
      <c r="D18" s="6"/>
      <c r="E18" s="6"/>
      <c r="F18" s="6"/>
      <c r="G18" s="6"/>
    </row>
    <row r="19" spans="3:7" x14ac:dyDescent="0.25">
      <c r="C19" s="4"/>
      <c r="D19" s="6"/>
      <c r="E19" s="6"/>
      <c r="F19" s="6"/>
      <c r="G19" s="6"/>
    </row>
    <row r="20" spans="3:7" x14ac:dyDescent="0.25">
      <c r="C20" s="4"/>
      <c r="D20" s="6"/>
      <c r="E20" s="6"/>
      <c r="F20" s="6"/>
      <c r="G20" s="6"/>
    </row>
    <row r="21" spans="3:7" x14ac:dyDescent="0.25">
      <c r="C21" s="4"/>
      <c r="D21" s="6"/>
      <c r="E21" s="6"/>
      <c r="F21" s="6"/>
      <c r="G21" s="6"/>
    </row>
    <row r="22" spans="3:7" x14ac:dyDescent="0.25">
      <c r="C22" s="5"/>
      <c r="D22" s="7"/>
      <c r="E22" s="6"/>
      <c r="F22" s="6"/>
      <c r="G22" s="6"/>
    </row>
  </sheetData>
  <mergeCells count="5">
    <mergeCell ref="B6:C6"/>
    <mergeCell ref="D6:E6"/>
    <mergeCell ref="B5:G5"/>
    <mergeCell ref="F6:G6"/>
    <mergeCell ref="E13:G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31A4-B5A9-4151-B61F-42580D101A17}">
  <dimension ref="B3:J17"/>
  <sheetViews>
    <sheetView workbookViewId="0">
      <selection activeCell="G14" sqref="G14"/>
    </sheetView>
  </sheetViews>
  <sheetFormatPr baseColWidth="10" defaultRowHeight="15" x14ac:dyDescent="0.25"/>
  <cols>
    <col min="2" max="2" width="20.42578125" bestFit="1" customWidth="1"/>
    <col min="3" max="3" width="15" customWidth="1"/>
    <col min="4" max="4" width="15.28515625" customWidth="1"/>
    <col min="5" max="5" width="12.85546875" bestFit="1" customWidth="1"/>
    <col min="7" max="7" width="17.140625" customWidth="1"/>
    <col min="8" max="8" width="11.140625" customWidth="1"/>
    <col min="10" max="10" width="12.140625" bestFit="1" customWidth="1"/>
  </cols>
  <sheetData>
    <row r="3" spans="2:10" x14ac:dyDescent="0.25">
      <c r="B3" s="1" t="s">
        <v>21</v>
      </c>
      <c r="C3" s="19">
        <v>600000</v>
      </c>
    </row>
    <row r="4" spans="2:10" x14ac:dyDescent="0.25">
      <c r="B4" s="1" t="s">
        <v>22</v>
      </c>
      <c r="C4" s="1"/>
      <c r="D4" s="17"/>
    </row>
    <row r="5" spans="2:10" x14ac:dyDescent="0.25">
      <c r="B5" s="1" t="s">
        <v>23</v>
      </c>
      <c r="C5" s="19">
        <v>250000</v>
      </c>
      <c r="D5" s="16"/>
      <c r="E5" s="18"/>
    </row>
    <row r="6" spans="2:10" ht="15.75" thickBot="1" x14ac:dyDescent="0.3">
      <c r="B6" s="1" t="s">
        <v>24</v>
      </c>
      <c r="C6" s="19">
        <v>350000</v>
      </c>
      <c r="D6" s="16"/>
      <c r="E6" s="18"/>
    </row>
    <row r="7" spans="2:10" x14ac:dyDescent="0.25">
      <c r="B7" s="1" t="s">
        <v>25</v>
      </c>
      <c r="C7" s="19">
        <v>360000</v>
      </c>
      <c r="D7" s="16"/>
      <c r="E7" s="18"/>
      <c r="G7" s="21"/>
      <c r="H7" s="22" t="s">
        <v>29</v>
      </c>
      <c r="I7" s="23"/>
      <c r="J7" s="24"/>
    </row>
    <row r="8" spans="2:10" x14ac:dyDescent="0.25">
      <c r="B8" s="1" t="s">
        <v>26</v>
      </c>
      <c r="C8" s="19">
        <f>SUM(G15:G17)-600000</f>
        <v>187002.25394440256</v>
      </c>
      <c r="G8" s="25" t="s">
        <v>28</v>
      </c>
      <c r="H8" s="56" t="s">
        <v>30</v>
      </c>
      <c r="I8" s="56"/>
      <c r="J8" s="57"/>
    </row>
    <row r="9" spans="2:10" ht="15.75" thickBot="1" x14ac:dyDescent="0.3">
      <c r="B9" s="1" t="s">
        <v>27</v>
      </c>
      <c r="C9" s="20">
        <f>C8/C3</f>
        <v>0.31167042324067096</v>
      </c>
      <c r="G9" s="26"/>
      <c r="H9" s="27" t="s">
        <v>3</v>
      </c>
      <c r="I9" s="28"/>
      <c r="J9" s="29"/>
    </row>
    <row r="14" spans="2:10" x14ac:dyDescent="0.25">
      <c r="F14" s="34"/>
      <c r="G14" s="14" t="s">
        <v>33</v>
      </c>
      <c r="H14" s="14" t="s">
        <v>31</v>
      </c>
    </row>
    <row r="15" spans="2:10" x14ac:dyDescent="0.25">
      <c r="F15" s="1" t="s">
        <v>23</v>
      </c>
      <c r="G15" s="19">
        <f>C5*H15</f>
        <v>227272.72727272726</v>
      </c>
      <c r="H15" s="1">
        <f>POWER(1.1,-1)</f>
        <v>0.90909090909090906</v>
      </c>
    </row>
    <row r="16" spans="2:10" x14ac:dyDescent="0.25">
      <c r="F16" s="1" t="s">
        <v>24</v>
      </c>
      <c r="G16" s="19">
        <f>C6*H16</f>
        <v>289256.19834710739</v>
      </c>
      <c r="H16" s="1">
        <f>POWER(1.1,-2)</f>
        <v>0.82644628099173545</v>
      </c>
    </row>
    <row r="17" spans="6:8" x14ac:dyDescent="0.25">
      <c r="F17" s="1" t="s">
        <v>25</v>
      </c>
      <c r="G17" s="19">
        <f>C7*H17</f>
        <v>270473.32832456793</v>
      </c>
      <c r="H17" s="1">
        <f>POWER(1.1,-3)</f>
        <v>0.75131480090157754</v>
      </c>
    </row>
  </sheetData>
  <mergeCells count="1">
    <mergeCell ref="H8:J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D389-CDF2-43FB-B45A-79B4B4786F4B}">
  <dimension ref="B3:L16"/>
  <sheetViews>
    <sheetView workbookViewId="0">
      <selection activeCell="G12" sqref="G12"/>
    </sheetView>
  </sheetViews>
  <sheetFormatPr baseColWidth="10" defaultRowHeight="15" x14ac:dyDescent="0.25"/>
  <cols>
    <col min="5" max="5" width="12.7109375" customWidth="1"/>
    <col min="9" max="9" width="21.7109375" bestFit="1" customWidth="1"/>
    <col min="11" max="11" width="13.28515625" customWidth="1"/>
  </cols>
  <sheetData>
    <row r="3" spans="2:12" x14ac:dyDescent="0.25">
      <c r="B3" s="51" t="s">
        <v>32</v>
      </c>
      <c r="C3" s="51"/>
      <c r="D3" s="19">
        <v>114336.76</v>
      </c>
    </row>
    <row r="4" spans="2:12" ht="33.75" customHeight="1" x14ac:dyDescent="0.25">
      <c r="B4" s="59" t="s">
        <v>34</v>
      </c>
      <c r="C4" s="59"/>
      <c r="D4" s="30">
        <v>27440.82</v>
      </c>
    </row>
    <row r="5" spans="2:12" ht="15.75" thickBot="1" x14ac:dyDescent="0.3">
      <c r="B5" s="51" t="s">
        <v>35</v>
      </c>
      <c r="C5" s="51"/>
      <c r="D5" s="31">
        <v>22867.35</v>
      </c>
    </row>
    <row r="6" spans="2:12" x14ac:dyDescent="0.25">
      <c r="I6" s="21"/>
      <c r="J6" s="22" t="s">
        <v>29</v>
      </c>
      <c r="K6" s="23"/>
      <c r="L6" s="24"/>
    </row>
    <row r="7" spans="2:12" x14ac:dyDescent="0.25">
      <c r="I7" s="25" t="s">
        <v>28</v>
      </c>
      <c r="J7" s="56" t="s">
        <v>30</v>
      </c>
      <c r="K7" s="56"/>
      <c r="L7" s="57"/>
    </row>
    <row r="8" spans="2:12" ht="15.75" thickBot="1" x14ac:dyDescent="0.3">
      <c r="I8" s="26"/>
      <c r="J8" s="27" t="s">
        <v>3</v>
      </c>
      <c r="K8" s="28"/>
      <c r="L8" s="29"/>
    </row>
    <row r="10" spans="2:12" x14ac:dyDescent="0.25">
      <c r="B10" s="51" t="s">
        <v>36</v>
      </c>
      <c r="C10" s="51"/>
      <c r="D10" s="51"/>
      <c r="E10" s="19">
        <f>D3+D4</f>
        <v>141777.57999999999</v>
      </c>
    </row>
    <row r="11" spans="2:12" x14ac:dyDescent="0.25">
      <c r="B11" s="51" t="s">
        <v>37</v>
      </c>
      <c r="C11" s="51"/>
      <c r="D11" s="51"/>
      <c r="E11" s="19">
        <v>22867.35</v>
      </c>
      <c r="I11" s="32" t="s">
        <v>39</v>
      </c>
      <c r="J11" s="19">
        <f>E11*J12</f>
        <v>162537.04599453908</v>
      </c>
    </row>
    <row r="12" spans="2:12" x14ac:dyDescent="0.25">
      <c r="B12" s="51" t="s">
        <v>26</v>
      </c>
      <c r="C12" s="51"/>
      <c r="D12" s="51"/>
      <c r="E12" s="19">
        <f>J11-E10</f>
        <v>20759.465994539089</v>
      </c>
      <c r="I12" s="32" t="s">
        <v>38</v>
      </c>
      <c r="J12" s="1">
        <f>(1-J13)/0.05</f>
        <v>7.1078216756440549</v>
      </c>
    </row>
    <row r="13" spans="2:12" x14ac:dyDescent="0.25">
      <c r="B13" s="58" t="s">
        <v>27</v>
      </c>
      <c r="C13" s="58"/>
      <c r="D13" s="58"/>
      <c r="E13" s="33">
        <f>E12/E10</f>
        <v>0.1464227700496728</v>
      </c>
      <c r="I13" s="14" t="s">
        <v>31</v>
      </c>
      <c r="J13" s="1">
        <f>POWER(1.05,-9)</f>
        <v>0.64460891621779726</v>
      </c>
    </row>
    <row r="14" spans="2:12" x14ac:dyDescent="0.25">
      <c r="B14" s="1" t="s">
        <v>40</v>
      </c>
      <c r="C14" s="59" t="s">
        <v>41</v>
      </c>
      <c r="D14" s="59"/>
      <c r="E14" s="59"/>
    </row>
    <row r="15" spans="2:12" ht="24" customHeight="1" x14ac:dyDescent="0.25">
      <c r="C15" s="59"/>
      <c r="D15" s="59"/>
      <c r="E15" s="59"/>
    </row>
    <row r="16" spans="2:12" ht="33" customHeight="1" x14ac:dyDescent="0.25">
      <c r="C16" s="59"/>
      <c r="D16" s="59"/>
      <c r="E16" s="59"/>
    </row>
  </sheetData>
  <mergeCells count="9">
    <mergeCell ref="J7:L7"/>
    <mergeCell ref="B12:D12"/>
    <mergeCell ref="B13:D13"/>
    <mergeCell ref="C14:E16"/>
    <mergeCell ref="B3:C3"/>
    <mergeCell ref="B4:C4"/>
    <mergeCell ref="B5:C5"/>
    <mergeCell ref="B10:D10"/>
    <mergeCell ref="B11:D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0BF3-A164-446B-9F16-96BAD6FF17ED}">
  <dimension ref="B1:J20"/>
  <sheetViews>
    <sheetView topLeftCell="B1" workbookViewId="0">
      <selection activeCell="B13" sqref="B13:C17"/>
    </sheetView>
  </sheetViews>
  <sheetFormatPr baseColWidth="10" defaultRowHeight="15" x14ac:dyDescent="0.25"/>
  <cols>
    <col min="2" max="2" width="17.7109375" customWidth="1"/>
    <col min="3" max="3" width="13" customWidth="1"/>
    <col min="5" max="5" width="22" bestFit="1" customWidth="1"/>
    <col min="6" max="6" width="10.42578125" bestFit="1" customWidth="1"/>
    <col min="7" max="7" width="15.85546875" bestFit="1" customWidth="1"/>
    <col min="8" max="8" width="10.42578125" bestFit="1" customWidth="1"/>
    <col min="9" max="9" width="20.140625" bestFit="1" customWidth="1"/>
    <col min="10" max="10" width="16.5703125" customWidth="1"/>
  </cols>
  <sheetData>
    <row r="1" spans="2:10" ht="15.75" thickBot="1" x14ac:dyDescent="0.3"/>
    <row r="2" spans="2:10" ht="15.75" thickBot="1" x14ac:dyDescent="0.3">
      <c r="E2" s="69" t="s">
        <v>58</v>
      </c>
      <c r="F2" s="70"/>
      <c r="G2" s="70"/>
      <c r="H2" s="70"/>
      <c r="I2" s="70"/>
      <c r="J2" s="71"/>
    </row>
    <row r="3" spans="2:10" ht="15.75" thickBot="1" x14ac:dyDescent="0.3">
      <c r="B3" s="1" t="s">
        <v>42</v>
      </c>
      <c r="C3" s="13">
        <v>12860</v>
      </c>
      <c r="E3" s="69" t="s">
        <v>69</v>
      </c>
      <c r="F3" s="70"/>
      <c r="G3" s="70"/>
      <c r="H3" s="70"/>
      <c r="I3" s="70"/>
      <c r="J3" s="71"/>
    </row>
    <row r="4" spans="2:10" x14ac:dyDescent="0.25">
      <c r="B4" s="1" t="s">
        <v>57</v>
      </c>
      <c r="C4" s="13">
        <f>C3/1.2</f>
        <v>10716.666666666668</v>
      </c>
    </row>
    <row r="5" spans="2:10" x14ac:dyDescent="0.25">
      <c r="B5" s="1" t="s">
        <v>46</v>
      </c>
      <c r="C5" s="1">
        <v>4</v>
      </c>
    </row>
    <row r="6" spans="2:10" x14ac:dyDescent="0.25">
      <c r="E6" s="53" t="s">
        <v>43</v>
      </c>
      <c r="F6" s="53"/>
      <c r="G6" s="53" t="s">
        <v>44</v>
      </c>
      <c r="H6" s="53"/>
      <c r="I6" s="53" t="s">
        <v>45</v>
      </c>
      <c r="J6" s="53"/>
    </row>
    <row r="7" spans="2:10" x14ac:dyDescent="0.25">
      <c r="E7" s="1" t="s">
        <v>47</v>
      </c>
      <c r="F7" s="19">
        <f>12860*0.4284</f>
        <v>5509.2240000000002</v>
      </c>
      <c r="G7" s="1" t="s">
        <v>48</v>
      </c>
      <c r="H7" s="19">
        <v>6716.8</v>
      </c>
      <c r="I7" s="36" t="s">
        <v>63</v>
      </c>
      <c r="J7" s="13">
        <f>C3*0.2</f>
        <v>2572</v>
      </c>
    </row>
    <row r="8" spans="2:10" x14ac:dyDescent="0.25">
      <c r="E8" s="1" t="s">
        <v>48</v>
      </c>
      <c r="F8" s="19">
        <f>F7</f>
        <v>5509.2240000000002</v>
      </c>
      <c r="G8" s="1" t="s">
        <v>49</v>
      </c>
      <c r="H8" s="19">
        <v>5908.88</v>
      </c>
      <c r="I8" s="36" t="s">
        <v>64</v>
      </c>
      <c r="J8" s="13">
        <v>6668.48</v>
      </c>
    </row>
    <row r="9" spans="2:10" x14ac:dyDescent="0.25">
      <c r="E9" s="1" t="s">
        <v>54</v>
      </c>
      <c r="F9" s="19">
        <f>F7*B14</f>
        <v>5197.3811320754712</v>
      </c>
      <c r="G9" s="14" t="s">
        <v>51</v>
      </c>
      <c r="H9" s="19">
        <f>B14*H8</f>
        <v>5574.4150943396226</v>
      </c>
      <c r="I9" s="36" t="s">
        <v>65</v>
      </c>
      <c r="J9" s="13">
        <v>6668.48</v>
      </c>
    </row>
    <row r="10" spans="2:10" x14ac:dyDescent="0.25">
      <c r="E10" s="1" t="s">
        <v>55</v>
      </c>
      <c r="F10" s="19">
        <f>F7*B15</f>
        <v>4903.189747241011</v>
      </c>
      <c r="G10" s="1" t="s">
        <v>50</v>
      </c>
      <c r="H10" s="19">
        <v>4146.08</v>
      </c>
      <c r="I10" s="36" t="s">
        <v>66</v>
      </c>
      <c r="J10" s="13">
        <f>J9*B15</f>
        <v>5934.9234603061577</v>
      </c>
    </row>
    <row r="11" spans="2:10" x14ac:dyDescent="0.25">
      <c r="E11" s="1" t="s">
        <v>56</v>
      </c>
      <c r="F11" s="19">
        <f>F7*B16</f>
        <v>4625.6507049443489</v>
      </c>
      <c r="G11" s="14" t="s">
        <v>51</v>
      </c>
      <c r="H11" s="19">
        <f>H10*B15</f>
        <v>3689.9964400142394</v>
      </c>
      <c r="I11" s="36" t="s">
        <v>67</v>
      </c>
      <c r="J11" s="13">
        <v>6668.48</v>
      </c>
    </row>
    <row r="12" spans="2:10" x14ac:dyDescent="0.25">
      <c r="E12" s="1" t="s">
        <v>61</v>
      </c>
      <c r="F12" s="19">
        <f>12860*0.1</f>
        <v>1286</v>
      </c>
      <c r="G12" s="35" t="s">
        <v>59</v>
      </c>
      <c r="H12" s="31">
        <f>0.08*C4</f>
        <v>857.33333333333348</v>
      </c>
      <c r="I12" s="36" t="s">
        <v>68</v>
      </c>
      <c r="J12" s="13">
        <f>J11*B16</f>
        <v>5598.9843965152422</v>
      </c>
    </row>
    <row r="13" spans="2:10" x14ac:dyDescent="0.25">
      <c r="B13" s="15" t="s">
        <v>53</v>
      </c>
      <c r="C13" s="15" t="s">
        <v>52</v>
      </c>
      <c r="E13" s="1" t="s">
        <v>60</v>
      </c>
      <c r="F13" s="19">
        <f>SUM(F7:F12)</f>
        <v>27030.669584260835</v>
      </c>
      <c r="G13" s="35" t="s">
        <v>51</v>
      </c>
      <c r="H13" s="19">
        <f>H12*B16</f>
        <v>719.83359865302668</v>
      </c>
      <c r="I13" s="36" t="s">
        <v>60</v>
      </c>
      <c r="J13" s="13">
        <f>J12+J10+J8+J7</f>
        <v>20774.387856821399</v>
      </c>
    </row>
    <row r="14" spans="2:10" x14ac:dyDescent="0.25">
      <c r="B14" s="15">
        <f>POWER(1.06,-1)</f>
        <v>0.94339622641509424</v>
      </c>
      <c r="C14" s="15">
        <v>1</v>
      </c>
      <c r="E14" s="37" t="s">
        <v>62</v>
      </c>
      <c r="F14" s="19">
        <f>SUM(F7:F11)</f>
        <v>25744.669584260835</v>
      </c>
      <c r="G14" s="35" t="s">
        <v>60</v>
      </c>
      <c r="H14" s="19">
        <f>SUM(H9,H11,H13,H7)</f>
        <v>16701.04513300689</v>
      </c>
    </row>
    <row r="15" spans="2:10" x14ac:dyDescent="0.25">
      <c r="B15" s="15">
        <f>POWER(1.06,-2)</f>
        <v>0.88999644001423983</v>
      </c>
      <c r="C15" s="15">
        <v>2</v>
      </c>
    </row>
    <row r="16" spans="2:10" ht="15.75" thickBot="1" x14ac:dyDescent="0.3">
      <c r="B16" s="15">
        <f>POWER(1.06,-3)</f>
        <v>0.8396192830323016</v>
      </c>
      <c r="C16" s="15">
        <v>3</v>
      </c>
    </row>
    <row r="17" spans="2:10" ht="15.75" thickBot="1" x14ac:dyDescent="0.3">
      <c r="B17" s="15">
        <f>POWER(1.06,-4)</f>
        <v>0.79209366323802044</v>
      </c>
      <c r="C17" s="15">
        <v>4</v>
      </c>
      <c r="G17" s="38" t="s">
        <v>70</v>
      </c>
    </row>
    <row r="18" spans="2:10" x14ac:dyDescent="0.25">
      <c r="G18" s="60" t="s">
        <v>71</v>
      </c>
      <c r="H18" s="61"/>
      <c r="I18" s="61"/>
      <c r="J18" s="62"/>
    </row>
    <row r="19" spans="2:10" x14ac:dyDescent="0.25">
      <c r="G19" s="63"/>
      <c r="H19" s="64"/>
      <c r="I19" s="64"/>
      <c r="J19" s="65"/>
    </row>
    <row r="20" spans="2:10" ht="15.75" thickBot="1" x14ac:dyDescent="0.3">
      <c r="G20" s="66"/>
      <c r="H20" s="67"/>
      <c r="I20" s="67"/>
      <c r="J20" s="68"/>
    </row>
  </sheetData>
  <mergeCells count="6">
    <mergeCell ref="G18:J20"/>
    <mergeCell ref="E6:F6"/>
    <mergeCell ref="G6:H6"/>
    <mergeCell ref="I6:J6"/>
    <mergeCell ref="E2:J2"/>
    <mergeCell ref="E3:J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28867-72A7-4157-AFC8-379C071EE6BF}">
  <dimension ref="B5:M21"/>
  <sheetViews>
    <sheetView zoomScaleNormal="100" workbookViewId="0">
      <selection activeCell="B16" sqref="B16:C21"/>
    </sheetView>
  </sheetViews>
  <sheetFormatPr baseColWidth="10" defaultRowHeight="15" x14ac:dyDescent="0.25"/>
  <cols>
    <col min="2" max="2" width="12.5703125" bestFit="1" customWidth="1"/>
    <col min="3" max="3" width="12.85546875" bestFit="1" customWidth="1"/>
    <col min="8" max="8" width="12.85546875" bestFit="1" customWidth="1"/>
  </cols>
  <sheetData>
    <row r="5" spans="2:13" x14ac:dyDescent="0.25">
      <c r="B5" s="51" t="s">
        <v>74</v>
      </c>
      <c r="C5" s="51"/>
      <c r="F5" s="51" t="s">
        <v>26</v>
      </c>
      <c r="G5" s="51"/>
      <c r="H5" s="51"/>
      <c r="J5" s="72" t="s">
        <v>77</v>
      </c>
      <c r="K5" s="72"/>
    </row>
    <row r="6" spans="2:13" x14ac:dyDescent="0.25">
      <c r="B6" s="1" t="s">
        <v>23</v>
      </c>
      <c r="C6" s="40">
        <v>110000</v>
      </c>
      <c r="F6" s="51" t="s">
        <v>23</v>
      </c>
      <c r="G6" s="51"/>
      <c r="H6" s="13">
        <f>C6*B17</f>
        <v>101851.85185185184</v>
      </c>
      <c r="J6" s="72">
        <f>H11/B13</f>
        <v>0.17783690336134983</v>
      </c>
      <c r="K6" s="72"/>
    </row>
    <row r="7" spans="2:13" x14ac:dyDescent="0.25">
      <c r="B7" s="1" t="s">
        <v>24</v>
      </c>
      <c r="C7" s="40">
        <v>190000</v>
      </c>
      <c r="F7" s="51" t="s">
        <v>24</v>
      </c>
      <c r="G7" s="51"/>
      <c r="H7" s="13">
        <f t="shared" ref="H7:H10" si="0">C7*B18</f>
        <v>162894.3758573388</v>
      </c>
    </row>
    <row r="8" spans="2:13" x14ac:dyDescent="0.25">
      <c r="B8" s="1" t="s">
        <v>25</v>
      </c>
      <c r="C8" s="40">
        <v>360000</v>
      </c>
      <c r="F8" s="51" t="s">
        <v>25</v>
      </c>
      <c r="G8" s="51"/>
      <c r="H8" s="13">
        <f t="shared" si="0"/>
        <v>285779.60676726105</v>
      </c>
    </row>
    <row r="9" spans="2:13" x14ac:dyDescent="0.25">
      <c r="B9" s="1" t="s">
        <v>72</v>
      </c>
      <c r="C9" s="40">
        <v>320000</v>
      </c>
      <c r="F9" s="51" t="s">
        <v>72</v>
      </c>
      <c r="G9" s="51"/>
      <c r="H9" s="13">
        <f t="shared" si="0"/>
        <v>235209.55289486505</v>
      </c>
    </row>
    <row r="10" spans="2:13" ht="15.75" thickBot="1" x14ac:dyDescent="0.3">
      <c r="B10" s="1" t="s">
        <v>73</v>
      </c>
      <c r="C10" s="40">
        <v>230000</v>
      </c>
      <c r="F10" s="51" t="s">
        <v>73</v>
      </c>
      <c r="G10" s="51"/>
      <c r="H10" s="13">
        <f t="shared" si="0"/>
        <v>156534.1353177632</v>
      </c>
    </row>
    <row r="11" spans="2:13" ht="15.75" thickBot="1" x14ac:dyDescent="0.3">
      <c r="F11" s="51" t="s">
        <v>76</v>
      </c>
      <c r="G11" s="51"/>
      <c r="H11" s="13">
        <f>SUM(H6:H10)-B13</f>
        <v>142269.52268907987</v>
      </c>
      <c r="J11" s="42" t="s">
        <v>78</v>
      </c>
    </row>
    <row r="12" spans="2:13" x14ac:dyDescent="0.25">
      <c r="B12" s="51" t="s">
        <v>75</v>
      </c>
      <c r="C12" s="51"/>
      <c r="J12" s="73" t="s">
        <v>79</v>
      </c>
      <c r="K12" s="74"/>
      <c r="L12" s="74"/>
      <c r="M12" s="75"/>
    </row>
    <row r="13" spans="2:13" x14ac:dyDescent="0.25">
      <c r="B13" s="82">
        <v>800000</v>
      </c>
      <c r="C13" s="82"/>
      <c r="J13" s="76"/>
      <c r="K13" s="77"/>
      <c r="L13" s="77"/>
      <c r="M13" s="78"/>
    </row>
    <row r="14" spans="2:13" ht="15.75" thickBot="1" x14ac:dyDescent="0.3">
      <c r="J14" s="79"/>
      <c r="K14" s="80"/>
      <c r="L14" s="80"/>
      <c r="M14" s="81"/>
    </row>
    <row r="16" spans="2:13" x14ac:dyDescent="0.25">
      <c r="B16" s="39" t="s">
        <v>53</v>
      </c>
      <c r="C16" s="39" t="s">
        <v>52</v>
      </c>
    </row>
    <row r="17" spans="2:3" x14ac:dyDescent="0.25">
      <c r="B17" s="39">
        <f>POWER(1.08,-1)</f>
        <v>0.92592592592592582</v>
      </c>
      <c r="C17" s="39">
        <v>1</v>
      </c>
    </row>
    <row r="18" spans="2:3" x14ac:dyDescent="0.25">
      <c r="B18" s="39">
        <f>POWER(1.08,-2)</f>
        <v>0.85733882030178321</v>
      </c>
      <c r="C18" s="39">
        <v>2</v>
      </c>
    </row>
    <row r="19" spans="2:3" x14ac:dyDescent="0.25">
      <c r="B19" s="39">
        <f>POWER(1.08,-3)</f>
        <v>0.79383224102016958</v>
      </c>
      <c r="C19" s="39">
        <v>3</v>
      </c>
    </row>
    <row r="20" spans="2:3" x14ac:dyDescent="0.25">
      <c r="B20" s="39">
        <f>POWER(1.08,-4)</f>
        <v>0.73502985279645328</v>
      </c>
      <c r="C20" s="39">
        <v>4</v>
      </c>
    </row>
    <row r="21" spans="2:3" x14ac:dyDescent="0.25">
      <c r="B21" s="39">
        <f>POWER(1.08,-5)</f>
        <v>0.68058319703375303</v>
      </c>
      <c r="C21" s="35">
        <v>5</v>
      </c>
    </row>
  </sheetData>
  <mergeCells count="13">
    <mergeCell ref="J5:K5"/>
    <mergeCell ref="J6:K6"/>
    <mergeCell ref="J12:M14"/>
    <mergeCell ref="B5:C5"/>
    <mergeCell ref="B12:C12"/>
    <mergeCell ref="B13:C13"/>
    <mergeCell ref="F6:G6"/>
    <mergeCell ref="F7:G7"/>
    <mergeCell ref="F8:G8"/>
    <mergeCell ref="F9:G9"/>
    <mergeCell ref="F10:G10"/>
    <mergeCell ref="F11:G11"/>
    <mergeCell ref="F5:H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A5BC6-49C0-45D6-98D9-B239496C0EC0}">
  <dimension ref="C4:N20"/>
  <sheetViews>
    <sheetView tabSelected="1" workbookViewId="0">
      <selection activeCell="I16" sqref="I16"/>
    </sheetView>
  </sheetViews>
  <sheetFormatPr baseColWidth="10" defaultRowHeight="15" x14ac:dyDescent="0.25"/>
  <cols>
    <col min="3" max="3" width="19.140625" bestFit="1" customWidth="1"/>
    <col min="4" max="10" width="12.85546875" bestFit="1" customWidth="1"/>
    <col min="13" max="13" width="12.5703125" bestFit="1" customWidth="1"/>
  </cols>
  <sheetData>
    <row r="4" spans="3:14" x14ac:dyDescent="0.25">
      <c r="C4" s="1" t="s">
        <v>80</v>
      </c>
      <c r="D4" s="1" t="s">
        <v>81</v>
      </c>
      <c r="E4" s="1" t="s">
        <v>23</v>
      </c>
      <c r="F4" s="1" t="s">
        <v>24</v>
      </c>
      <c r="G4" s="1" t="s">
        <v>25</v>
      </c>
      <c r="H4" s="1" t="s">
        <v>72</v>
      </c>
      <c r="I4" s="1" t="s">
        <v>73</v>
      </c>
      <c r="J4" s="1" t="s">
        <v>82</v>
      </c>
    </row>
    <row r="5" spans="3:14" x14ac:dyDescent="0.25">
      <c r="C5" s="1" t="s">
        <v>83</v>
      </c>
      <c r="D5" s="40">
        <v>125000</v>
      </c>
      <c r="E5" s="10">
        <v>30000</v>
      </c>
      <c r="F5" s="10">
        <v>35000</v>
      </c>
      <c r="G5" s="10">
        <v>50000</v>
      </c>
      <c r="H5" s="10">
        <v>41000</v>
      </c>
      <c r="I5" s="10">
        <v>30000</v>
      </c>
      <c r="J5" s="10">
        <v>32000</v>
      </c>
    </row>
    <row r="6" spans="3:14" ht="15.75" thickBot="1" x14ac:dyDescent="0.3">
      <c r="C6" s="1" t="s">
        <v>84</v>
      </c>
      <c r="D6" s="40">
        <v>0</v>
      </c>
      <c r="E6" s="40">
        <f>E5*M7</f>
        <v>28846.153846153844</v>
      </c>
      <c r="F6" s="40">
        <f>F5*M8</f>
        <v>32359.467455621299</v>
      </c>
      <c r="G6" s="40">
        <f>G5*M9</f>
        <v>44449.817933545746</v>
      </c>
      <c r="H6" s="40">
        <f>H5*M10</f>
        <v>35046.971832218755</v>
      </c>
      <c r="I6" s="40">
        <f>I5*M11</f>
        <v>24657.813202780548</v>
      </c>
      <c r="J6" s="47">
        <f>J5*M12</f>
        <v>25290.064823364664</v>
      </c>
      <c r="M6" s="39" t="s">
        <v>53</v>
      </c>
      <c r="N6" s="39" t="s">
        <v>52</v>
      </c>
    </row>
    <row r="7" spans="3:14" ht="15.75" thickBot="1" x14ac:dyDescent="0.3">
      <c r="C7" s="1" t="s">
        <v>85</v>
      </c>
      <c r="D7" s="40">
        <v>-125000</v>
      </c>
      <c r="E7" s="40">
        <f>D7+E6</f>
        <v>-96153.846153846156</v>
      </c>
      <c r="F7" s="40">
        <f t="shared" ref="F7:J7" si="0">E7+F6</f>
        <v>-63794.378698224857</v>
      </c>
      <c r="G7" s="40">
        <f t="shared" si="0"/>
        <v>-19344.56076467911</v>
      </c>
      <c r="H7" s="40">
        <f t="shared" si="0"/>
        <v>15702.411067539644</v>
      </c>
      <c r="I7" s="46">
        <f t="shared" si="0"/>
        <v>40360.224270320192</v>
      </c>
      <c r="J7" s="48">
        <f t="shared" si="0"/>
        <v>65650.289093684856</v>
      </c>
      <c r="K7" s="49" t="s">
        <v>26</v>
      </c>
      <c r="M7" s="39">
        <f>POWER(1.04,-1)</f>
        <v>0.96153846153846145</v>
      </c>
      <c r="N7" s="39">
        <v>1</v>
      </c>
    </row>
    <row r="8" spans="3:14" x14ac:dyDescent="0.25">
      <c r="M8" s="39">
        <f>POWER(1.04,-2)</f>
        <v>0.92455621301775137</v>
      </c>
      <c r="N8" s="39">
        <v>2</v>
      </c>
    </row>
    <row r="9" spans="3:14" x14ac:dyDescent="0.25">
      <c r="M9" s="39">
        <f>POWER(1.04,-3)</f>
        <v>0.88899635867091487</v>
      </c>
      <c r="N9" s="39">
        <v>3</v>
      </c>
    </row>
    <row r="10" spans="3:14" x14ac:dyDescent="0.25">
      <c r="C10" s="44"/>
      <c r="M10" s="39">
        <f>POWER(1.04,-4)</f>
        <v>0.85480419102972571</v>
      </c>
      <c r="N10" s="39">
        <v>4</v>
      </c>
    </row>
    <row r="11" spans="3:14" ht="15.75" thickBot="1" x14ac:dyDescent="0.3">
      <c r="C11" s="45"/>
      <c r="M11" s="39">
        <f>POWER(1.04,-5)</f>
        <v>0.82192710675935154</v>
      </c>
      <c r="N11" s="35">
        <v>5</v>
      </c>
    </row>
    <row r="12" spans="3:14" x14ac:dyDescent="0.25">
      <c r="C12" s="43"/>
      <c r="G12" s="87" t="s">
        <v>87</v>
      </c>
      <c r="H12" s="88"/>
      <c r="I12" s="88"/>
      <c r="J12" s="89"/>
      <c r="M12" s="39">
        <f>POWER(1.04,-6)</f>
        <v>0.79031452573014571</v>
      </c>
      <c r="N12" s="35">
        <v>6</v>
      </c>
    </row>
    <row r="13" spans="3:14" ht="15.75" thickBot="1" x14ac:dyDescent="0.3">
      <c r="C13" s="32" t="s">
        <v>77</v>
      </c>
      <c r="G13" s="84" t="s">
        <v>91</v>
      </c>
      <c r="H13" s="85"/>
      <c r="I13" s="85"/>
      <c r="J13" s="86"/>
    </row>
    <row r="14" spans="3:14" x14ac:dyDescent="0.25">
      <c r="C14" s="1">
        <f>J7/D5</f>
        <v>0.52520231274947882</v>
      </c>
    </row>
    <row r="16" spans="3:14" ht="15.75" thickBot="1" x14ac:dyDescent="0.3"/>
    <row r="17" spans="3:6" ht="15.75" thickBot="1" x14ac:dyDescent="0.3">
      <c r="C17" s="42" t="s">
        <v>86</v>
      </c>
    </row>
    <row r="18" spans="3:6" x14ac:dyDescent="0.25">
      <c r="C18" s="60" t="s">
        <v>88</v>
      </c>
      <c r="D18" s="61"/>
      <c r="E18" s="61"/>
      <c r="F18" s="62"/>
    </row>
    <row r="19" spans="3:6" x14ac:dyDescent="0.25">
      <c r="C19" s="63"/>
      <c r="D19" s="64"/>
      <c r="E19" s="64"/>
      <c r="F19" s="65"/>
    </row>
    <row r="20" spans="3:6" ht="15.75" thickBot="1" x14ac:dyDescent="0.3">
      <c r="C20" s="66"/>
      <c r="D20" s="67"/>
      <c r="E20" s="67"/>
      <c r="F20" s="68"/>
    </row>
  </sheetData>
  <mergeCells count="3">
    <mergeCell ref="C18:F20"/>
    <mergeCell ref="G12:J12"/>
    <mergeCell ref="G13:J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II-2)</vt:lpstr>
      <vt:lpstr>II-3)</vt:lpstr>
      <vt:lpstr>II-4)</vt:lpstr>
      <vt:lpstr>II-5)</vt:lpstr>
      <vt:lpstr>III-6)</vt:lpstr>
      <vt:lpstr>III-7)</vt:lpstr>
      <vt:lpstr>III-8)</vt:lpstr>
      <vt:lpstr>III-9)</vt:lpstr>
      <vt:lpstr>III-10)</vt:lpstr>
      <vt:lpstr>III-11)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2015-06-05T18:19:34Z</dcterms:created>
  <dcterms:modified xsi:type="dcterms:W3CDTF">2019-10-21T18:13:30Z</dcterms:modified>
</cp:coreProperties>
</file>