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385" yWindow="-15" windowWidth="14460" windowHeight="13380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C111" i="3" l="1"/>
  <c r="C110" i="3"/>
  <c r="A104" i="3"/>
  <c r="D100" i="3"/>
  <c r="E54" i="1" s="1"/>
  <c r="B58" i="1" s="1"/>
  <c r="R93" i="3"/>
  <c r="M93" i="3"/>
  <c r="N93" i="3" s="1"/>
  <c r="L84" i="3" s="1"/>
  <c r="R83" i="3"/>
  <c r="N83" i="3"/>
  <c r="M83" i="3"/>
  <c r="F82" i="3"/>
  <c r="L74" i="3"/>
  <c r="L75" i="3" s="1"/>
  <c r="R73" i="3"/>
  <c r="M73" i="3"/>
  <c r="N73" i="3" s="1"/>
  <c r="L64" i="3" s="1"/>
  <c r="R63" i="3"/>
  <c r="N63" i="3"/>
  <c r="L54" i="3" s="1"/>
  <c r="M63" i="3"/>
  <c r="C62" i="3"/>
  <c r="C58" i="3"/>
  <c r="D56" i="3"/>
  <c r="E54" i="3"/>
  <c r="C56" i="3" s="1"/>
  <c r="C59" i="3" s="1"/>
  <c r="R53" i="3"/>
  <c r="M53" i="3"/>
  <c r="N53" i="3" s="1"/>
  <c r="L44" i="3" s="1"/>
  <c r="C53" i="3"/>
  <c r="R43" i="3"/>
  <c r="M43" i="3"/>
  <c r="N43" i="3" s="1"/>
  <c r="L34" i="3" s="1"/>
  <c r="R33" i="3"/>
  <c r="M33" i="3"/>
  <c r="N33" i="3" s="1"/>
  <c r="L24" i="3" s="1"/>
  <c r="R24" i="3" s="1"/>
  <c r="R23" i="3"/>
  <c r="M23" i="3"/>
  <c r="N23" i="3" s="1"/>
  <c r="L14" i="3" s="1"/>
  <c r="R13" i="3"/>
  <c r="N13" i="3"/>
  <c r="L9" i="3" s="1"/>
  <c r="M13" i="3"/>
  <c r="R8" i="3"/>
  <c r="M8" i="3"/>
  <c r="N8" i="3" s="1"/>
  <c r="L6" i="3" s="1"/>
  <c r="R5" i="3"/>
  <c r="R4" i="3"/>
  <c r="I2" i="3"/>
  <c r="H2" i="3"/>
  <c r="J93" i="3" s="1"/>
  <c r="S93" i="3" s="1"/>
  <c r="C1" i="2"/>
  <c r="B2" i="2" s="1"/>
  <c r="B54" i="1"/>
  <c r="L30" i="1"/>
  <c r="K30" i="1"/>
  <c r="H30" i="1"/>
  <c r="F28" i="1"/>
  <c r="F27" i="1"/>
  <c r="F26" i="1"/>
  <c r="B22" i="1"/>
  <c r="H20" i="1"/>
  <c r="G20" i="1"/>
  <c r="F20" i="1"/>
  <c r="E20" i="1"/>
  <c r="D20" i="1"/>
  <c r="C20" i="1"/>
  <c r="B20" i="1"/>
  <c r="H15" i="1"/>
  <c r="G15" i="1"/>
  <c r="G9" i="1" s="1"/>
  <c r="F15" i="1"/>
  <c r="F9" i="1" s="1"/>
  <c r="E15" i="1"/>
  <c r="D15" i="1"/>
  <c r="C15" i="1"/>
  <c r="B15" i="1"/>
  <c r="B11" i="1" s="1"/>
  <c r="J14" i="1"/>
  <c r="J13" i="1"/>
  <c r="J12" i="1"/>
  <c r="H9" i="1"/>
  <c r="E9" i="1"/>
  <c r="C9" i="1"/>
  <c r="B9" i="1"/>
  <c r="B21" i="1" s="1"/>
  <c r="C7" i="1"/>
  <c r="D7" i="1" s="1"/>
  <c r="E7" i="1" s="1"/>
  <c r="F7" i="1" s="1"/>
  <c r="G7" i="1" s="1"/>
  <c r="H7" i="1" s="1"/>
  <c r="C6" i="1"/>
  <c r="D6" i="1" s="1"/>
  <c r="C5" i="1"/>
  <c r="D5" i="1" s="1"/>
  <c r="C4" i="1"/>
  <c r="D4" i="1" s="1"/>
  <c r="E4" i="1" s="1"/>
  <c r="F4" i="1" s="1"/>
  <c r="G4" i="1" s="1"/>
  <c r="H4" i="1" s="1"/>
  <c r="J18" i="3" l="1"/>
  <c r="S18" i="3" s="1"/>
  <c r="U18" i="3" s="1"/>
  <c r="J24" i="3"/>
  <c r="S24" i="3" s="1"/>
  <c r="T24" i="3" s="1"/>
  <c r="J43" i="3"/>
  <c r="S43" i="3" s="1"/>
  <c r="U43" i="3" s="1"/>
  <c r="J15" i="1"/>
  <c r="J4" i="3"/>
  <c r="S4" i="3" s="1"/>
  <c r="T4" i="3" s="1"/>
  <c r="J6" i="3"/>
  <c r="S6" i="3" s="1"/>
  <c r="J10" i="3"/>
  <c r="S10" i="3" s="1"/>
  <c r="J14" i="3"/>
  <c r="S14" i="3" s="1"/>
  <c r="T14" i="3" s="1"/>
  <c r="J26" i="3"/>
  <c r="S26" i="3" s="1"/>
  <c r="T26" i="3" s="1"/>
  <c r="J32" i="3"/>
  <c r="S32" i="3" s="1"/>
  <c r="T32" i="3" s="1"/>
  <c r="J37" i="3"/>
  <c r="S37" i="3" s="1"/>
  <c r="J78" i="3"/>
  <c r="S78" i="3" s="1"/>
  <c r="T78" i="3" s="1"/>
  <c r="J5" i="3"/>
  <c r="S5" i="3" s="1"/>
  <c r="T5" i="3" s="1"/>
  <c r="J35" i="3"/>
  <c r="S35" i="3" s="1"/>
  <c r="C21" i="1"/>
  <c r="J22" i="3"/>
  <c r="S22" i="3" s="1"/>
  <c r="T22" i="3" s="1"/>
  <c r="J29" i="3"/>
  <c r="S29" i="3" s="1"/>
  <c r="T29" i="3" s="1"/>
  <c r="J36" i="3"/>
  <c r="S36" i="3" s="1"/>
  <c r="J8" i="3"/>
  <c r="S8" i="3" s="1"/>
  <c r="J15" i="3"/>
  <c r="S15" i="3" s="1"/>
  <c r="T15" i="3" s="1"/>
  <c r="J27" i="3"/>
  <c r="S27" i="3" s="1"/>
  <c r="U27" i="3" s="1"/>
  <c r="J33" i="3"/>
  <c r="S33" i="3" s="1"/>
  <c r="T33" i="3" s="1"/>
  <c r="J39" i="3"/>
  <c r="S39" i="3" s="1"/>
  <c r="U39" i="3" s="1"/>
  <c r="J49" i="3"/>
  <c r="S49" i="3" s="1"/>
  <c r="T49" i="3" s="1"/>
  <c r="J85" i="3"/>
  <c r="S85" i="3" s="1"/>
  <c r="T85" i="3" s="1"/>
  <c r="J63" i="3"/>
  <c r="S63" i="3" s="1"/>
  <c r="J67" i="3"/>
  <c r="S67" i="3" s="1"/>
  <c r="T67" i="3" s="1"/>
  <c r="J74" i="3"/>
  <c r="S74" i="3" s="1"/>
  <c r="V74" i="3" s="1"/>
  <c r="J70" i="3"/>
  <c r="S70" i="3" s="1"/>
  <c r="T70" i="3" s="1"/>
  <c r="U26" i="3"/>
  <c r="T36" i="3"/>
  <c r="V36" i="3"/>
  <c r="T18" i="3"/>
  <c r="V18" i="3"/>
  <c r="T35" i="3"/>
  <c r="U35" i="3"/>
  <c r="T8" i="3"/>
  <c r="U8" i="3"/>
  <c r="T27" i="3"/>
  <c r="J82" i="3"/>
  <c r="S82" i="3" s="1"/>
  <c r="J87" i="3"/>
  <c r="S87" i="3" s="1"/>
  <c r="T87" i="3" s="1"/>
  <c r="J55" i="3"/>
  <c r="S55" i="3" s="1"/>
  <c r="J71" i="3"/>
  <c r="S71" i="3" s="1"/>
  <c r="T71" i="3" s="1"/>
  <c r="J86" i="3"/>
  <c r="S86" i="3" s="1"/>
  <c r="U86" i="3" s="1"/>
  <c r="J40" i="3"/>
  <c r="S40" i="3" s="1"/>
  <c r="U40" i="3" s="1"/>
  <c r="J44" i="3"/>
  <c r="S44" i="3" s="1"/>
  <c r="V44" i="3" s="1"/>
  <c r="J52" i="3"/>
  <c r="S52" i="3" s="1"/>
  <c r="J79" i="3"/>
  <c r="S79" i="3" s="1"/>
  <c r="J3" i="3"/>
  <c r="S3" i="3" s="1"/>
  <c r="J7" i="3"/>
  <c r="S7" i="3" s="1"/>
  <c r="V7" i="3" s="1"/>
  <c r="J9" i="3"/>
  <c r="S9" i="3" s="1"/>
  <c r="J23" i="3"/>
  <c r="S23" i="3" s="1"/>
  <c r="U23" i="3" s="1"/>
  <c r="J31" i="3"/>
  <c r="S31" i="3" s="1"/>
  <c r="V31" i="3" s="1"/>
  <c r="J34" i="3"/>
  <c r="S34" i="3" s="1"/>
  <c r="V34" i="3" s="1"/>
  <c r="J38" i="3"/>
  <c r="S38" i="3" s="1"/>
  <c r="T38" i="3" s="1"/>
  <c r="J50" i="3"/>
  <c r="S50" i="3" s="1"/>
  <c r="T50" i="3" s="1"/>
  <c r="J13" i="3"/>
  <c r="S13" i="3" s="1"/>
  <c r="V13" i="3" s="1"/>
  <c r="J17" i="3"/>
  <c r="S17" i="3" s="1"/>
  <c r="J20" i="3"/>
  <c r="S20" i="3" s="1"/>
  <c r="T20" i="3" s="1"/>
  <c r="J25" i="3"/>
  <c r="S25" i="3" s="1"/>
  <c r="J28" i="3"/>
  <c r="S28" i="3" s="1"/>
  <c r="T28" i="3" s="1"/>
  <c r="J42" i="3"/>
  <c r="S42" i="3" s="1"/>
  <c r="T42" i="3" s="1"/>
  <c r="J47" i="3"/>
  <c r="S47" i="3" s="1"/>
  <c r="U47" i="3" s="1"/>
  <c r="J53" i="3"/>
  <c r="S53" i="3" s="1"/>
  <c r="J66" i="3"/>
  <c r="S66" i="3" s="1"/>
  <c r="V66" i="3" s="1"/>
  <c r="J92" i="3"/>
  <c r="S92" i="3" s="1"/>
  <c r="U92" i="3" s="1"/>
  <c r="J11" i="3"/>
  <c r="S11" i="3" s="1"/>
  <c r="T11" i="3" s="1"/>
  <c r="J16" i="3"/>
  <c r="S16" i="3" s="1"/>
  <c r="J19" i="3"/>
  <c r="S19" i="3" s="1"/>
  <c r="T19" i="3" s="1"/>
  <c r="V27" i="3"/>
  <c r="J41" i="3"/>
  <c r="S41" i="3" s="1"/>
  <c r="T41" i="3" s="1"/>
  <c r="J46" i="3"/>
  <c r="S46" i="3" s="1"/>
  <c r="J64" i="3"/>
  <c r="S64" i="3" s="1"/>
  <c r="T64" i="3" s="1"/>
  <c r="J83" i="3"/>
  <c r="S83" i="3" s="1"/>
  <c r="U83" i="3" s="1"/>
  <c r="D9" i="1"/>
  <c r="D21" i="1" s="1"/>
  <c r="J20" i="1"/>
  <c r="R6" i="3"/>
  <c r="L7" i="3"/>
  <c r="R7" i="3" s="1"/>
  <c r="R54" i="3"/>
  <c r="L55" i="3"/>
  <c r="T86" i="3"/>
  <c r="V86" i="3"/>
  <c r="V79" i="3"/>
  <c r="T79" i="3"/>
  <c r="U79" i="3"/>
  <c r="D11" i="1"/>
  <c r="E5" i="1"/>
  <c r="L15" i="3"/>
  <c r="R14" i="3"/>
  <c r="V39" i="3"/>
  <c r="T39" i="3"/>
  <c r="T63" i="3"/>
  <c r="U63" i="3"/>
  <c r="V63" i="3"/>
  <c r="V78" i="3"/>
  <c r="L10" i="3"/>
  <c r="R9" i="3"/>
  <c r="T23" i="3"/>
  <c r="V23" i="3"/>
  <c r="U31" i="3"/>
  <c r="U38" i="3"/>
  <c r="V38" i="3"/>
  <c r="R34" i="3"/>
  <c r="L35" i="3"/>
  <c r="L45" i="3"/>
  <c r="R44" i="3"/>
  <c r="L76" i="3"/>
  <c r="R75" i="3"/>
  <c r="V10" i="3"/>
  <c r="T10" i="3"/>
  <c r="U10" i="3"/>
  <c r="U6" i="3"/>
  <c r="V6" i="3"/>
  <c r="T6" i="3"/>
  <c r="V29" i="3"/>
  <c r="U29" i="3"/>
  <c r="U37" i="3"/>
  <c r="V37" i="3"/>
  <c r="T37" i="3"/>
  <c r="V43" i="3"/>
  <c r="T43" i="3"/>
  <c r="U74" i="3"/>
  <c r="L85" i="3"/>
  <c r="R84" i="3"/>
  <c r="T82" i="3"/>
  <c r="U82" i="3"/>
  <c r="V82" i="3"/>
  <c r="V93" i="3"/>
  <c r="T93" i="3"/>
  <c r="U93" i="3"/>
  <c r="T13" i="3"/>
  <c r="U13" i="3"/>
  <c r="U25" i="3"/>
  <c r="V25" i="3"/>
  <c r="T25" i="3"/>
  <c r="V28" i="3"/>
  <c r="V47" i="3"/>
  <c r="T47" i="3"/>
  <c r="T53" i="3"/>
  <c r="U53" i="3"/>
  <c r="V53" i="3"/>
  <c r="T92" i="3"/>
  <c r="E6" i="1"/>
  <c r="D22" i="1"/>
  <c r="U11" i="3"/>
  <c r="U16" i="3"/>
  <c r="T16" i="3"/>
  <c r="V16" i="3"/>
  <c r="U41" i="3"/>
  <c r="V41" i="3"/>
  <c r="U46" i="3"/>
  <c r="V46" i="3"/>
  <c r="T46" i="3"/>
  <c r="L65" i="3"/>
  <c r="R64" i="3"/>
  <c r="C60" i="3"/>
  <c r="C61" i="3" s="1"/>
  <c r="J51" i="3"/>
  <c r="S51" i="3" s="1"/>
  <c r="J54" i="3"/>
  <c r="S54" i="3" s="1"/>
  <c r="J56" i="3"/>
  <c r="S56" i="3" s="1"/>
  <c r="J62" i="3"/>
  <c r="S62" i="3" s="1"/>
  <c r="J68" i="3"/>
  <c r="S68" i="3" s="1"/>
  <c r="J69" i="3"/>
  <c r="S69" i="3" s="1"/>
  <c r="J77" i="3"/>
  <c r="S77" i="3" s="1"/>
  <c r="J81" i="3"/>
  <c r="S81" i="3" s="1"/>
  <c r="J88" i="3"/>
  <c r="S88" i="3" s="1"/>
  <c r="C11" i="1"/>
  <c r="V4" i="3"/>
  <c r="V5" i="3"/>
  <c r="V24" i="3"/>
  <c r="V32" i="3"/>
  <c r="V33" i="3"/>
  <c r="V50" i="3"/>
  <c r="J57" i="3"/>
  <c r="S57" i="3" s="1"/>
  <c r="J58" i="3"/>
  <c r="S58" i="3" s="1"/>
  <c r="J59" i="3"/>
  <c r="S59" i="3" s="1"/>
  <c r="J60" i="3"/>
  <c r="S60" i="3" s="1"/>
  <c r="J61" i="3"/>
  <c r="S61" i="3" s="1"/>
  <c r="V67" i="3"/>
  <c r="C69" i="3"/>
  <c r="V70" i="3"/>
  <c r="R74" i="3"/>
  <c r="J84" i="3"/>
  <c r="S84" i="3" s="1"/>
  <c r="V85" i="3"/>
  <c r="J89" i="3"/>
  <c r="S89" i="3" s="1"/>
  <c r="C22" i="1"/>
  <c r="U4" i="3"/>
  <c r="U5" i="3"/>
  <c r="U24" i="3"/>
  <c r="U32" i="3"/>
  <c r="U33" i="3"/>
  <c r="J45" i="3"/>
  <c r="S45" i="3" s="1"/>
  <c r="U50" i="3"/>
  <c r="U67" i="3"/>
  <c r="J75" i="3"/>
  <c r="S75" i="3" s="1"/>
  <c r="J76" i="3"/>
  <c r="S76" i="3" s="1"/>
  <c r="J80" i="3"/>
  <c r="S80" i="3" s="1"/>
  <c r="U87" i="3"/>
  <c r="J90" i="3"/>
  <c r="S90" i="3" s="1"/>
  <c r="L25" i="3"/>
  <c r="V8" i="3"/>
  <c r="V17" i="3"/>
  <c r="V26" i="3"/>
  <c r="V35" i="3"/>
  <c r="V55" i="3"/>
  <c r="J91" i="3"/>
  <c r="S91" i="3" s="1"/>
  <c r="J12" i="3"/>
  <c r="S12" i="3" s="1"/>
  <c r="J21" i="3"/>
  <c r="S21" i="3" s="1"/>
  <c r="J30" i="3"/>
  <c r="S30" i="3" s="1"/>
  <c r="U36" i="3"/>
  <c r="J48" i="3"/>
  <c r="S48" i="3" s="1"/>
  <c r="J65" i="3"/>
  <c r="S65" i="3" s="1"/>
  <c r="J72" i="3"/>
  <c r="S72" i="3" s="1"/>
  <c r="J73" i="3"/>
  <c r="S73" i="3" s="1"/>
  <c r="E99" i="3"/>
  <c r="U15" i="3" l="1"/>
  <c r="T83" i="3"/>
  <c r="V92" i="3"/>
  <c r="V42" i="3"/>
  <c r="V49" i="3"/>
  <c r="V22" i="3"/>
  <c r="V14" i="3"/>
  <c r="U78" i="3"/>
  <c r="U85" i="3"/>
  <c r="U70" i="3"/>
  <c r="V87" i="3"/>
  <c r="V71" i="3"/>
  <c r="V83" i="3"/>
  <c r="U64" i="3"/>
  <c r="U66" i="3"/>
  <c r="U42" i="3"/>
  <c r="T74" i="3"/>
  <c r="U49" i="3"/>
  <c r="U22" i="3"/>
  <c r="T34" i="3"/>
  <c r="U14" i="3"/>
  <c r="V15" i="3"/>
  <c r="U34" i="3"/>
  <c r="U28" i="3"/>
  <c r="T31" i="3"/>
  <c r="T40" i="3"/>
  <c r="V40" i="3"/>
  <c r="T44" i="3"/>
  <c r="U44" i="3"/>
  <c r="U19" i="3"/>
  <c r="U20" i="3"/>
  <c r="T52" i="3"/>
  <c r="U52" i="3"/>
  <c r="V64" i="3"/>
  <c r="V19" i="3"/>
  <c r="V20" i="3"/>
  <c r="V11" i="3"/>
  <c r="T66" i="3"/>
  <c r="T17" i="3"/>
  <c r="U17" i="3"/>
  <c r="T7" i="3"/>
  <c r="U7" i="3"/>
  <c r="T55" i="3"/>
  <c r="U55" i="3"/>
  <c r="U71" i="3"/>
  <c r="U9" i="3"/>
  <c r="T9" i="3"/>
  <c r="V9" i="3"/>
  <c r="L46" i="3"/>
  <c r="R45" i="3"/>
  <c r="R25" i="3"/>
  <c r="L26" i="3"/>
  <c r="T59" i="3"/>
  <c r="V59" i="3"/>
  <c r="U59" i="3"/>
  <c r="T65" i="3"/>
  <c r="U65" i="3"/>
  <c r="V65" i="3"/>
  <c r="T60" i="3"/>
  <c r="U60" i="3"/>
  <c r="V60" i="3"/>
  <c r="T81" i="3"/>
  <c r="U81" i="3"/>
  <c r="V81" i="3"/>
  <c r="R76" i="3"/>
  <c r="L77" i="3"/>
  <c r="L11" i="3"/>
  <c r="R10" i="3"/>
  <c r="T48" i="3"/>
  <c r="U48" i="3"/>
  <c r="V48" i="3"/>
  <c r="T90" i="3"/>
  <c r="U90" i="3"/>
  <c r="V90" i="3"/>
  <c r="T61" i="3"/>
  <c r="V61" i="3"/>
  <c r="U61" i="3"/>
  <c r="T88" i="3"/>
  <c r="U88" i="3"/>
  <c r="V88" i="3"/>
  <c r="T51" i="3"/>
  <c r="U51" i="3"/>
  <c r="V51" i="3"/>
  <c r="F6" i="1"/>
  <c r="E22" i="1"/>
  <c r="L56" i="3"/>
  <c r="R55" i="3"/>
  <c r="T58" i="3"/>
  <c r="U58" i="3"/>
  <c r="V58" i="3"/>
  <c r="R15" i="3"/>
  <c r="L16" i="3"/>
  <c r="T77" i="3"/>
  <c r="U77" i="3"/>
  <c r="V77" i="3"/>
  <c r="V73" i="3"/>
  <c r="T73" i="3"/>
  <c r="U73" i="3"/>
  <c r="T80" i="3"/>
  <c r="U80" i="3"/>
  <c r="V80" i="3"/>
  <c r="T69" i="3"/>
  <c r="U69" i="3"/>
  <c r="V69" i="3"/>
  <c r="T84" i="3"/>
  <c r="U84" i="3"/>
  <c r="V84" i="3"/>
  <c r="T12" i="3"/>
  <c r="V12" i="3"/>
  <c r="U12" i="3"/>
  <c r="T89" i="3"/>
  <c r="U89" i="3"/>
  <c r="V89" i="3"/>
  <c r="U54" i="3"/>
  <c r="V54" i="3"/>
  <c r="T54" i="3"/>
  <c r="V21" i="3"/>
  <c r="T21" i="3"/>
  <c r="U21" i="3"/>
  <c r="G76" i="3"/>
  <c r="G82" i="3"/>
  <c r="U56" i="3"/>
  <c r="V56" i="3"/>
  <c r="T56" i="3"/>
  <c r="L86" i="3"/>
  <c r="R85" i="3"/>
  <c r="T45" i="3"/>
  <c r="U45" i="3"/>
  <c r="V45" i="3"/>
  <c r="T72" i="3"/>
  <c r="U72" i="3"/>
  <c r="V72" i="3"/>
  <c r="U91" i="3"/>
  <c r="V91" i="3"/>
  <c r="T91" i="3"/>
  <c r="T30" i="3"/>
  <c r="V30" i="3"/>
  <c r="U30" i="3"/>
  <c r="T75" i="3"/>
  <c r="U75" i="3"/>
  <c r="V75" i="3"/>
  <c r="T62" i="3"/>
  <c r="U62" i="3"/>
  <c r="V62" i="3"/>
  <c r="T76" i="3"/>
  <c r="U76" i="3"/>
  <c r="V76" i="3"/>
  <c r="U57" i="3"/>
  <c r="T57" i="3"/>
  <c r="V57" i="3"/>
  <c r="U68" i="3"/>
  <c r="V68" i="3"/>
  <c r="T68" i="3"/>
  <c r="C64" i="3"/>
  <c r="C74" i="3"/>
  <c r="C63" i="3"/>
  <c r="E63" i="3" s="1"/>
  <c r="E64" i="3" s="1"/>
  <c r="G62" i="3"/>
  <c r="G63" i="3"/>
  <c r="L66" i="3"/>
  <c r="R65" i="3"/>
  <c r="L36" i="3"/>
  <c r="R35" i="3"/>
  <c r="E11" i="1"/>
  <c r="F5" i="1"/>
  <c r="E21" i="1"/>
  <c r="T3" i="3" l="1"/>
  <c r="U3" i="3"/>
  <c r="H5" i="3" s="1"/>
  <c r="B8" i="1" s="1"/>
  <c r="B16" i="1" s="1"/>
  <c r="R16" i="3"/>
  <c r="L17" i="3"/>
  <c r="R36" i="3"/>
  <c r="L37" i="3"/>
  <c r="R56" i="3"/>
  <c r="L57" i="3"/>
  <c r="R77" i="3"/>
  <c r="L78" i="3"/>
  <c r="L87" i="3"/>
  <c r="R86" i="3"/>
  <c r="L47" i="3"/>
  <c r="R46" i="3"/>
  <c r="G5" i="1"/>
  <c r="F21" i="1"/>
  <c r="F11" i="1"/>
  <c r="L12" i="3"/>
  <c r="R12" i="3" s="1"/>
  <c r="R11" i="3"/>
  <c r="R26" i="3"/>
  <c r="L27" i="3"/>
  <c r="L67" i="3"/>
  <c r="R66" i="3"/>
  <c r="G6" i="1"/>
  <c r="F22" i="1"/>
  <c r="C8" i="1" l="1"/>
  <c r="C16" i="1" s="1"/>
  <c r="R67" i="3"/>
  <c r="L68" i="3"/>
  <c r="H5" i="1"/>
  <c r="G11" i="1"/>
  <c r="G21" i="1"/>
  <c r="L58" i="3"/>
  <c r="R57" i="3"/>
  <c r="D8" i="1"/>
  <c r="H6" i="1"/>
  <c r="G22" i="1"/>
  <c r="R87" i="3"/>
  <c r="L88" i="3"/>
  <c r="L18" i="3"/>
  <c r="R17" i="3"/>
  <c r="L28" i="3"/>
  <c r="R27" i="3"/>
  <c r="L48" i="3"/>
  <c r="R47" i="3"/>
  <c r="R78" i="3"/>
  <c r="L79" i="3"/>
  <c r="R37" i="3"/>
  <c r="L38" i="3"/>
  <c r="H22" i="1" l="1"/>
  <c r="J22" i="1"/>
  <c r="L19" i="3"/>
  <c r="R18" i="3"/>
  <c r="R68" i="3"/>
  <c r="L69" i="3"/>
  <c r="R79" i="3"/>
  <c r="L80" i="3"/>
  <c r="L59" i="3"/>
  <c r="R58" i="3"/>
  <c r="L39" i="3"/>
  <c r="R38" i="3"/>
  <c r="L29" i="3"/>
  <c r="R28" i="3"/>
  <c r="E8" i="1"/>
  <c r="D16" i="1"/>
  <c r="L49" i="3"/>
  <c r="R48" i="3"/>
  <c r="H11" i="1"/>
  <c r="H21" i="1"/>
  <c r="J21" i="1" s="1"/>
  <c r="R88" i="3"/>
  <c r="L89" i="3"/>
  <c r="R39" i="3" l="1"/>
  <c r="L40" i="3"/>
  <c r="L20" i="3"/>
  <c r="R19" i="3"/>
  <c r="L30" i="3"/>
  <c r="R29" i="3"/>
  <c r="L50" i="3"/>
  <c r="R49" i="3"/>
  <c r="L60" i="3"/>
  <c r="R59" i="3"/>
  <c r="L90" i="3"/>
  <c r="R89" i="3"/>
  <c r="L70" i="3"/>
  <c r="R69" i="3"/>
  <c r="F8" i="1"/>
  <c r="E16" i="1"/>
  <c r="R80" i="3"/>
  <c r="L81" i="3"/>
  <c r="L61" i="3" l="1"/>
  <c r="R60" i="3"/>
  <c r="R40" i="3"/>
  <c r="L41" i="3"/>
  <c r="R50" i="3"/>
  <c r="L51" i="3"/>
  <c r="R20" i="3"/>
  <c r="L21" i="3"/>
  <c r="G8" i="1"/>
  <c r="F16" i="1"/>
  <c r="R81" i="3"/>
  <c r="L82" i="3"/>
  <c r="R82" i="3" s="1"/>
  <c r="L91" i="3"/>
  <c r="R90" i="3"/>
  <c r="L31" i="3"/>
  <c r="R30" i="3"/>
  <c r="L71" i="3"/>
  <c r="R70" i="3"/>
  <c r="H8" i="1" l="1"/>
  <c r="H16" i="1" s="1"/>
  <c r="J16" i="1" s="1"/>
  <c r="G16" i="1"/>
  <c r="R41" i="3"/>
  <c r="L42" i="3"/>
  <c r="R42" i="3" s="1"/>
  <c r="L22" i="3"/>
  <c r="R22" i="3" s="1"/>
  <c r="R21" i="3"/>
  <c r="L62" i="3"/>
  <c r="R62" i="3" s="1"/>
  <c r="R61" i="3"/>
  <c r="L92" i="3"/>
  <c r="R92" i="3" s="1"/>
  <c r="R91" i="3"/>
  <c r="R51" i="3"/>
  <c r="L52" i="3"/>
  <c r="R52" i="3" s="1"/>
  <c r="V52" i="3" s="1"/>
  <c r="V3" i="3" s="1"/>
  <c r="I5" i="3" s="1"/>
  <c r="B10" i="1" s="1"/>
  <c r="R71" i="3"/>
  <c r="L72" i="3"/>
  <c r="R72" i="3" s="1"/>
  <c r="R31" i="3"/>
  <c r="L32" i="3"/>
  <c r="R32" i="3" s="1"/>
  <c r="C10" i="1" l="1"/>
  <c r="B18" i="1"/>
  <c r="B17" i="1"/>
  <c r="E37" i="3" l="1"/>
  <c r="D10" i="1"/>
  <c r="C18" i="1"/>
  <c r="E38" i="3" s="1"/>
  <c r="C17" i="1"/>
  <c r="B19" i="1"/>
  <c r="F37" i="3"/>
  <c r="E10" i="1" l="1"/>
  <c r="D18" i="1"/>
  <c r="D17" i="1"/>
  <c r="G37" i="3"/>
  <c r="G119" i="3"/>
  <c r="C19" i="1"/>
  <c r="F38" i="3"/>
  <c r="E39" i="3" l="1"/>
  <c r="F10" i="1"/>
  <c r="E18" i="1"/>
  <c r="E40" i="3" s="1"/>
  <c r="E17" i="1"/>
  <c r="F39" i="3"/>
  <c r="D19" i="1"/>
  <c r="G120" i="3"/>
  <c r="G38" i="3"/>
  <c r="D55" i="1"/>
  <c r="H119" i="3"/>
  <c r="G10" i="1" l="1"/>
  <c r="F18" i="1"/>
  <c r="F17" i="1"/>
  <c r="E55" i="1"/>
  <c r="D106" i="3"/>
  <c r="I119" i="3"/>
  <c r="C106" i="3" s="1"/>
  <c r="H120" i="3"/>
  <c r="F40" i="3"/>
  <c r="E19" i="1"/>
  <c r="G39" i="3"/>
  <c r="H121" i="3" s="1"/>
  <c r="I121" i="3" s="1"/>
  <c r="G121" i="3"/>
  <c r="E41" i="3" l="1"/>
  <c r="F41" i="3"/>
  <c r="F19" i="1"/>
  <c r="I120" i="3"/>
  <c r="G122" i="3"/>
  <c r="G40" i="3"/>
  <c r="H10" i="1"/>
  <c r="G18" i="1"/>
  <c r="E42" i="3" s="1"/>
  <c r="G17" i="1"/>
  <c r="J55" i="1"/>
  <c r="I55" i="1"/>
  <c r="F55" i="1"/>
  <c r="H55" i="1"/>
  <c r="C71" i="3"/>
  <c r="G55" i="1"/>
  <c r="C101" i="3"/>
  <c r="G123" i="3" l="1"/>
  <c r="G41" i="3"/>
  <c r="H123" i="3" s="1"/>
  <c r="I123" i="3" s="1"/>
  <c r="H122" i="3"/>
  <c r="D56" i="1"/>
  <c r="D101" i="3"/>
  <c r="E78" i="3"/>
  <c r="F78" i="3" s="1"/>
  <c r="G78" i="3" s="1"/>
  <c r="H18" i="1"/>
  <c r="H17" i="1"/>
  <c r="J17" i="1" s="1"/>
  <c r="G19" i="1"/>
  <c r="F42" i="3"/>
  <c r="I122" i="3" l="1"/>
  <c r="I127" i="3" s="1"/>
  <c r="J119" i="3" s="1"/>
  <c r="C107" i="3" s="1"/>
  <c r="C109" i="3" s="1"/>
  <c r="C112" i="3" s="1"/>
  <c r="D107" i="3"/>
  <c r="F43" i="3"/>
  <c r="F44" i="3" s="1"/>
  <c r="H19" i="1"/>
  <c r="J19" i="1" s="1"/>
  <c r="E56" i="1"/>
  <c r="D58" i="1"/>
  <c r="E58" i="1" s="1"/>
  <c r="E43" i="3"/>
  <c r="E44" i="3" s="1"/>
  <c r="J18" i="1"/>
  <c r="H101" i="3"/>
  <c r="I101" i="3"/>
  <c r="E101" i="3"/>
  <c r="F101" i="3"/>
  <c r="G101" i="3"/>
  <c r="G124" i="3"/>
  <c r="G42" i="3"/>
  <c r="G126" i="3" l="1"/>
  <c r="G44" i="3"/>
  <c r="H126" i="3" s="1"/>
  <c r="I126" i="3" s="1"/>
  <c r="I56" i="1"/>
  <c r="F56" i="1"/>
  <c r="G56" i="1"/>
  <c r="J56" i="1"/>
  <c r="H56" i="1"/>
  <c r="D116" i="3"/>
  <c r="D113" i="3"/>
  <c r="D115" i="3"/>
  <c r="D114" i="3"/>
  <c r="C102" i="3"/>
  <c r="D109" i="3"/>
  <c r="C104" i="3" s="1"/>
  <c r="D104" i="3" s="1"/>
  <c r="G125" i="3"/>
  <c r="G43" i="3"/>
  <c r="H125" i="3" s="1"/>
  <c r="I125" i="3" s="1"/>
  <c r="F58" i="1"/>
  <c r="J58" i="1"/>
  <c r="G58" i="1"/>
  <c r="H58" i="1"/>
  <c r="I58" i="1"/>
  <c r="D57" i="1"/>
  <c r="H124" i="3"/>
  <c r="E80" i="3" l="1"/>
  <c r="F80" i="3" s="1"/>
  <c r="G80" i="3" s="1"/>
  <c r="E84" i="3"/>
  <c r="F84" i="3" s="1"/>
  <c r="G84" i="3" s="1"/>
  <c r="E85" i="3"/>
  <c r="F85" i="3" s="1"/>
  <c r="G85" i="3" s="1"/>
  <c r="E79" i="3"/>
  <c r="F79" i="3" s="1"/>
  <c r="G79" i="3" s="1"/>
  <c r="G116" i="3"/>
  <c r="H116" i="3"/>
  <c r="I116" i="3"/>
  <c r="J116" i="3"/>
  <c r="J115" i="3"/>
  <c r="G115" i="3"/>
  <c r="H115" i="3"/>
  <c r="I115" i="3"/>
  <c r="E104" i="3"/>
  <c r="F104" i="3"/>
  <c r="G104" i="3"/>
  <c r="H104" i="3"/>
  <c r="I104" i="3"/>
  <c r="D108" i="3"/>
  <c r="C103" i="3" s="1"/>
  <c r="D103" i="3" s="1"/>
  <c r="I124" i="3"/>
  <c r="C108" i="3" s="1"/>
  <c r="G113" i="3"/>
  <c r="H113" i="3"/>
  <c r="I113" i="3"/>
  <c r="J113" i="3"/>
  <c r="G114" i="3"/>
  <c r="H114" i="3"/>
  <c r="I114" i="3"/>
  <c r="J114" i="3"/>
  <c r="D102" i="3"/>
  <c r="E57" i="1"/>
  <c r="D59" i="1"/>
  <c r="E59" i="1" s="1"/>
  <c r="E103" i="3" l="1"/>
  <c r="F103" i="3"/>
  <c r="G103" i="3"/>
  <c r="H103" i="3"/>
  <c r="I103" i="3"/>
  <c r="C105" i="3"/>
  <c r="D105" i="3" s="1"/>
  <c r="I102" i="3"/>
  <c r="E102" i="3"/>
  <c r="F102" i="3"/>
  <c r="G102" i="3"/>
  <c r="H102" i="3"/>
  <c r="F57" i="1"/>
  <c r="J57" i="1"/>
  <c r="G57" i="1"/>
  <c r="H57" i="1"/>
  <c r="I57" i="1"/>
  <c r="G59" i="1"/>
  <c r="H59" i="1"/>
  <c r="I59" i="1"/>
  <c r="J59" i="1"/>
  <c r="E77" i="3" l="1"/>
  <c r="F77" i="3" s="1"/>
  <c r="E83" i="3"/>
  <c r="F83" i="3" s="1"/>
  <c r="G83" i="3" s="1"/>
  <c r="F59" i="1"/>
  <c r="F105" i="3"/>
  <c r="G105" i="3"/>
  <c r="H105" i="3"/>
  <c r="I105" i="3"/>
  <c r="E105" i="3"/>
  <c r="E81" i="3" l="1"/>
  <c r="F81" i="3" s="1"/>
  <c r="G81" i="3" s="1"/>
  <c r="E82" i="3"/>
  <c r="G77" i="3"/>
  <c r="G86" i="3" l="1"/>
  <c r="F86" i="3"/>
  <c r="C72" i="3" s="1"/>
  <c r="C73" i="3" s="1"/>
  <c r="C75" i="3" l="1"/>
  <c r="F72" i="3"/>
  <c r="E70" i="3" l="1"/>
  <c r="H70" i="3"/>
  <c r="H72" i="3" s="1"/>
  <c r="H74" i="3" s="1"/>
  <c r="H75" i="3" s="1"/>
</calcChain>
</file>

<file path=xl/sharedStrings.xml><?xml version="1.0" encoding="utf-8"?>
<sst xmlns="http://schemas.openxmlformats.org/spreadsheetml/2006/main" count="232" uniqueCount="136">
  <si>
    <t>задержка</t>
  </si>
  <si>
    <t>Пол</t>
  </si>
  <si>
    <t>м</t>
  </si>
  <si>
    <t>Возраст</t>
  </si>
  <si>
    <t>Вес</t>
  </si>
  <si>
    <t>Рост</t>
  </si>
  <si>
    <t>Pср.д.</t>
  </si>
  <si>
    <t>Pср.ф.</t>
  </si>
  <si>
    <t>ИК д.</t>
  </si>
  <si>
    <r>
      <t>ИК ф.(</t>
    </r>
    <r>
      <rPr>
        <i/>
        <sz val="8"/>
        <color indexed="12"/>
        <rFont val="Times New Roman"/>
        <charset val="204"/>
      </rPr>
      <t>мл/кг*мин)</t>
    </r>
  </si>
  <si>
    <t>СД</t>
  </si>
  <si>
    <t>ДД</t>
  </si>
  <si>
    <t>ЧСС</t>
  </si>
  <si>
    <t>ПД</t>
  </si>
  <si>
    <t>Pср.%</t>
  </si>
  <si>
    <t>ИК %</t>
  </si>
  <si>
    <t>ИПС %</t>
  </si>
  <si>
    <t>CV=</t>
  </si>
  <si>
    <t>ВИ</t>
  </si>
  <si>
    <t>ИФС</t>
  </si>
  <si>
    <t>АП</t>
  </si>
  <si>
    <t>t1  (сек)=</t>
  </si>
  <si>
    <t>t2  (сек)=</t>
  </si>
  <si>
    <r>
      <t>K-vl(</t>
    </r>
    <r>
      <rPr>
        <sz val="10"/>
        <rFont val="Times New Roman"/>
        <charset val="204"/>
      </rPr>
      <t>+</t>
    </r>
    <r>
      <rPr>
        <b/>
        <sz val="10"/>
        <rFont val="Times New Roman"/>
        <charset val="204"/>
      </rPr>
      <t>%)=</t>
    </r>
  </si>
  <si>
    <t>ПР   (%)=</t>
  </si>
  <si>
    <r>
      <t>ИУГ</t>
    </r>
    <r>
      <rPr>
        <sz val="10"/>
        <rFont val="Times New Roman"/>
        <charset val="204"/>
      </rPr>
      <t>(&lt;1)</t>
    </r>
    <r>
      <rPr>
        <b/>
        <sz val="10"/>
        <rFont val="Times New Roman"/>
        <charset val="204"/>
      </rPr>
      <t>=</t>
    </r>
  </si>
  <si>
    <t>пол</t>
  </si>
  <si>
    <t>Pср</t>
  </si>
  <si>
    <t>ИК</t>
  </si>
  <si>
    <t>ж</t>
  </si>
  <si>
    <t>лежа</t>
  </si>
  <si>
    <t>сидя</t>
  </si>
  <si>
    <t>нагрузка</t>
  </si>
  <si>
    <t>1 мин</t>
  </si>
  <si>
    <t>утро</t>
  </si>
  <si>
    <t>ФИО</t>
  </si>
  <si>
    <t>стоя</t>
  </si>
  <si>
    <t>ипс</t>
  </si>
  <si>
    <t>ик</t>
  </si>
  <si>
    <t>Среднесуточное</t>
  </si>
  <si>
    <t>m</t>
  </si>
  <si>
    <t>a</t>
  </si>
  <si>
    <t>градусов</t>
  </si>
  <si>
    <t>S</t>
  </si>
  <si>
    <t>метров</t>
  </si>
  <si>
    <t>h</t>
  </si>
  <si>
    <t>x</t>
  </si>
  <si>
    <t>раз</t>
  </si>
  <si>
    <t>Sx</t>
  </si>
  <si>
    <t>всего метров</t>
  </si>
  <si>
    <t>hx=</t>
  </si>
  <si>
    <t>A=</t>
  </si>
  <si>
    <t>кДж</t>
  </si>
  <si>
    <t>Ккал</t>
  </si>
  <si>
    <t>Гр</t>
  </si>
  <si>
    <t>Ккал/гр</t>
  </si>
  <si>
    <t>гликоген</t>
  </si>
  <si>
    <t xml:space="preserve">гр </t>
  </si>
  <si>
    <t>жиры</t>
  </si>
  <si>
    <t>Итого потеря веса, кг</t>
  </si>
  <si>
    <t>кг</t>
  </si>
  <si>
    <t>ИПС</t>
  </si>
  <si>
    <t>Тип нагрузки:</t>
  </si>
  <si>
    <t>k</t>
  </si>
  <si>
    <t>%</t>
  </si>
  <si>
    <t>Все траты:</t>
  </si>
  <si>
    <t>Гликоген</t>
  </si>
  <si>
    <t>Жир</t>
  </si>
  <si>
    <t>ИТОГО:</t>
  </si>
  <si>
    <t>1260 ккал</t>
  </si>
  <si>
    <t>далее жир</t>
  </si>
  <si>
    <t>ккал</t>
  </si>
  <si>
    <t>ОО</t>
  </si>
  <si>
    <t>Работа</t>
  </si>
  <si>
    <t>гр</t>
  </si>
  <si>
    <t>гр Ж</t>
  </si>
  <si>
    <t>СпБодр=00х1,2=</t>
  </si>
  <si>
    <t>Итого</t>
  </si>
  <si>
    <t>не &gt;</t>
  </si>
  <si>
    <t>гр Ув</t>
  </si>
  <si>
    <t>спец упр</t>
  </si>
  <si>
    <t>Со спец упр</t>
  </si>
  <si>
    <t>потеря веса</t>
  </si>
  <si>
    <t>На 1 кг веса в час</t>
  </si>
  <si>
    <t>время, часы</t>
  </si>
  <si>
    <t>Медленный бег, 8 км/ч</t>
  </si>
  <si>
    <t>Лежание без сна</t>
  </si>
  <si>
    <t>Сидение</t>
  </si>
  <si>
    <t>Стояние</t>
  </si>
  <si>
    <t>Ходьба, 4 км/ч</t>
  </si>
  <si>
    <t>Ходьба, 6 км/ч</t>
  </si>
  <si>
    <t>Ходьба на лыжах</t>
  </si>
  <si>
    <t>Чтение вслух</t>
  </si>
  <si>
    <t>Набор текста на клавиатуре в быстром темпе</t>
  </si>
  <si>
    <t>ккал/кг/час</t>
  </si>
  <si>
    <t>Итого:</t>
  </si>
  <si>
    <t>Итоговый лог энерготрат</t>
  </si>
  <si>
    <t>х1,2</t>
  </si>
  <si>
    <t>г</t>
  </si>
  <si>
    <t>RMR</t>
  </si>
  <si>
    <t>Ж+УВ</t>
  </si>
  <si>
    <t>Ж</t>
  </si>
  <si>
    <t>УВ</t>
  </si>
  <si>
    <t>Б</t>
  </si>
  <si>
    <t>ЛСС</t>
  </si>
  <si>
    <t>Физ</t>
  </si>
  <si>
    <t>OOЛСС</t>
  </si>
  <si>
    <t>total</t>
  </si>
  <si>
    <t>всего</t>
  </si>
  <si>
    <t>или</t>
  </si>
  <si>
    <t>обязат</t>
  </si>
  <si>
    <t>В СОСТОЯНИИ</t>
  </si>
  <si>
    <t>x kOO=</t>
  </si>
  <si>
    <t>ж+ув</t>
  </si>
  <si>
    <t>ув</t>
  </si>
  <si>
    <t>б</t>
  </si>
  <si>
    <t>x1,2</t>
  </si>
  <si>
    <t>x1,375</t>
  </si>
  <si>
    <t>x1,55</t>
  </si>
  <si>
    <t>x1,725</t>
  </si>
  <si>
    <t>kOO</t>
  </si>
  <si>
    <t>x RMR</t>
  </si>
  <si>
    <t>Дата рождения</t>
  </si>
  <si>
    <t>лет</t>
  </si>
  <si>
    <t>дата</t>
  </si>
  <si>
    <t>время</t>
  </si>
  <si>
    <t>при сидячем образе жизни, малой активности</t>
  </si>
  <si>
    <t>при легких тренировках до 3 раз в неделю, легкой активности</t>
  </si>
  <si>
    <t>при интенсивных тренировках, умеренной активности</t>
  </si>
  <si>
    <t>при интенсивных ежедневных тренировках, повышенной активности</t>
  </si>
  <si>
    <t>СРЕДНЕСУТ</t>
  </si>
  <si>
    <t>Иванова Анна Ивановна</t>
  </si>
  <si>
    <t>Грудь</t>
  </si>
  <si>
    <t>Талия</t>
  </si>
  <si>
    <t>Бедра</t>
  </si>
  <si>
    <t>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</si>
</sst>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.mm\.yyyy"/>
    <numFmt numFmtId="165" formatCode="0.0"/>
    <numFmt numFmtId="166" formatCode="0.000"/>
  </numFmts>
  <fonts count="39" x14ac:knownFonts="1">
    <font>
      <sz val="10"/>
      <name val="Arial Cyr"/>
    </font>
    <font>
      <b/>
      <sz val="8"/>
      <name val="Garamond"/>
      <charset val="204"/>
    </font>
    <font>
      <b/>
      <sz val="10"/>
      <color rgb="FFFF0000"/>
      <name val="Garamond"/>
      <charset val="204"/>
    </font>
    <font>
      <sz val="8"/>
      <name val="Garamond"/>
      <charset val="204"/>
    </font>
    <font>
      <sz val="7"/>
      <name val="Garamond"/>
      <charset val="204"/>
    </font>
    <font>
      <sz val="10"/>
      <name val="Garamond"/>
      <charset val="204"/>
    </font>
    <font>
      <sz val="10"/>
      <name val="Times New Roman"/>
      <charset val="204"/>
    </font>
    <font>
      <b/>
      <sz val="10"/>
      <color indexed="10"/>
      <name val="Times New Roman"/>
      <charset val="204"/>
    </font>
    <font>
      <sz val="10"/>
      <color indexed="9"/>
      <name val="Times New Roman"/>
      <charset val="204"/>
    </font>
    <font>
      <b/>
      <sz val="10"/>
      <name val="Times New Roman"/>
      <charset val="204"/>
    </font>
    <font>
      <i/>
      <sz val="10"/>
      <color indexed="12"/>
      <name val="Times New Roman"/>
      <charset val="204"/>
    </font>
    <font>
      <sz val="10"/>
      <color indexed="12"/>
      <name val="Times New Roman"/>
      <charset val="204"/>
    </font>
    <font>
      <b/>
      <sz val="8"/>
      <name val="Georgia"/>
      <charset val="204"/>
    </font>
    <font>
      <i/>
      <sz val="10"/>
      <color indexed="14"/>
      <name val="Times New Roman"/>
      <charset val="204"/>
    </font>
    <font>
      <sz val="10"/>
      <color indexed="14"/>
      <name val="Times New Roman"/>
      <charset val="204"/>
    </font>
    <font>
      <i/>
      <sz val="10"/>
      <color indexed="60"/>
      <name val="Times New Roman"/>
      <charset val="204"/>
    </font>
    <font>
      <sz val="10"/>
      <color indexed="60"/>
      <name val="Times New Roman"/>
      <charset val="204"/>
    </font>
    <font>
      <b/>
      <sz val="10"/>
      <color indexed="12"/>
      <name val="Times New Roman"/>
      <charset val="204"/>
    </font>
    <font>
      <b/>
      <sz val="10"/>
      <color indexed="8"/>
      <name val="Times New Roman"/>
      <charset val="204"/>
    </font>
    <font>
      <i/>
      <sz val="10"/>
      <color indexed="23"/>
      <name val="Times New Roman"/>
      <charset val="204"/>
    </font>
    <font>
      <sz val="10"/>
      <color indexed="23"/>
      <name val="Times New Roman"/>
      <charset val="204"/>
    </font>
    <font>
      <i/>
      <sz val="10"/>
      <name val="Times New Roman"/>
      <charset val="204"/>
    </font>
    <font>
      <b/>
      <sz val="12"/>
      <color rgb="FFFF0000"/>
      <name val="Times New Roman"/>
      <charset val="204"/>
    </font>
    <font>
      <b/>
      <sz val="10"/>
      <color rgb="FFFF0000"/>
      <name val="Times New Roman"/>
      <charset val="204"/>
    </font>
    <font>
      <sz val="10"/>
      <name val="Arial Cyr"/>
      <charset val="204"/>
    </font>
    <font>
      <b/>
      <sz val="10"/>
      <name val="Garamond"/>
      <charset val="204"/>
    </font>
    <font>
      <sz val="8"/>
      <name val="Times New Roman"/>
      <charset val="204"/>
    </font>
    <font>
      <sz val="6"/>
      <name val="Garamond"/>
      <charset val="204"/>
    </font>
    <font>
      <b/>
      <sz val="10"/>
      <name val="Arial Cyr"/>
      <charset val="204"/>
    </font>
    <font>
      <b/>
      <sz val="10"/>
      <color indexed="12"/>
      <name val="Arial Cyr"/>
      <charset val="204"/>
    </font>
    <font>
      <b/>
      <sz val="10"/>
      <color indexed="18"/>
      <name val="Times New Roman"/>
      <charset val="204"/>
    </font>
    <font>
      <sz val="10"/>
      <color indexed="18"/>
      <name val="Times New Roman"/>
      <charset val="204"/>
    </font>
    <font>
      <sz val="10"/>
      <color indexed="10"/>
      <name val="Times New Roman"/>
      <charset val="204"/>
    </font>
    <font>
      <sz val="8"/>
      <color indexed="12"/>
      <name val="Times New Roman"/>
      <charset val="204"/>
    </font>
    <font>
      <sz val="10"/>
      <color indexed="10"/>
      <name val="Arial Cyr"/>
      <charset val="204"/>
    </font>
    <font>
      <sz val="10"/>
      <color indexed="12"/>
      <name val="Arial Cyr"/>
      <charset val="204"/>
    </font>
    <font>
      <i/>
      <sz val="8"/>
      <name val="Garamond"/>
      <charset val="204"/>
    </font>
    <font>
      <sz val="8"/>
      <color indexed="9"/>
      <name val="Garamond"/>
      <charset val="204"/>
    </font>
    <font>
      <i/>
      <sz val="8"/>
      <color indexed="12"/>
      <name val="Times New Roman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6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4" fontId="2" fillId="3" borderId="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20" fontId="2" fillId="3" borderId="1" xfId="0" applyNumberFormat="1" applyFont="1" applyFill="1" applyBorder="1" applyAlignment="1">
      <alignment horizontal="center" vertical="center"/>
    </xf>
    <xf numFmtId="0" fontId="7" fillId="0" borderId="2" xfId="0" applyFont="1" applyBorder="1" applyAlignment="1"/>
    <xf numFmtId="165" fontId="7" fillId="4" borderId="2" xfId="0" applyNumberFormat="1" applyFont="1" applyFill="1" applyBorder="1" applyAlignment="1">
      <alignment horizontal="center"/>
    </xf>
    <xf numFmtId="165" fontId="8" fillId="0" borderId="2" xfId="0" applyNumberFormat="1" applyFont="1" applyBorder="1" applyAlignment="1">
      <alignment horizontal="center"/>
    </xf>
    <xf numFmtId="1" fontId="7" fillId="4" borderId="2" xfId="0" applyNumberFormat="1" applyFont="1" applyFill="1" applyBorder="1" applyAlignment="1">
      <alignment horizontal="center"/>
    </xf>
    <xf numFmtId="1" fontId="8" fillId="0" borderId="2" xfId="0" applyNumberFormat="1" applyFon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 applyAlignment="1"/>
    <xf numFmtId="1" fontId="6" fillId="0" borderId="2" xfId="0" applyNumberFormat="1" applyFont="1" applyBorder="1" applyAlignment="1">
      <alignment horizontal="center"/>
    </xf>
    <xf numFmtId="0" fontId="10" fillId="0" borderId="2" xfId="0" applyFont="1" applyBorder="1" applyAlignment="1"/>
    <xf numFmtId="1" fontId="11" fillId="0" borderId="2" xfId="0" applyNumberFormat="1" applyFont="1" applyBorder="1" applyAlignment="1">
      <alignment horizontal="center"/>
    </xf>
    <xf numFmtId="0" fontId="9" fillId="0" borderId="2" xfId="0" applyFont="1" applyBorder="1" applyAlignment="1"/>
    <xf numFmtId="0" fontId="10" fillId="0" borderId="2" xfId="0" applyFont="1" applyBorder="1" applyAlignment="1"/>
    <xf numFmtId="0" fontId="12" fillId="5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/>
    <xf numFmtId="1" fontId="7" fillId="4" borderId="3" xfId="0" applyNumberFormat="1" applyFont="1" applyFill="1" applyBorder="1" applyAlignment="1">
      <alignment horizontal="center"/>
    </xf>
    <xf numFmtId="1" fontId="7" fillId="4" borderId="4" xfId="0" applyNumberFormat="1" applyFont="1" applyFill="1" applyBorder="1" applyAlignment="1">
      <alignment horizontal="center"/>
    </xf>
    <xf numFmtId="0" fontId="13" fillId="0" borderId="2" xfId="0" applyFont="1" applyBorder="1" applyAlignment="1">
      <alignment vertical="top"/>
    </xf>
    <xf numFmtId="1" fontId="14" fillId="0" borderId="2" xfId="0" applyNumberFormat="1" applyFont="1" applyBorder="1" applyAlignment="1">
      <alignment horizontal="center" vertical="top"/>
    </xf>
    <xf numFmtId="1" fontId="14" fillId="0" borderId="4" xfId="0" applyNumberFormat="1" applyFont="1" applyBorder="1" applyAlignment="1">
      <alignment horizontal="center"/>
    </xf>
    <xf numFmtId="0" fontId="15" fillId="6" borderId="2" xfId="0" applyFont="1" applyFill="1" applyBorder="1" applyAlignment="1"/>
    <xf numFmtId="1" fontId="16" fillId="6" borderId="2" xfId="0" applyNumberFormat="1" applyFont="1" applyFill="1" applyBorder="1" applyAlignment="1">
      <alignment horizontal="center"/>
    </xf>
    <xf numFmtId="1" fontId="17" fillId="3" borderId="4" xfId="0" applyNumberFormat="1" applyFont="1" applyFill="1" applyBorder="1" applyAlignment="1">
      <alignment horizontal="center"/>
    </xf>
    <xf numFmtId="0" fontId="18" fillId="6" borderId="2" xfId="0" applyFont="1" applyFill="1" applyBorder="1" applyAlignment="1">
      <alignment vertical="top"/>
    </xf>
    <xf numFmtId="1" fontId="14" fillId="6" borderId="2" xfId="0" applyNumberFormat="1" applyFont="1" applyFill="1" applyBorder="1" applyAlignment="1">
      <alignment horizontal="center" vertical="top"/>
    </xf>
    <xf numFmtId="1" fontId="7" fillId="7" borderId="4" xfId="0" applyNumberFormat="1" applyFont="1" applyFill="1" applyBorder="1" applyAlignment="1">
      <alignment horizontal="center"/>
    </xf>
    <xf numFmtId="0" fontId="19" fillId="6" borderId="2" xfId="0" applyFont="1" applyFill="1" applyBorder="1" applyAlignment="1"/>
    <xf numFmtId="1" fontId="20" fillId="6" borderId="2" xfId="0" applyNumberFormat="1" applyFont="1" applyFill="1" applyBorder="1" applyAlignment="1">
      <alignment horizontal="center"/>
    </xf>
    <xf numFmtId="1" fontId="20" fillId="6" borderId="4" xfId="0" applyNumberFormat="1" applyFont="1" applyFill="1" applyBorder="1" applyAlignment="1">
      <alignment horizontal="center"/>
    </xf>
    <xf numFmtId="0" fontId="21" fillId="6" borderId="2" xfId="0" applyFont="1" applyFill="1" applyBorder="1" applyAlignment="1"/>
    <xf numFmtId="165" fontId="6" fillId="6" borderId="2" xfId="0" applyNumberFormat="1" applyFont="1" applyFill="1" applyBorder="1" applyAlignment="1">
      <alignment horizontal="center"/>
    </xf>
    <xf numFmtId="165" fontId="6" fillId="0" borderId="4" xfId="0" applyNumberFormat="1" applyFont="1" applyFill="1" applyBorder="1" applyAlignment="1">
      <alignment horizontal="center"/>
    </xf>
    <xf numFmtId="0" fontId="9" fillId="6" borderId="2" xfId="0" applyFont="1" applyFill="1" applyBorder="1" applyAlignment="1"/>
    <xf numFmtId="1" fontId="6" fillId="6" borderId="2" xfId="0" applyNumberFormat="1" applyFont="1" applyFill="1" applyBorder="1" applyAlignment="1">
      <alignment horizontal="center"/>
    </xf>
    <xf numFmtId="1" fontId="6" fillId="6" borderId="4" xfId="0" applyNumberFormat="1" applyFont="1" applyFill="1" applyBorder="1" applyAlignment="1">
      <alignment horizontal="center"/>
    </xf>
    <xf numFmtId="0" fontId="9" fillId="4" borderId="2" xfId="0" applyFont="1" applyFill="1" applyBorder="1" applyAlignment="1"/>
    <xf numFmtId="166" fontId="6" fillId="4" borderId="2" xfId="0" applyNumberFormat="1" applyFont="1" applyFill="1" applyBorder="1" applyAlignment="1">
      <alignment horizontal="center"/>
    </xf>
    <xf numFmtId="166" fontId="6" fillId="4" borderId="4" xfId="0" applyNumberFormat="1" applyFont="1" applyFill="1" applyBorder="1" applyAlignment="1">
      <alignment horizontal="center"/>
    </xf>
    <xf numFmtId="0" fontId="9" fillId="3" borderId="2" xfId="0" applyFont="1" applyFill="1" applyBorder="1" applyAlignment="1"/>
    <xf numFmtId="165" fontId="6" fillId="3" borderId="2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0" fontId="6" fillId="0" borderId="0" xfId="0" applyFont="1" applyAlignment="1"/>
    <xf numFmtId="0" fontId="9" fillId="0" borderId="0" xfId="0" applyFont="1" applyAlignment="1">
      <alignment horizontal="center"/>
    </xf>
    <xf numFmtId="0" fontId="3" fillId="8" borderId="0" xfId="0" applyFont="1" applyFill="1" applyBorder="1" applyAlignment="1">
      <alignment horizontal="left" vertical="center"/>
    </xf>
    <xf numFmtId="0" fontId="22" fillId="9" borderId="0" xfId="0" applyFont="1" applyFill="1" applyAlignment="1">
      <alignment horizontal="center"/>
    </xf>
    <xf numFmtId="0" fontId="9" fillId="0" borderId="0" xfId="0" applyFont="1" applyAlignment="1">
      <alignment horizontal="right"/>
    </xf>
    <xf numFmtId="0" fontId="23" fillId="9" borderId="2" xfId="0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2" fillId="10" borderId="0" xfId="0" applyFont="1" applyFill="1" applyAlignment="1" applyProtection="1">
      <alignment horizontal="center"/>
      <protection locked="0"/>
    </xf>
    <xf numFmtId="0" fontId="9" fillId="0" borderId="0" xfId="0" applyFont="1" applyFill="1" applyAlignment="1">
      <alignment horizontal="right"/>
    </xf>
    <xf numFmtId="2" fontId="6" fillId="6" borderId="2" xfId="0" applyNumberFormat="1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164" fontId="6" fillId="11" borderId="6" xfId="0" applyNumberFormat="1" applyFont="1" applyFill="1" applyBorder="1" applyAlignment="1">
      <alignment horizontal="left"/>
    </xf>
    <xf numFmtId="164" fontId="6" fillId="11" borderId="7" xfId="0" applyNumberFormat="1" applyFont="1" applyFill="1" applyBorder="1" applyAlignment="1"/>
    <xf numFmtId="0" fontId="6" fillId="11" borderId="7" xfId="0" applyFont="1" applyFill="1" applyBorder="1" applyAlignment="1"/>
    <xf numFmtId="0" fontId="24" fillId="11" borderId="7" xfId="0" applyFont="1" applyFill="1" applyBorder="1" applyAlignment="1"/>
    <xf numFmtId="164" fontId="6" fillId="11" borderId="7" xfId="0" applyNumberFormat="1" applyFont="1" applyFill="1" applyBorder="1" applyAlignment="1">
      <alignment horizontal="left"/>
    </xf>
    <xf numFmtId="1" fontId="5" fillId="0" borderId="7" xfId="0" applyNumberFormat="1" applyFont="1" applyFill="1" applyBorder="1" applyAlignment="1">
      <alignment horizontal="center" vertical="center"/>
    </xf>
    <xf numFmtId="20" fontId="6" fillId="11" borderId="8" xfId="0" applyNumberFormat="1" applyFont="1" applyFill="1" applyBorder="1" applyAlignment="1">
      <alignment horizontal="center"/>
    </xf>
    <xf numFmtId="0" fontId="6" fillId="11" borderId="9" xfId="0" applyFont="1" applyFill="1" applyBorder="1" applyAlignment="1">
      <alignment horizontal="left"/>
    </xf>
    <xf numFmtId="0" fontId="6" fillId="11" borderId="0" xfId="0" applyFont="1" applyFill="1" applyBorder="1" applyAlignment="1"/>
    <xf numFmtId="0" fontId="24" fillId="11" borderId="0" xfId="0" applyFont="1" applyFill="1" applyBorder="1" applyAlignment="1"/>
    <xf numFmtId="0" fontId="24" fillId="11" borderId="10" xfId="0" applyFont="1" applyFill="1" applyBorder="1" applyAlignment="1"/>
    <xf numFmtId="0" fontId="6" fillId="11" borderId="9" xfId="0" applyFont="1" applyFill="1" applyBorder="1" applyAlignment="1"/>
    <xf numFmtId="0" fontId="24" fillId="0" borderId="0" xfId="0" applyFont="1" applyFill="1" applyBorder="1" applyAlignment="1"/>
    <xf numFmtId="0" fontId="6" fillId="11" borderId="0" xfId="0" applyFont="1" applyFill="1" applyBorder="1" applyAlignment="1">
      <alignment horizontal="right"/>
    </xf>
    <xf numFmtId="0" fontId="6" fillId="11" borderId="11" xfId="0" applyFont="1" applyFill="1" applyBorder="1" applyAlignment="1"/>
    <xf numFmtId="0" fontId="6" fillId="11" borderId="1" xfId="0" applyFont="1" applyFill="1" applyBorder="1" applyAlignment="1"/>
    <xf numFmtId="0" fontId="24" fillId="11" borderId="1" xfId="0" applyFont="1" applyFill="1" applyBorder="1" applyAlignment="1"/>
    <xf numFmtId="0" fontId="24" fillId="11" borderId="12" xfId="0" applyFont="1" applyFill="1" applyBorder="1" applyAlignment="1"/>
    <xf numFmtId="0" fontId="26" fillId="3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4" fillId="0" borderId="0" xfId="0" applyFont="1" applyFill="1" applyAlignment="1"/>
    <xf numFmtId="2" fontId="27" fillId="0" borderId="0" xfId="0" applyNumberFormat="1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" fontId="3" fillId="6" borderId="2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1" fontId="3" fillId="8" borderId="2" xfId="0" applyNumberFormat="1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1" fontId="3" fillId="12" borderId="2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" fontId="1" fillId="4" borderId="0" xfId="0" applyNumberFormat="1" applyFont="1" applyFill="1" applyBorder="1" applyAlignment="1">
      <alignment horizontal="center" vertical="center"/>
    </xf>
    <xf numFmtId="0" fontId="27" fillId="4" borderId="2" xfId="0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24" fillId="0" borderId="0" xfId="0" applyFont="1" applyAlignment="1">
      <alignment horizontal="center"/>
    </xf>
    <xf numFmtId="0" fontId="28" fillId="0" borderId="0" xfId="0" applyFont="1" applyAlignment="1"/>
    <xf numFmtId="1" fontId="24" fillId="5" borderId="0" xfId="0" applyNumberFormat="1" applyFont="1" applyFill="1" applyAlignment="1">
      <alignment horizontal="center"/>
    </xf>
    <xf numFmtId="165" fontId="24" fillId="5" borderId="0" xfId="0" applyNumberFormat="1" applyFont="1" applyFill="1" applyAlignment="1">
      <alignment horizontal="center"/>
    </xf>
    <xf numFmtId="0" fontId="28" fillId="0" borderId="0" xfId="0" applyFont="1" applyAlignment="1">
      <alignment horizontal="center"/>
    </xf>
    <xf numFmtId="0" fontId="24" fillId="5" borderId="0" xfId="0" applyFont="1" applyFill="1" applyAlignment="1">
      <alignment horizontal="center"/>
    </xf>
    <xf numFmtId="165" fontId="24" fillId="0" borderId="0" xfId="0" applyNumberFormat="1" applyFont="1" applyAlignment="1">
      <alignment horizontal="center"/>
    </xf>
    <xf numFmtId="0" fontId="24" fillId="4" borderId="0" xfId="0" applyFont="1" applyFill="1" applyAlignment="1">
      <alignment horizontal="center"/>
    </xf>
    <xf numFmtId="165" fontId="24" fillId="4" borderId="0" xfId="0" applyNumberFormat="1" applyFont="1" applyFill="1" applyAlignment="1">
      <alignment horizontal="center"/>
    </xf>
    <xf numFmtId="1" fontId="24" fillId="3" borderId="0" xfId="0" applyNumberFormat="1" applyFont="1" applyFill="1" applyAlignment="1">
      <alignment horizontal="center"/>
    </xf>
    <xf numFmtId="165" fontId="24" fillId="3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1" fontId="24" fillId="0" borderId="0" xfId="0" applyNumberFormat="1" applyFont="1" applyAlignment="1"/>
    <xf numFmtId="0" fontId="29" fillId="0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164" fontId="30" fillId="0" borderId="0" xfId="0" applyNumberFormat="1" applyFont="1" applyFill="1" applyBorder="1" applyAlignment="1">
      <alignment horizontal="center" vertical="center"/>
    </xf>
    <xf numFmtId="20" fontId="31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/>
    <xf numFmtId="165" fontId="32" fillId="0" borderId="0" xfId="0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" fontId="32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165" fontId="24" fillId="0" borderId="0" xfId="0" applyNumberFormat="1" applyFont="1" applyAlignment="1">
      <alignment horizontal="center" vertical="center"/>
    </xf>
    <xf numFmtId="0" fontId="33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top"/>
    </xf>
    <xf numFmtId="0" fontId="15" fillId="0" borderId="0" xfId="0" applyFont="1" applyFill="1" applyBorder="1" applyAlignment="1"/>
    <xf numFmtId="1" fontId="1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top"/>
    </xf>
    <xf numFmtId="1" fontId="7" fillId="0" borderId="0" xfId="0" applyNumberFormat="1" applyFont="1" applyFill="1" applyBorder="1" applyAlignment="1">
      <alignment horizontal="center" vertical="top"/>
    </xf>
    <xf numFmtId="0" fontId="19" fillId="0" borderId="0" xfId="0" applyFont="1" applyFill="1" applyBorder="1" applyAlignment="1"/>
    <xf numFmtId="1" fontId="20" fillId="0" borderId="0" xfId="0" applyNumberFormat="1" applyFont="1" applyFill="1" applyBorder="1" applyAlignment="1">
      <alignment horizontal="center"/>
    </xf>
    <xf numFmtId="0" fontId="21" fillId="0" borderId="0" xfId="0" applyFont="1" applyFill="1" applyBorder="1" applyAlignment="1"/>
    <xf numFmtId="165" fontId="6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1" fontId="6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right"/>
    </xf>
    <xf numFmtId="165" fontId="28" fillId="0" borderId="0" xfId="0" applyNumberFormat="1" applyFont="1" applyAlignment="1">
      <alignment horizontal="center"/>
    </xf>
    <xf numFmtId="0" fontId="3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1" fontId="34" fillId="0" borderId="0" xfId="0" applyNumberFormat="1" applyFont="1" applyFill="1" applyAlignment="1">
      <alignment horizontal="center"/>
    </xf>
    <xf numFmtId="0" fontId="34" fillId="0" borderId="0" xfId="0" applyFont="1" applyAlignment="1">
      <alignment horizontal="right"/>
    </xf>
    <xf numFmtId="0" fontId="34" fillId="0" borderId="0" xfId="0" applyFont="1" applyFill="1" applyAlignment="1">
      <alignment horizontal="center"/>
    </xf>
    <xf numFmtId="0" fontId="35" fillId="0" borderId="0" xfId="0" applyFont="1" applyAlignment="1">
      <alignment horizontal="right"/>
    </xf>
    <xf numFmtId="165" fontId="35" fillId="0" borderId="0" xfId="0" applyNumberFormat="1" applyFont="1" applyAlignment="1">
      <alignment horizontal="center"/>
    </xf>
    <xf numFmtId="165" fontId="24" fillId="0" borderId="0" xfId="0" applyNumberFormat="1" applyFont="1" applyAlignment="1"/>
    <xf numFmtId="0" fontId="24" fillId="0" borderId="1" xfId="0" applyFont="1" applyBorder="1" applyAlignment="1">
      <alignment horizontal="right"/>
    </xf>
    <xf numFmtId="1" fontId="24" fillId="0" borderId="1" xfId="0" applyNumberFormat="1" applyFont="1" applyBorder="1" applyAlignment="1"/>
    <xf numFmtId="0" fontId="24" fillId="0" borderId="1" xfId="0" applyFont="1" applyBorder="1" applyAlignment="1"/>
    <xf numFmtId="1" fontId="24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0" xfId="0" applyFont="1" applyFill="1" applyBorder="1" applyAlignment="1">
      <alignment horizontal="right"/>
    </xf>
    <xf numFmtId="166" fontId="24" fillId="0" borderId="0" xfId="0" applyNumberFormat="1" applyFont="1" applyAlignment="1">
      <alignment horizontal="center"/>
    </xf>
    <xf numFmtId="165" fontId="24" fillId="0" borderId="0" xfId="0" applyNumberFormat="1" applyFont="1" applyAlignment="1">
      <alignment horizontal="right"/>
    </xf>
    <xf numFmtId="165" fontId="35" fillId="0" borderId="0" xfId="0" applyNumberFormat="1" applyFont="1" applyAlignment="1"/>
    <xf numFmtId="0" fontId="35" fillId="0" borderId="0" xfId="0" applyFont="1" applyAlignment="1"/>
    <xf numFmtId="2" fontId="24" fillId="0" borderId="0" xfId="0" applyNumberFormat="1" applyFont="1" applyAlignment="1">
      <alignment horizontal="center"/>
    </xf>
    <xf numFmtId="0" fontId="3" fillId="13" borderId="0" xfId="0" applyFont="1" applyFill="1" applyAlignment="1">
      <alignment horizontal="left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9" fontId="27" fillId="0" borderId="0" xfId="0" applyNumberFormat="1" applyFont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8" borderId="0" xfId="0" applyFont="1" applyFill="1" applyAlignment="1">
      <alignment horizontal="center" vertic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1" fontId="3" fillId="12" borderId="0" xfId="0" applyNumberFormat="1" applyFont="1" applyFill="1" applyBorder="1" applyAlignment="1">
      <alignment horizontal="center" vertical="center"/>
    </xf>
    <xf numFmtId="1" fontId="3" fillId="12" borderId="0" xfId="0" applyNumberFormat="1" applyFont="1" applyFill="1" applyAlignment="1">
      <alignment horizontal="center" vertical="center"/>
    </xf>
    <xf numFmtId="0" fontId="27" fillId="4" borderId="0" xfId="0" applyFont="1" applyFill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1" fontId="36" fillId="14" borderId="2" xfId="0" applyNumberFormat="1" applyFont="1" applyFill="1" applyBorder="1" applyAlignment="1">
      <alignment horizontal="center"/>
    </xf>
    <xf numFmtId="1" fontId="36" fillId="12" borderId="2" xfId="0" applyNumberFormat="1" applyFont="1" applyFill="1" applyBorder="1" applyAlignment="1">
      <alignment horizontal="center"/>
    </xf>
    <xf numFmtId="0" fontId="27" fillId="4" borderId="0" xfId="0" applyFont="1" applyFill="1" applyAlignment="1">
      <alignment horizontal="right" vertical="center"/>
    </xf>
    <xf numFmtId="0" fontId="27" fillId="0" borderId="0" xfId="0" applyFont="1" applyAlignment="1">
      <alignment horizontal="left" vertical="center"/>
    </xf>
    <xf numFmtId="1" fontId="3" fillId="3" borderId="0" xfId="0" applyNumberFormat="1" applyFont="1" applyFill="1" applyBorder="1" applyAlignment="1">
      <alignment horizontal="center" vertical="center"/>
    </xf>
    <xf numFmtId="1" fontId="3" fillId="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65" fontId="37" fillId="0" borderId="0" xfId="0" applyNumberFormat="1" applyFont="1" applyFill="1" applyAlignment="1">
      <alignment horizontal="center" vertical="center"/>
    </xf>
    <xf numFmtId="165" fontId="3" fillId="13" borderId="0" xfId="0" applyNumberFormat="1" applyFon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2" fontId="3" fillId="13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82247469490564E-2"/>
          <c:y val="5.7286971359984964E-2"/>
          <c:w val="0.72208044860534171"/>
          <c:h val="0.830693477364916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Лист3!$D$37</c:f>
              <c:strCache>
                <c:ptCount val="1"/>
                <c:pt idx="0">
                  <c:v>утро</c:v>
                </c:pt>
              </c:strCache>
            </c:strRef>
          </c:tx>
          <c:spPr>
            <a:ln>
              <a:solidFill>
                <a:srgbClr val="FF0000">
                  <a:alpha val="56000"/>
                </a:srgbClr>
              </a:solidFill>
            </a:ln>
          </c:spPr>
          <c:marker>
            <c:symbol val="circle"/>
            <c:size val="12"/>
            <c:spPr>
              <a:solidFill>
                <a:srgbClr val="7030A0">
                  <a:alpha val="47000"/>
                </a:srgbClr>
              </a:solidFill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>
                    <a:latin typeface="Garamond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Лист3!$E$37</c:f>
              <c:numCache>
                <c:formatCode>0</c:formatCode>
                <c:ptCount val="1"/>
                <c:pt idx="0">
                  <c:v>102.8643546971027</c:v>
                </c:pt>
              </c:numCache>
            </c:numRef>
          </c:xVal>
          <c:yVal>
            <c:numRef>
              <c:f>Лист3!$F$37</c:f>
              <c:numCache>
                <c:formatCode>0</c:formatCode>
                <c:ptCount val="1"/>
                <c:pt idx="0">
                  <c:v>99.121590383726328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Лист3!$D$38</c:f>
              <c:strCache>
                <c:ptCount val="1"/>
                <c:pt idx="0">
                  <c:v>лежа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8"/>
            <c:spPr>
              <a:solidFill>
                <a:srgbClr val="00B050"/>
              </a:solidFill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>
                    <a:latin typeface="Garamond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Лист3!$E$38</c:f>
              <c:numCache>
                <c:formatCode>0</c:formatCode>
                <c:ptCount val="1"/>
                <c:pt idx="0">
                  <c:v>102.8643546971027</c:v>
                </c:pt>
              </c:numCache>
            </c:numRef>
          </c:xVal>
          <c:yVal>
            <c:numRef>
              <c:f>Лист3!$F$38</c:f>
              <c:numCache>
                <c:formatCode>0</c:formatCode>
                <c:ptCount val="1"/>
                <c:pt idx="0">
                  <c:v>99.121590383726328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Лист3!$D$39</c:f>
              <c:strCache>
                <c:ptCount val="1"/>
                <c:pt idx="0">
                  <c:v>стоя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square"/>
            <c:size val="7"/>
            <c:spPr>
              <a:solidFill>
                <a:srgbClr val="00B050">
                  <a:alpha val="64000"/>
                </a:srgbClr>
              </a:solidFill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>
                    <a:latin typeface="Garamond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Лист3!$E$39</c:f>
              <c:numCache>
                <c:formatCode>0</c:formatCode>
                <c:ptCount val="1"/>
                <c:pt idx="0">
                  <c:v>84.167454891584157</c:v>
                </c:pt>
              </c:numCache>
            </c:numRef>
          </c:xVal>
          <c:yVal>
            <c:numRef>
              <c:f>Лист3!$F$39</c:f>
              <c:numCache>
                <c:formatCode>0</c:formatCode>
                <c:ptCount val="1"/>
                <c:pt idx="0">
                  <c:v>121.14039143165358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Лист3!$D$40</c:f>
              <c:strCache>
                <c:ptCount val="1"/>
                <c:pt idx="0">
                  <c:v>сидя</c:v>
                </c:pt>
              </c:strCache>
            </c:strRef>
          </c:tx>
          <c:marker>
            <c:symbol val="diamond"/>
            <c:size val="7"/>
            <c:spPr>
              <a:solidFill>
                <a:srgbClr val="FFC000">
                  <a:alpha val="64000"/>
                </a:srgbClr>
              </a:solidFill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>
                    <a:latin typeface="Garamond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Лист3!$E$40</c:f>
              <c:numCache>
                <c:formatCode>0</c:formatCode>
                <c:ptCount val="1"/>
                <c:pt idx="0">
                  <c:v>89.80489466257967</c:v>
                </c:pt>
              </c:numCache>
            </c:numRef>
          </c:xVal>
          <c:yVal>
            <c:numRef>
              <c:f>Лист3!$F$40</c:f>
              <c:numCache>
                <c:formatCode>0</c:formatCode>
                <c:ptCount val="1"/>
                <c:pt idx="0">
                  <c:v>111.78918169209433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Лист3!$D$41</c:f>
              <c:strCache>
                <c:ptCount val="1"/>
                <c:pt idx="0">
                  <c:v>задержка</c:v>
                </c:pt>
              </c:strCache>
            </c:strRef>
          </c:tx>
          <c:marker>
            <c:symbol val="circle"/>
            <c:size val="7"/>
            <c:spPr>
              <a:solidFill>
                <a:srgbClr val="00B0F0">
                  <a:alpha val="65000"/>
                </a:srgbClr>
              </a:solidFill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>
                    <a:latin typeface="Garamond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Лист3!$E$41</c:f>
              <c:numCache>
                <c:formatCode>0</c:formatCode>
                <c:ptCount val="1"/>
                <c:pt idx="0">
                  <c:v>99.94768916904242</c:v>
                </c:pt>
              </c:numCache>
            </c:numRef>
          </c:xVal>
          <c:yVal>
            <c:numRef>
              <c:f>Лист3!$F$41</c:f>
              <c:numCache>
                <c:formatCode>0</c:formatCode>
                <c:ptCount val="1"/>
                <c:pt idx="0">
                  <c:v>103.97595931576518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Лист3!$D$42</c:f>
              <c:strCache>
                <c:ptCount val="1"/>
                <c:pt idx="0">
                  <c:v>нагрузка</c:v>
                </c:pt>
              </c:strCache>
            </c:strRef>
          </c:tx>
          <c:marker>
            <c:symbol val="square"/>
            <c:size val="7"/>
            <c:spPr>
              <a:solidFill>
                <a:srgbClr val="FF0000">
                  <a:alpha val="64000"/>
                </a:srgbClr>
              </a:solidFill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>
                    <a:latin typeface="Garamond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Лист3!$E$42</c:f>
              <c:numCache>
                <c:formatCode>0</c:formatCode>
                <c:ptCount val="1"/>
                <c:pt idx="0">
                  <c:v>68.969141561462976</c:v>
                </c:pt>
              </c:numCache>
            </c:numRef>
          </c:xVal>
          <c:yVal>
            <c:numRef>
              <c:f>Лист3!$F$42</c:f>
              <c:numCache>
                <c:formatCode>0</c:formatCode>
                <c:ptCount val="1"/>
                <c:pt idx="0">
                  <c:v>153.52134381260595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Лист3!$D$43</c:f>
              <c:strCache>
                <c:ptCount val="1"/>
                <c:pt idx="0">
                  <c:v>1 мин</c:v>
                </c:pt>
              </c:strCache>
            </c:strRef>
          </c:tx>
          <c:marker>
            <c:symbol val="triangle"/>
            <c:size val="7"/>
            <c:spPr>
              <a:solidFill>
                <a:srgbClr val="FF0000">
                  <a:alpha val="62000"/>
                </a:srgbClr>
              </a:solidFill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>
                    <a:latin typeface="Garamond" pitchFamily="18" charset="0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Лист3!$E$43</c:f>
              <c:numCache>
                <c:formatCode>0</c:formatCode>
                <c:ptCount val="1"/>
                <c:pt idx="0">
                  <c:v>93.065491783758006</c:v>
                </c:pt>
              </c:numCache>
            </c:numRef>
          </c:xVal>
          <c:yVal>
            <c:numRef>
              <c:f>Лист3!$F$43</c:f>
              <c:numCache>
                <c:formatCode>0</c:formatCode>
                <c:ptCount val="1"/>
                <c:pt idx="0">
                  <c:v>114.19325011558024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111585152"/>
        <c:axId val="111586688"/>
      </c:scatterChart>
      <c:valAx>
        <c:axId val="111585152"/>
        <c:scaling>
          <c:orientation val="minMax"/>
          <c:max val="300"/>
          <c:min val="0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endParaRPr lang="ru-RU"/>
          </a:p>
        </c:txPr>
        <c:crossAx val="111586688"/>
        <c:crosses val="autoZero"/>
        <c:crossBetween val="midCat"/>
      </c:valAx>
      <c:valAx>
        <c:axId val="111586688"/>
        <c:scaling>
          <c:orientation val="minMax"/>
          <c:max val="300"/>
          <c:min val="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aramond" pitchFamily="18" charset="0"/>
                <a:ea typeface="Arial Cyr"/>
                <a:cs typeface="Arial Cyr"/>
              </a:defRPr>
            </a:pPr>
            <a:endParaRPr lang="ru-RU"/>
          </a:p>
        </c:txPr>
        <c:crossAx val="1115851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471910569553058"/>
          <c:y val="4.2553324114831682E-2"/>
          <c:w val="0.21593352190733231"/>
          <c:h val="0.8468111498851494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Garamond" pitchFamily="18" charset="0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44" r="0.75000000000000044" t="1" header="0.5" footer="0.5"/>
    <c:pageSetup orientation="landscape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078341013824955E-2"/>
          <c:y val="6.9060773480663029E-2"/>
          <c:w val="0.75010953239783595"/>
          <c:h val="0.817679558011049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Лист3!$E$36</c:f>
              <c:strCache>
                <c:ptCount val="1"/>
                <c:pt idx="0">
                  <c:v>ипс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Лист3!$D$37:$D$43</c:f>
              <c:strCache>
                <c:ptCount val="7"/>
                <c:pt idx="0">
                  <c:v>утро</c:v>
                </c:pt>
                <c:pt idx="1">
                  <c:v>лежа</c:v>
                </c:pt>
                <c:pt idx="2">
                  <c:v>стоя</c:v>
                </c:pt>
                <c:pt idx="3">
                  <c:v>сидя</c:v>
                </c:pt>
                <c:pt idx="4">
                  <c:v>задержка</c:v>
                </c:pt>
                <c:pt idx="5">
                  <c:v>нагрузка</c:v>
                </c:pt>
                <c:pt idx="6">
                  <c:v>1 мин</c:v>
                </c:pt>
              </c:strCache>
            </c:strRef>
          </c:xVal>
          <c:yVal>
            <c:numRef>
              <c:f>Лист3!$E$37:$E$43</c:f>
              <c:numCache>
                <c:formatCode>0</c:formatCode>
                <c:ptCount val="7"/>
                <c:pt idx="0">
                  <c:v>102.8643546971027</c:v>
                </c:pt>
                <c:pt idx="1">
                  <c:v>102.8643546971027</c:v>
                </c:pt>
                <c:pt idx="2">
                  <c:v>84.167454891584157</c:v>
                </c:pt>
                <c:pt idx="3">
                  <c:v>89.80489466257967</c:v>
                </c:pt>
                <c:pt idx="4">
                  <c:v>99.94768916904242</c:v>
                </c:pt>
                <c:pt idx="5">
                  <c:v>68.969141561462976</c:v>
                </c:pt>
                <c:pt idx="6">
                  <c:v>93.065491783758006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Лист3!$F$36</c:f>
              <c:strCache>
                <c:ptCount val="1"/>
                <c:pt idx="0">
                  <c:v>ик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Лист3!$D$37:$D$43</c:f>
              <c:strCache>
                <c:ptCount val="7"/>
                <c:pt idx="0">
                  <c:v>утро</c:v>
                </c:pt>
                <c:pt idx="1">
                  <c:v>лежа</c:v>
                </c:pt>
                <c:pt idx="2">
                  <c:v>стоя</c:v>
                </c:pt>
                <c:pt idx="3">
                  <c:v>сидя</c:v>
                </c:pt>
                <c:pt idx="4">
                  <c:v>задержка</c:v>
                </c:pt>
                <c:pt idx="5">
                  <c:v>нагрузка</c:v>
                </c:pt>
                <c:pt idx="6">
                  <c:v>1 мин</c:v>
                </c:pt>
              </c:strCache>
            </c:strRef>
          </c:xVal>
          <c:yVal>
            <c:numRef>
              <c:f>Лист3!$F$37:$F$43</c:f>
              <c:numCache>
                <c:formatCode>0</c:formatCode>
                <c:ptCount val="7"/>
                <c:pt idx="0">
                  <c:v>99.121590383726328</c:v>
                </c:pt>
                <c:pt idx="1">
                  <c:v>99.121590383726328</c:v>
                </c:pt>
                <c:pt idx="2">
                  <c:v>121.14039143165358</c:v>
                </c:pt>
                <c:pt idx="3">
                  <c:v>111.78918169209433</c:v>
                </c:pt>
                <c:pt idx="4">
                  <c:v>103.97595931576518</c:v>
                </c:pt>
                <c:pt idx="5">
                  <c:v>153.52134381260595</c:v>
                </c:pt>
                <c:pt idx="6">
                  <c:v>114.19325011558024</c:v>
                </c:pt>
              </c:numCache>
            </c:numRef>
          </c:yVal>
          <c:smooth val="1"/>
        </c:ser>
        <c:dLbls>
          <c:showLegendKey val="0"/>
          <c:showVal val="0"/>
          <c:showCatName val="1"/>
          <c:showSerName val="0"/>
          <c:showPercent val="0"/>
          <c:showBubbleSize val="0"/>
        </c:dLbls>
        <c:axId val="112997120"/>
        <c:axId val="112998656"/>
      </c:scatterChart>
      <c:valAx>
        <c:axId val="11299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endParaRPr lang="ru-RU"/>
          </a:p>
        </c:txPr>
        <c:crossAx val="112998656"/>
        <c:crosses val="autoZero"/>
        <c:crossBetween val="midCat"/>
      </c:valAx>
      <c:valAx>
        <c:axId val="112998656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Garamond" pitchFamily="18" charset="0"/>
                <a:ea typeface="Arial Cyr"/>
                <a:cs typeface="Arial Cyr"/>
              </a:defRPr>
            </a:pPr>
            <a:endParaRPr lang="ru-RU"/>
          </a:p>
        </c:txPr>
        <c:crossAx val="11299712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129237537783"/>
          <c:y val="0.42735131909246293"/>
          <c:w val="0.13934436686358861"/>
          <c:h val="0.104701073177653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Garamond" pitchFamily="18" charset="0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44" r="0.75000000000000044" t="1" header="0.5" footer="0.5"/>
    <c:pageSetup orientation="landscape" copies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37656</xdr:colOff>
      <xdr:row>33</xdr:row>
      <xdr:rowOff>88403</xdr:rowOff>
    </xdr:from>
    <xdr:to>
      <xdr:col>5</xdr:col>
      <xdr:colOff>113709</xdr:colOff>
      <xdr:row>48</xdr:row>
      <xdr:rowOff>126578</xdr:rowOff>
    </xdr:to>
    <xdr:pic>
      <xdr:nvPicPr>
        <xdr:cNvPr id="2" name="Picture 100" descr="IK-1"/>
        <xdr:cNvPicPr/>
      </xdr:nvPicPr>
      <xdr:blipFill>
        <a:blip xmlns:r="http://schemas.openxmlformats.org/officeDocument/2006/relationships" r:embed="rId1"/>
        <a:srcRect l="12914" t="3833" b="10452"/>
        <a:stretch>
          <a:fillRect/>
        </a:stretch>
      </xdr:blipFill>
      <xdr:spPr>
        <a:xfrm>
          <a:off x="647700" y="5661660"/>
          <a:ext cx="2514600" cy="2545080"/>
        </a:xfrm>
        <a:prstGeom prst="rect">
          <a:avLst/>
        </a:prstGeom>
        <a:solidFill>
          <a:srgbClr val="FFFFFF">
            <a:alpha val="27842"/>
          </a:srgbClr>
        </a:solidFill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273936</xdr:colOff>
      <xdr:row>29</xdr:row>
      <xdr:rowOff>126578</xdr:rowOff>
    </xdr:from>
    <xdr:to>
      <xdr:col>6</xdr:col>
      <xdr:colOff>251194</xdr:colOff>
      <xdr:row>51</xdr:row>
      <xdr:rowOff>24779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205523</xdr:colOff>
      <xdr:row>30</xdr:row>
      <xdr:rowOff>0</xdr:rowOff>
    </xdr:from>
    <xdr:to>
      <xdr:col>11</xdr:col>
      <xdr:colOff>563377</xdr:colOff>
      <xdr:row>51</xdr:row>
      <xdr:rowOff>37504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576790</xdr:colOff>
      <xdr:row>42</xdr:row>
      <xdr:rowOff>152027</xdr:rowOff>
    </xdr:from>
    <xdr:to>
      <xdr:col>11</xdr:col>
      <xdr:colOff>22889</xdr:colOff>
      <xdr:row>43</xdr:row>
      <xdr:rowOff>0</xdr:rowOff>
    </xdr:to>
    <xdr:sp macro="" textlink="">
      <xdr:nvSpPr>
        <xdr:cNvPr id="5" name="line"/>
        <xdr:cNvSpPr/>
      </xdr:nvSpPr>
      <xdr:spPr>
        <a:xfrm flipV="1">
          <a:off x="4202983" y="6990121"/>
          <a:ext cx="2710323" cy="17207"/>
        </a:xfrm>
        <a:prstGeom prst="line">
          <a:avLst/>
        </a:prstGeom>
        <a:noFill/>
        <a:ln w="57150" cap="flat" cmpd="sng">
          <a:solidFill>
            <a:srgbClr val="00B05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1</xdr:col>
      <xdr:colOff>40610</xdr:colOff>
      <xdr:row>31</xdr:row>
      <xdr:rowOff>152027</xdr:rowOff>
    </xdr:from>
    <xdr:to>
      <xdr:col>1</xdr:col>
      <xdr:colOff>402412</xdr:colOff>
      <xdr:row>34</xdr:row>
      <xdr:rowOff>12055</xdr:rowOff>
    </xdr:to>
    <xdr:sp macro="" textlink="">
      <xdr:nvSpPr>
        <xdr:cNvPr id="6" name="ellipse"/>
        <xdr:cNvSpPr/>
      </xdr:nvSpPr>
      <xdr:spPr>
        <a:xfrm>
          <a:off x="653482" y="5210515"/>
          <a:ext cx="361950" cy="351405"/>
        </a:xfrm>
        <a:prstGeom prst="ellipse">
          <a:avLst/>
        </a:prstGeom>
        <a:solidFill>
          <a:srgbClr val="FF0000">
            <a:alpha val="58999"/>
          </a:srgbClr>
        </a:solidFill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4</xdr:col>
      <xdr:colOff>399459</xdr:colOff>
      <xdr:row>45</xdr:row>
      <xdr:rowOff>101128</xdr:rowOff>
    </xdr:from>
    <xdr:to>
      <xdr:col>5</xdr:col>
      <xdr:colOff>152104</xdr:colOff>
      <xdr:row>47</xdr:row>
      <xdr:rowOff>126578</xdr:rowOff>
    </xdr:to>
    <xdr:sp macro="" textlink="">
      <xdr:nvSpPr>
        <xdr:cNvPr id="7" name="ellipse"/>
        <xdr:cNvSpPr/>
      </xdr:nvSpPr>
      <xdr:spPr>
        <a:xfrm>
          <a:off x="2838450" y="7581900"/>
          <a:ext cx="361950" cy="352425"/>
        </a:xfrm>
        <a:prstGeom prst="ellipse">
          <a:avLst/>
        </a:prstGeom>
        <a:solidFill>
          <a:srgbClr val="006FC0">
            <a:alpha val="58999"/>
          </a:srgbClr>
        </a:solidFill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96726</xdr:colOff>
      <xdr:row>41</xdr:row>
      <xdr:rowOff>126578</xdr:rowOff>
    </xdr:from>
    <xdr:to>
      <xdr:col>2</xdr:col>
      <xdr:colOff>459267</xdr:colOff>
      <xdr:row>43</xdr:row>
      <xdr:rowOff>152027</xdr:rowOff>
    </xdr:to>
    <xdr:sp macro="" textlink="">
      <xdr:nvSpPr>
        <xdr:cNvPr id="8" name="ellipse"/>
        <xdr:cNvSpPr/>
      </xdr:nvSpPr>
      <xdr:spPr>
        <a:xfrm>
          <a:off x="1317831" y="6892061"/>
          <a:ext cx="361950" cy="355997"/>
        </a:xfrm>
        <a:prstGeom prst="ellipse">
          <a:avLst/>
        </a:prstGeom>
        <a:solidFill>
          <a:srgbClr val="00B050">
            <a:alpha val="25000"/>
          </a:srgbClr>
        </a:solidFill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topLeftCell="A10" zoomScale="80" zoomScaleNormal="80" workbookViewId="0">
      <selection activeCell="M17" sqref="M17"/>
    </sheetView>
  </sheetViews>
  <sheetFormatPr defaultColWidth="10" defaultRowHeight="12.75" x14ac:dyDescent="0.2"/>
  <cols>
    <col min="7" max="7" width="10" customWidth="1"/>
    <col min="8" max="8" width="11" customWidth="1"/>
    <col min="9" max="9" width="8.140625" customWidth="1"/>
    <col min="10" max="10" width="11.28515625" customWidth="1"/>
    <col min="11" max="11" width="10.5703125" customWidth="1"/>
  </cols>
  <sheetData>
    <row r="1" spans="1:11" x14ac:dyDescent="0.2">
      <c r="A1" s="1" t="s">
        <v>35</v>
      </c>
      <c r="B1" s="2" t="s">
        <v>131</v>
      </c>
      <c r="C1" s="3"/>
      <c r="D1" s="3"/>
      <c r="E1" s="3"/>
      <c r="F1" s="3"/>
      <c r="G1" s="4" t="s">
        <v>122</v>
      </c>
      <c r="H1" s="5">
        <v>23550</v>
      </c>
      <c r="I1" s="6"/>
    </row>
    <row r="2" spans="1:11" x14ac:dyDescent="0.2"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J2" s="8">
        <v>44310</v>
      </c>
      <c r="K2" s="6" t="s">
        <v>124</v>
      </c>
    </row>
    <row r="3" spans="1:11" x14ac:dyDescent="0.2">
      <c r="A3" s="9"/>
      <c r="B3" s="10" t="s">
        <v>34</v>
      </c>
      <c r="C3" s="9" t="s">
        <v>30</v>
      </c>
      <c r="D3" s="9" t="s">
        <v>36</v>
      </c>
      <c r="E3" s="9" t="s">
        <v>31</v>
      </c>
      <c r="F3" s="9" t="s">
        <v>0</v>
      </c>
      <c r="G3" s="9" t="s">
        <v>32</v>
      </c>
      <c r="H3" s="9" t="s">
        <v>33</v>
      </c>
      <c r="J3" s="11">
        <v>0.64583333333333337</v>
      </c>
      <c r="K3" s="6" t="s">
        <v>125</v>
      </c>
    </row>
    <row r="4" spans="1:11" x14ac:dyDescent="0.2">
      <c r="A4" s="12" t="s">
        <v>1</v>
      </c>
      <c r="B4" s="13" t="s">
        <v>29</v>
      </c>
      <c r="C4" s="14" t="str">
        <f t="shared" ref="C4:H8" si="0">B4</f>
        <v>ж</v>
      </c>
      <c r="D4" s="14" t="str">
        <f t="shared" si="0"/>
        <v>ж</v>
      </c>
      <c r="E4" s="14" t="str">
        <f t="shared" si="0"/>
        <v>ж</v>
      </c>
      <c r="F4" s="14" t="str">
        <f t="shared" si="0"/>
        <v>ж</v>
      </c>
      <c r="G4" s="14" t="str">
        <f t="shared" si="0"/>
        <v>ж</v>
      </c>
      <c r="H4" s="14" t="str">
        <f t="shared" si="0"/>
        <v>ж</v>
      </c>
    </row>
    <row r="5" spans="1:11" x14ac:dyDescent="0.2">
      <c r="A5" s="12" t="s">
        <v>3</v>
      </c>
      <c r="B5" s="15">
        <v>49</v>
      </c>
      <c r="C5" s="16">
        <f t="shared" si="0"/>
        <v>49</v>
      </c>
      <c r="D5" s="16">
        <f t="shared" si="0"/>
        <v>49</v>
      </c>
      <c r="E5" s="16">
        <f t="shared" si="0"/>
        <v>49</v>
      </c>
      <c r="F5" s="16">
        <f t="shared" si="0"/>
        <v>49</v>
      </c>
      <c r="G5" s="16">
        <f t="shared" si="0"/>
        <v>49</v>
      </c>
      <c r="H5" s="16">
        <f t="shared" si="0"/>
        <v>49</v>
      </c>
    </row>
    <row r="6" spans="1:11" x14ac:dyDescent="0.2">
      <c r="A6" s="12" t="s">
        <v>4</v>
      </c>
      <c r="B6" s="13">
        <v>61.8</v>
      </c>
      <c r="C6" s="16">
        <f t="shared" si="0"/>
        <v>61.8</v>
      </c>
      <c r="D6" s="16">
        <f t="shared" si="0"/>
        <v>61.8</v>
      </c>
      <c r="E6" s="16">
        <f t="shared" si="0"/>
        <v>61.8</v>
      </c>
      <c r="F6" s="16">
        <f t="shared" si="0"/>
        <v>61.8</v>
      </c>
      <c r="G6" s="16">
        <f t="shared" si="0"/>
        <v>61.8</v>
      </c>
      <c r="H6" s="16">
        <f t="shared" si="0"/>
        <v>61.8</v>
      </c>
    </row>
    <row r="7" spans="1:11" x14ac:dyDescent="0.2">
      <c r="A7" s="12" t="s">
        <v>5</v>
      </c>
      <c r="B7" s="17">
        <v>159</v>
      </c>
      <c r="C7" s="18">
        <f t="shared" si="0"/>
        <v>159</v>
      </c>
      <c r="D7" s="18">
        <f t="shared" si="0"/>
        <v>159</v>
      </c>
      <c r="E7" s="18">
        <f t="shared" si="0"/>
        <v>159</v>
      </c>
      <c r="F7" s="18">
        <f t="shared" si="0"/>
        <v>159</v>
      </c>
      <c r="G7" s="18">
        <f t="shared" si="0"/>
        <v>159</v>
      </c>
      <c r="H7" s="18">
        <f t="shared" si="0"/>
        <v>159</v>
      </c>
    </row>
    <row r="8" spans="1:11" x14ac:dyDescent="0.2">
      <c r="A8" s="19" t="s">
        <v>6</v>
      </c>
      <c r="B8" s="20">
        <f>Лист3!H5</f>
        <v>85</v>
      </c>
      <c r="C8" s="16">
        <f t="shared" si="0"/>
        <v>85</v>
      </c>
      <c r="D8" s="16">
        <f t="shared" si="0"/>
        <v>85</v>
      </c>
      <c r="E8" s="16">
        <f t="shared" si="0"/>
        <v>85</v>
      </c>
      <c r="F8" s="16">
        <f t="shared" si="0"/>
        <v>85</v>
      </c>
      <c r="G8" s="16">
        <f t="shared" si="0"/>
        <v>85</v>
      </c>
      <c r="H8" s="16">
        <f t="shared" si="0"/>
        <v>85</v>
      </c>
    </row>
    <row r="9" spans="1:11" x14ac:dyDescent="0.2">
      <c r="A9" s="21" t="s">
        <v>7</v>
      </c>
      <c r="B9" s="22">
        <f t="shared" ref="B9:H9" si="1">B13+B15/3</f>
        <v>86.666666666666671</v>
      </c>
      <c r="C9" s="22">
        <f t="shared" si="1"/>
        <v>86.666666666666671</v>
      </c>
      <c r="D9" s="22">
        <f t="shared" si="1"/>
        <v>86.666666666666671</v>
      </c>
      <c r="E9" s="22">
        <f t="shared" si="1"/>
        <v>85.333333333333329</v>
      </c>
      <c r="F9" s="22">
        <f t="shared" si="1"/>
        <v>88.333333333333329</v>
      </c>
      <c r="G9" s="22">
        <f t="shared" si="1"/>
        <v>90</v>
      </c>
      <c r="H9" s="22">
        <f t="shared" si="1"/>
        <v>90.333333333333329</v>
      </c>
    </row>
    <row r="10" spans="1:11" x14ac:dyDescent="0.2">
      <c r="A10" s="23" t="s">
        <v>8</v>
      </c>
      <c r="B10" s="20">
        <f>Лист3!I5</f>
        <v>52.5</v>
      </c>
      <c r="C10" s="16">
        <f t="shared" ref="C10:H10" si="2">B10</f>
        <v>52.5</v>
      </c>
      <c r="D10" s="16">
        <f t="shared" si="2"/>
        <v>52.5</v>
      </c>
      <c r="E10" s="16">
        <f t="shared" si="2"/>
        <v>52.5</v>
      </c>
      <c r="F10" s="16">
        <f t="shared" si="2"/>
        <v>52.5</v>
      </c>
      <c r="G10" s="16">
        <f t="shared" si="2"/>
        <v>52.5</v>
      </c>
      <c r="H10" s="16">
        <f t="shared" si="2"/>
        <v>52.5</v>
      </c>
    </row>
    <row r="11" spans="1:11" x14ac:dyDescent="0.2">
      <c r="A11" s="24" t="s">
        <v>9</v>
      </c>
      <c r="B11" s="22">
        <f t="shared" ref="B11:H11" si="3">(100+0.5*B15-0.6*B13-0.6*B5)*B14/B6</f>
        <v>52.038834951456316</v>
      </c>
      <c r="C11" s="22">
        <f t="shared" si="3"/>
        <v>52.038834951456316</v>
      </c>
      <c r="D11" s="22">
        <f t="shared" si="3"/>
        <v>63.598705501618127</v>
      </c>
      <c r="E11" s="22">
        <f t="shared" si="3"/>
        <v>58.689320388349522</v>
      </c>
      <c r="F11" s="22">
        <f t="shared" si="3"/>
        <v>54.587378640776713</v>
      </c>
      <c r="G11" s="22">
        <f t="shared" si="3"/>
        <v>80.598705501618127</v>
      </c>
      <c r="H11" s="22">
        <f t="shared" si="3"/>
        <v>59.951456310679625</v>
      </c>
      <c r="J11" s="25" t="s">
        <v>130</v>
      </c>
    </row>
    <row r="12" spans="1:11" x14ac:dyDescent="0.2">
      <c r="A12" s="26" t="s">
        <v>10</v>
      </c>
      <c r="B12" s="15">
        <v>120</v>
      </c>
      <c r="C12" s="15">
        <v>120</v>
      </c>
      <c r="D12" s="15">
        <v>124</v>
      </c>
      <c r="E12" s="15">
        <v>120</v>
      </c>
      <c r="F12" s="15">
        <v>121</v>
      </c>
      <c r="G12" s="15">
        <v>130</v>
      </c>
      <c r="H12" s="15">
        <v>129</v>
      </c>
      <c r="J12" s="27">
        <f t="shared" ref="J12:J22" si="4">AVERAGE(B12:H12)</f>
        <v>123.42857142857143</v>
      </c>
    </row>
    <row r="13" spans="1:11" x14ac:dyDescent="0.2">
      <c r="A13" s="26" t="s">
        <v>11</v>
      </c>
      <c r="B13" s="15">
        <v>70</v>
      </c>
      <c r="C13" s="15">
        <v>70</v>
      </c>
      <c r="D13" s="15">
        <v>68</v>
      </c>
      <c r="E13" s="15">
        <v>68</v>
      </c>
      <c r="F13" s="15">
        <v>72</v>
      </c>
      <c r="G13" s="15">
        <v>70</v>
      </c>
      <c r="H13" s="15">
        <v>71</v>
      </c>
      <c r="J13" s="28">
        <f t="shared" si="4"/>
        <v>69.857142857142861</v>
      </c>
    </row>
    <row r="14" spans="1:11" x14ac:dyDescent="0.2">
      <c r="A14" s="26" t="s">
        <v>12</v>
      </c>
      <c r="B14" s="15">
        <v>60</v>
      </c>
      <c r="C14" s="15">
        <v>60</v>
      </c>
      <c r="D14" s="15">
        <v>68</v>
      </c>
      <c r="E14" s="15">
        <v>65</v>
      </c>
      <c r="F14" s="15">
        <v>65</v>
      </c>
      <c r="G14" s="15">
        <v>85</v>
      </c>
      <c r="H14" s="15">
        <v>65</v>
      </c>
      <c r="J14" s="28">
        <f t="shared" si="4"/>
        <v>66.857142857142861</v>
      </c>
    </row>
    <row r="15" spans="1:11" x14ac:dyDescent="0.2">
      <c r="A15" s="29" t="s">
        <v>13</v>
      </c>
      <c r="B15" s="30">
        <f t="shared" ref="B15:H15" si="5">B12-B13</f>
        <v>50</v>
      </c>
      <c r="C15" s="30">
        <f t="shared" si="5"/>
        <v>50</v>
      </c>
      <c r="D15" s="30">
        <f t="shared" si="5"/>
        <v>56</v>
      </c>
      <c r="E15" s="30">
        <f t="shared" si="5"/>
        <v>52</v>
      </c>
      <c r="F15" s="30">
        <f t="shared" si="5"/>
        <v>49</v>
      </c>
      <c r="G15" s="30">
        <f t="shared" si="5"/>
        <v>60</v>
      </c>
      <c r="H15" s="30">
        <f t="shared" si="5"/>
        <v>58</v>
      </c>
      <c r="J15" s="31">
        <f t="shared" si="4"/>
        <v>53.571428571428569</v>
      </c>
    </row>
    <row r="16" spans="1:11" x14ac:dyDescent="0.2">
      <c r="A16" s="32" t="s">
        <v>14</v>
      </c>
      <c r="B16" s="33">
        <f t="shared" ref="B16:H16" si="6">B9/B8*100</f>
        <v>101.96078431372551</v>
      </c>
      <c r="C16" s="33">
        <f t="shared" si="6"/>
        <v>101.96078431372551</v>
      </c>
      <c r="D16" s="33">
        <f t="shared" si="6"/>
        <v>101.96078431372551</v>
      </c>
      <c r="E16" s="33">
        <f t="shared" si="6"/>
        <v>100.3921568627451</v>
      </c>
      <c r="F16" s="33">
        <f t="shared" si="6"/>
        <v>103.92156862745097</v>
      </c>
      <c r="G16" s="33">
        <f t="shared" si="6"/>
        <v>105.88235294117648</v>
      </c>
      <c r="H16" s="33">
        <f t="shared" si="6"/>
        <v>106.27450980392157</v>
      </c>
      <c r="J16" s="34">
        <f t="shared" si="4"/>
        <v>103.19327731092437</v>
      </c>
    </row>
    <row r="17" spans="1:13" x14ac:dyDescent="0.2">
      <c r="A17" s="35" t="s">
        <v>15</v>
      </c>
      <c r="B17" s="36">
        <f t="shared" ref="B17:H17" si="7">B11/B10*100</f>
        <v>99.121590383726328</v>
      </c>
      <c r="C17" s="36">
        <f t="shared" si="7"/>
        <v>99.121590383726328</v>
      </c>
      <c r="D17" s="36">
        <f t="shared" si="7"/>
        <v>121.14039143165358</v>
      </c>
      <c r="E17" s="36">
        <f t="shared" si="7"/>
        <v>111.78918169209433</v>
      </c>
      <c r="F17" s="36">
        <f t="shared" si="7"/>
        <v>103.97595931576518</v>
      </c>
      <c r="G17" s="36">
        <f t="shared" si="7"/>
        <v>153.52134381260595</v>
      </c>
      <c r="H17" s="36">
        <f t="shared" si="7"/>
        <v>114.19325011558024</v>
      </c>
      <c r="J17" s="37">
        <f t="shared" si="4"/>
        <v>114.69475816216456</v>
      </c>
    </row>
    <row r="18" spans="1:13" x14ac:dyDescent="0.2">
      <c r="A18" s="38" t="s">
        <v>16</v>
      </c>
      <c r="B18" s="39">
        <f t="shared" ref="B18:H18" si="8">B9*B10*100/(B8*B11)</f>
        <v>102.8643546971027</v>
      </c>
      <c r="C18" s="39">
        <f t="shared" si="8"/>
        <v>102.8643546971027</v>
      </c>
      <c r="D18" s="39">
        <f t="shared" si="8"/>
        <v>84.167454891584157</v>
      </c>
      <c r="E18" s="39">
        <f t="shared" si="8"/>
        <v>89.80489466257967</v>
      </c>
      <c r="F18" s="39">
        <f t="shared" si="8"/>
        <v>99.94768916904242</v>
      </c>
      <c r="G18" s="39">
        <f t="shared" si="8"/>
        <v>68.969141561462976</v>
      </c>
      <c r="H18" s="39">
        <f t="shared" si="8"/>
        <v>93.065491783758006</v>
      </c>
      <c r="J18" s="40">
        <f t="shared" si="4"/>
        <v>91.669054494661808</v>
      </c>
    </row>
    <row r="19" spans="1:13" x14ac:dyDescent="0.2">
      <c r="A19" s="41" t="s">
        <v>17</v>
      </c>
      <c r="B19" s="42">
        <f t="shared" ref="B19:H19" si="9">B17/B18</f>
        <v>0.96361456478877039</v>
      </c>
      <c r="C19" s="42">
        <f t="shared" si="9"/>
        <v>0.96361456478877039</v>
      </c>
      <c r="D19" s="42">
        <f t="shared" si="9"/>
        <v>1.4392783004748588</v>
      </c>
      <c r="E19" s="42">
        <f t="shared" si="9"/>
        <v>1.2448005435796716</v>
      </c>
      <c r="F19" s="42">
        <f t="shared" si="9"/>
        <v>1.0403037847119179</v>
      </c>
      <c r="G19" s="42">
        <f t="shared" si="9"/>
        <v>2.225942506124901</v>
      </c>
      <c r="H19" s="42">
        <f t="shared" si="9"/>
        <v>1.2270203265127912</v>
      </c>
      <c r="J19" s="43">
        <f t="shared" si="4"/>
        <v>1.3006535129973831</v>
      </c>
    </row>
    <row r="20" spans="1:13" x14ac:dyDescent="0.2">
      <c r="A20" s="44" t="s">
        <v>18</v>
      </c>
      <c r="B20" s="45">
        <f t="shared" ref="B20:H20" si="10">(1-B13/B14)*100</f>
        <v>-16.666666666666675</v>
      </c>
      <c r="C20" s="45">
        <f t="shared" si="10"/>
        <v>-16.666666666666675</v>
      </c>
      <c r="D20" s="45">
        <f t="shared" si="10"/>
        <v>0</v>
      </c>
      <c r="E20" s="45">
        <f t="shared" si="10"/>
        <v>-4.6153846153846212</v>
      </c>
      <c r="F20" s="45">
        <f t="shared" si="10"/>
        <v>-10.769230769230775</v>
      </c>
      <c r="G20" s="45">
        <f t="shared" si="10"/>
        <v>17.647058823529417</v>
      </c>
      <c r="H20" s="45">
        <f t="shared" si="10"/>
        <v>-9.2307692307692193</v>
      </c>
      <c r="J20" s="46">
        <f t="shared" si="4"/>
        <v>-5.7573798750269356</v>
      </c>
    </row>
    <row r="21" spans="1:13" x14ac:dyDescent="0.2">
      <c r="A21" s="47" t="s">
        <v>19</v>
      </c>
      <c r="B21" s="48">
        <f t="shared" ref="B21:H21" si="11">((700-3*B14)-2.5*B9-2.7*B5+0.28*B6)/((350-2.6*B5)+0.21*B7)</f>
        <v>0.73572144745237433</v>
      </c>
      <c r="C21" s="48">
        <f t="shared" si="11"/>
        <v>0.73572144745237433</v>
      </c>
      <c r="D21" s="48">
        <f t="shared" si="11"/>
        <v>0.64196778519994258</v>
      </c>
      <c r="E21" s="48">
        <f t="shared" si="11"/>
        <v>0.69014675052410901</v>
      </c>
      <c r="F21" s="48">
        <f t="shared" si="11"/>
        <v>0.66084873107022413</v>
      </c>
      <c r="G21" s="48">
        <f t="shared" si="11"/>
        <v>0.41018789796476418</v>
      </c>
      <c r="H21" s="48">
        <f t="shared" si="11"/>
        <v>0.64131671810096746</v>
      </c>
      <c r="J21" s="49">
        <f t="shared" si="4"/>
        <v>0.64513011110925089</v>
      </c>
    </row>
    <row r="22" spans="1:13" x14ac:dyDescent="0.2">
      <c r="A22" s="50" t="s">
        <v>20</v>
      </c>
      <c r="B22" s="51">
        <f t="shared" ref="B22:H22" si="12">0.011*B14+0.014*B12+0.008*B13+0.009*B6-0.009*B7+0.014*B5-0.27</f>
        <v>2.4411999999999998</v>
      </c>
      <c r="C22" s="51">
        <f t="shared" si="12"/>
        <v>2.4411999999999998</v>
      </c>
      <c r="D22" s="51">
        <f t="shared" si="12"/>
        <v>2.5691999999999999</v>
      </c>
      <c r="E22" s="51">
        <f t="shared" si="12"/>
        <v>2.4802000000000004</v>
      </c>
      <c r="F22" s="51">
        <f t="shared" si="12"/>
        <v>2.5261999999999998</v>
      </c>
      <c r="G22" s="51">
        <f t="shared" si="12"/>
        <v>2.8561999999999999</v>
      </c>
      <c r="H22" s="51">
        <f t="shared" si="12"/>
        <v>2.6301999999999999</v>
      </c>
      <c r="J22" s="52">
        <f t="shared" si="4"/>
        <v>2.5634857142857141</v>
      </c>
    </row>
    <row r="23" spans="1:13" x14ac:dyDescent="0.2">
      <c r="A23" s="53"/>
      <c r="E23" s="53"/>
      <c r="F23" s="54" t="s">
        <v>0</v>
      </c>
    </row>
    <row r="24" spans="1:13" ht="14.25" customHeight="1" x14ac:dyDescent="0.25">
      <c r="A24" s="55" t="s">
        <v>62</v>
      </c>
      <c r="B24" s="56">
        <v>1.375</v>
      </c>
      <c r="E24" s="57" t="s">
        <v>21</v>
      </c>
      <c r="F24" s="58">
        <v>16</v>
      </c>
      <c r="H24" s="55" t="s">
        <v>62</v>
      </c>
    </row>
    <row r="25" spans="1:13" ht="14.25" customHeight="1" x14ac:dyDescent="0.2">
      <c r="A25" s="53"/>
      <c r="E25" s="57" t="s">
        <v>22</v>
      </c>
      <c r="F25" s="58">
        <v>44</v>
      </c>
      <c r="H25" s="59">
        <v>1.2</v>
      </c>
      <c r="I25" s="60" t="s">
        <v>126</v>
      </c>
      <c r="K25" s="61"/>
    </row>
    <row r="26" spans="1:13" x14ac:dyDescent="0.2">
      <c r="A26" s="62" t="s">
        <v>132</v>
      </c>
      <c r="B26" s="63">
        <v>90</v>
      </c>
      <c r="C26" s="60" t="s">
        <v>135</v>
      </c>
      <c r="E26" s="57" t="s">
        <v>23</v>
      </c>
      <c r="F26" s="45">
        <f>F25/F24*100-100</f>
        <v>175</v>
      </c>
      <c r="H26" s="59">
        <v>1.375</v>
      </c>
      <c r="I26" s="60" t="s">
        <v>127</v>
      </c>
      <c r="K26" s="61"/>
    </row>
    <row r="27" spans="1:13" x14ac:dyDescent="0.2">
      <c r="A27" s="62" t="s">
        <v>133</v>
      </c>
      <c r="B27" s="63">
        <v>60</v>
      </c>
      <c r="C27" s="60" t="s">
        <v>135</v>
      </c>
      <c r="E27" s="64" t="s">
        <v>24</v>
      </c>
      <c r="F27" s="45">
        <f>100-C14*100/B14</f>
        <v>0</v>
      </c>
      <c r="H27" s="59">
        <v>1.55</v>
      </c>
      <c r="I27" s="60" t="s">
        <v>128</v>
      </c>
      <c r="K27" s="61"/>
    </row>
    <row r="28" spans="1:13" x14ac:dyDescent="0.2">
      <c r="A28" s="62" t="s">
        <v>134</v>
      </c>
      <c r="B28" s="63">
        <v>90</v>
      </c>
      <c r="C28" s="60" t="s">
        <v>135</v>
      </c>
      <c r="E28" s="64" t="s">
        <v>25</v>
      </c>
      <c r="F28" s="65">
        <f>C14/2/F25</f>
        <v>0.68181818181818177</v>
      </c>
      <c r="H28" s="59">
        <v>1.7250000000000001</v>
      </c>
      <c r="I28" s="60" t="s">
        <v>129</v>
      </c>
      <c r="K28" s="61"/>
    </row>
    <row r="29" spans="1:13" x14ac:dyDescent="0.2">
      <c r="A29" s="53"/>
      <c r="B29" s="66"/>
      <c r="C29" s="66"/>
    </row>
    <row r="30" spans="1:13" x14ac:dyDescent="0.2">
      <c r="A30" s="67"/>
      <c r="B30" s="68"/>
      <c r="C30" s="69"/>
      <c r="D30" s="70"/>
      <c r="E30" s="70"/>
      <c r="F30" s="70"/>
      <c r="G30" s="71"/>
      <c r="H30" s="72">
        <f>B5</f>
        <v>49</v>
      </c>
      <c r="I30" s="71" t="s">
        <v>123</v>
      </c>
      <c r="J30" s="71"/>
      <c r="K30" s="71">
        <f>J2</f>
        <v>44310</v>
      </c>
      <c r="L30" s="73">
        <f>$J$3</f>
        <v>0.64583333333333337</v>
      </c>
    </row>
    <row r="31" spans="1:13" x14ac:dyDescent="0.2">
      <c r="A31" s="74" t="s">
        <v>28</v>
      </c>
      <c r="B31" s="75"/>
      <c r="C31" s="75"/>
      <c r="D31" s="76"/>
      <c r="E31" s="76"/>
      <c r="F31" s="76"/>
      <c r="G31" s="76"/>
      <c r="H31" s="76"/>
      <c r="I31" s="76"/>
      <c r="J31" s="76"/>
      <c r="K31" s="76"/>
      <c r="L31" s="77"/>
    </row>
    <row r="32" spans="1:13" x14ac:dyDescent="0.2">
      <c r="A32" s="78"/>
      <c r="B32" s="75"/>
      <c r="C32" s="75"/>
      <c r="D32" s="76"/>
      <c r="E32" s="76"/>
      <c r="F32" s="76"/>
      <c r="G32" s="76"/>
      <c r="H32" s="76"/>
      <c r="I32" s="76"/>
      <c r="J32" s="76"/>
      <c r="K32" s="76"/>
      <c r="L32" s="77"/>
      <c r="M32" s="79"/>
    </row>
    <row r="33" spans="1:13" x14ac:dyDescent="0.2">
      <c r="A33" s="78"/>
      <c r="B33" s="75"/>
      <c r="C33" s="75"/>
      <c r="D33" s="76"/>
      <c r="E33" s="76"/>
      <c r="F33" s="76"/>
      <c r="G33" s="76"/>
      <c r="H33" s="76"/>
      <c r="I33" s="76"/>
      <c r="J33" s="76"/>
      <c r="K33" s="76"/>
      <c r="L33" s="77"/>
      <c r="M33" s="79"/>
    </row>
    <row r="34" spans="1:13" x14ac:dyDescent="0.2">
      <c r="A34" s="78"/>
      <c r="B34" s="75"/>
      <c r="C34" s="75"/>
      <c r="D34" s="76"/>
      <c r="E34" s="76"/>
      <c r="F34" s="76"/>
      <c r="G34" s="76"/>
      <c r="H34" s="76"/>
      <c r="I34" s="76"/>
      <c r="J34" s="76"/>
      <c r="K34" s="76"/>
      <c r="L34" s="77"/>
      <c r="M34" s="79"/>
    </row>
    <row r="35" spans="1:13" x14ac:dyDescent="0.2">
      <c r="A35" s="78"/>
      <c r="B35" s="75"/>
      <c r="C35" s="75"/>
      <c r="D35" s="76"/>
      <c r="E35" s="76"/>
      <c r="F35" s="76"/>
      <c r="G35" s="76"/>
      <c r="H35" s="76"/>
      <c r="I35" s="76"/>
      <c r="J35" s="76"/>
      <c r="K35" s="76"/>
      <c r="L35" s="77"/>
      <c r="M35" s="79"/>
    </row>
    <row r="36" spans="1:13" x14ac:dyDescent="0.2">
      <c r="A36" s="78"/>
      <c r="B36" s="75"/>
      <c r="C36" s="75"/>
      <c r="D36" s="76"/>
      <c r="E36" s="76"/>
      <c r="F36" s="76"/>
      <c r="G36" s="76"/>
      <c r="H36" s="76"/>
      <c r="I36" s="76"/>
      <c r="J36" s="76"/>
      <c r="K36" s="76"/>
      <c r="L36" s="77"/>
      <c r="M36" s="79"/>
    </row>
    <row r="37" spans="1:13" x14ac:dyDescent="0.2">
      <c r="A37" s="78"/>
      <c r="B37" s="75"/>
      <c r="C37" s="75"/>
      <c r="D37" s="76"/>
      <c r="E37" s="76"/>
      <c r="F37" s="76"/>
      <c r="G37" s="76"/>
      <c r="H37" s="76"/>
      <c r="I37" s="76"/>
      <c r="J37" s="76"/>
      <c r="K37" s="76"/>
      <c r="L37" s="77"/>
      <c r="M37" s="79"/>
    </row>
    <row r="38" spans="1:13" x14ac:dyDescent="0.2">
      <c r="A38" s="78"/>
      <c r="B38" s="75"/>
      <c r="C38" s="75"/>
      <c r="D38" s="76"/>
      <c r="E38" s="76"/>
      <c r="F38" s="76"/>
      <c r="G38" s="76"/>
      <c r="H38" s="76"/>
      <c r="I38" s="76"/>
      <c r="J38" s="76"/>
      <c r="K38" s="76"/>
      <c r="L38" s="77"/>
      <c r="M38" s="79"/>
    </row>
    <row r="39" spans="1:13" x14ac:dyDescent="0.2">
      <c r="A39" s="78"/>
      <c r="B39" s="75"/>
      <c r="C39" s="75"/>
      <c r="D39" s="76"/>
      <c r="E39" s="76"/>
      <c r="F39" s="76"/>
      <c r="G39" s="76"/>
      <c r="H39" s="76"/>
      <c r="I39" s="76"/>
      <c r="J39" s="76"/>
      <c r="K39" s="76"/>
      <c r="L39" s="77"/>
      <c r="M39" s="79"/>
    </row>
    <row r="40" spans="1:13" x14ac:dyDescent="0.2">
      <c r="A40" s="78"/>
      <c r="B40" s="75"/>
      <c r="C40" s="75"/>
      <c r="D40" s="76"/>
      <c r="E40" s="76"/>
      <c r="F40" s="76"/>
      <c r="G40" s="76"/>
      <c r="H40" s="76"/>
      <c r="I40" s="76"/>
      <c r="J40" s="76"/>
      <c r="K40" s="76"/>
      <c r="L40" s="77"/>
      <c r="M40" s="79"/>
    </row>
    <row r="41" spans="1:13" x14ac:dyDescent="0.2">
      <c r="A41" s="78"/>
      <c r="B41" s="75"/>
      <c r="C41" s="75"/>
      <c r="D41" s="76"/>
      <c r="E41" s="76"/>
      <c r="F41" s="76"/>
      <c r="G41" s="76"/>
      <c r="H41" s="76"/>
      <c r="I41" s="76"/>
      <c r="J41" s="76"/>
      <c r="K41" s="76"/>
      <c r="L41" s="77"/>
      <c r="M41" s="79"/>
    </row>
    <row r="42" spans="1:13" x14ac:dyDescent="0.2">
      <c r="A42" s="78"/>
      <c r="B42" s="75"/>
      <c r="C42" s="75"/>
      <c r="D42" s="76"/>
      <c r="E42" s="76"/>
      <c r="F42" s="76"/>
      <c r="G42" s="76"/>
      <c r="H42" s="76"/>
      <c r="I42" s="76"/>
      <c r="J42" s="76"/>
      <c r="K42" s="76"/>
      <c r="L42" s="77"/>
      <c r="M42" s="79"/>
    </row>
    <row r="43" spans="1:13" x14ac:dyDescent="0.2">
      <c r="A43" s="78"/>
      <c r="B43" s="75"/>
      <c r="C43" s="75"/>
      <c r="D43" s="76"/>
      <c r="E43" s="76"/>
      <c r="F43" s="76"/>
      <c r="G43" s="76"/>
      <c r="H43" s="76"/>
      <c r="I43" s="76"/>
      <c r="J43" s="76"/>
      <c r="K43" s="76"/>
      <c r="L43" s="77"/>
      <c r="M43" s="79"/>
    </row>
    <row r="44" spans="1:13" x14ac:dyDescent="0.2">
      <c r="A44" s="78"/>
      <c r="B44" s="75"/>
      <c r="C44" s="75"/>
      <c r="D44" s="76"/>
      <c r="E44" s="76"/>
      <c r="F44" s="76"/>
      <c r="G44" s="76"/>
      <c r="H44" s="76"/>
      <c r="I44" s="76"/>
      <c r="J44" s="76"/>
      <c r="K44" s="76"/>
      <c r="L44" s="77"/>
      <c r="M44" s="79"/>
    </row>
    <row r="45" spans="1:13" x14ac:dyDescent="0.2">
      <c r="A45" s="78"/>
      <c r="B45" s="75"/>
      <c r="C45" s="75"/>
      <c r="D45" s="76"/>
      <c r="E45" s="76"/>
      <c r="F45" s="76"/>
      <c r="G45" s="76"/>
      <c r="H45" s="76"/>
      <c r="I45" s="76"/>
      <c r="J45" s="76"/>
      <c r="K45" s="76"/>
      <c r="L45" s="77"/>
      <c r="M45" s="79"/>
    </row>
    <row r="46" spans="1:13" x14ac:dyDescent="0.2">
      <c r="A46" s="78"/>
      <c r="B46" s="75"/>
      <c r="C46" s="75"/>
      <c r="D46" s="76"/>
      <c r="E46" s="76"/>
      <c r="F46" s="76"/>
      <c r="G46" s="76"/>
      <c r="H46" s="76"/>
      <c r="I46" s="76"/>
      <c r="J46" s="76"/>
      <c r="K46" s="76"/>
      <c r="L46" s="77"/>
      <c r="M46" s="79"/>
    </row>
    <row r="47" spans="1:13" x14ac:dyDescent="0.2">
      <c r="A47" s="78"/>
      <c r="B47" s="75"/>
      <c r="C47" s="75"/>
      <c r="D47" s="76"/>
      <c r="E47" s="76"/>
      <c r="F47" s="76"/>
      <c r="G47" s="76"/>
      <c r="H47" s="76"/>
      <c r="I47" s="76"/>
      <c r="J47" s="76"/>
      <c r="K47" s="76"/>
      <c r="L47" s="77"/>
      <c r="M47" s="79"/>
    </row>
    <row r="48" spans="1:13" x14ac:dyDescent="0.2">
      <c r="A48" s="78"/>
      <c r="B48" s="75"/>
      <c r="C48" s="75"/>
      <c r="D48" s="76"/>
      <c r="E48" s="76"/>
      <c r="F48" s="76"/>
      <c r="G48" s="76"/>
      <c r="H48" s="76"/>
      <c r="I48" s="76"/>
      <c r="J48" s="76"/>
      <c r="K48" s="76"/>
      <c r="L48" s="77"/>
      <c r="M48" s="79"/>
    </row>
    <row r="49" spans="1:13" x14ac:dyDescent="0.2">
      <c r="A49" s="78"/>
      <c r="B49" s="75"/>
      <c r="C49" s="75"/>
      <c r="D49" s="76"/>
      <c r="E49" s="76"/>
      <c r="F49" s="76"/>
      <c r="G49" s="76"/>
      <c r="H49" s="76"/>
      <c r="I49" s="76"/>
      <c r="J49" s="76"/>
      <c r="K49" s="76"/>
      <c r="L49" s="77"/>
      <c r="M49" s="79"/>
    </row>
    <row r="50" spans="1:13" x14ac:dyDescent="0.2">
      <c r="A50" s="78"/>
      <c r="B50" s="75"/>
      <c r="C50" s="75"/>
      <c r="D50" s="76"/>
      <c r="E50" s="76"/>
      <c r="F50" s="76"/>
      <c r="G50" s="76"/>
      <c r="H50" s="76"/>
      <c r="I50" s="76"/>
      <c r="J50" s="76"/>
      <c r="K50" s="76"/>
      <c r="L50" s="77"/>
      <c r="M50" s="79"/>
    </row>
    <row r="51" spans="1:13" x14ac:dyDescent="0.2">
      <c r="A51" s="78"/>
      <c r="B51" s="75"/>
      <c r="C51" s="75"/>
      <c r="D51" s="76"/>
      <c r="E51" s="76"/>
      <c r="F51" s="76"/>
      <c r="G51" s="76"/>
      <c r="H51" s="76"/>
      <c r="I51" s="76"/>
      <c r="J51" s="76"/>
      <c r="K51" s="76"/>
      <c r="L51" s="77"/>
      <c r="M51" s="79"/>
    </row>
    <row r="52" spans="1:13" x14ac:dyDescent="0.2">
      <c r="A52" s="78"/>
      <c r="B52" s="75"/>
      <c r="C52" s="75"/>
      <c r="D52" s="76"/>
      <c r="E52" s="80" t="s">
        <v>61</v>
      </c>
      <c r="F52" s="76"/>
      <c r="G52" s="76"/>
      <c r="H52" s="76"/>
      <c r="I52" s="76"/>
      <c r="J52" s="76"/>
      <c r="K52" s="76"/>
      <c r="L52" s="77"/>
    </row>
    <row r="53" spans="1:13" x14ac:dyDescent="0.2">
      <c r="A53" s="81"/>
      <c r="B53" s="82"/>
      <c r="C53" s="82"/>
      <c r="D53" s="83"/>
      <c r="E53" s="83"/>
      <c r="F53" s="83"/>
      <c r="G53" s="83"/>
      <c r="H53" s="83"/>
      <c r="I53" s="83"/>
      <c r="J53" s="83"/>
      <c r="K53" s="83"/>
      <c r="L53" s="84"/>
    </row>
    <row r="54" spans="1:13" x14ac:dyDescent="0.2">
      <c r="A54" s="55" t="s">
        <v>62</v>
      </c>
      <c r="B54" s="85">
        <f>B24</f>
        <v>1.375</v>
      </c>
      <c r="C54" s="86" t="s">
        <v>99</v>
      </c>
      <c r="D54" s="86" t="s">
        <v>63</v>
      </c>
      <c r="E54" s="87">
        <f>Лист3!D100</f>
        <v>1304.18</v>
      </c>
      <c r="F54" s="88" t="s">
        <v>64</v>
      </c>
      <c r="G54" s="86" t="s">
        <v>100</v>
      </c>
      <c r="H54" s="86" t="s">
        <v>101</v>
      </c>
      <c r="I54" s="86" t="s">
        <v>102</v>
      </c>
      <c r="J54" s="86" t="s">
        <v>103</v>
      </c>
      <c r="K54" s="89"/>
      <c r="L54" s="89"/>
    </row>
    <row r="55" spans="1:13" x14ac:dyDescent="0.2">
      <c r="A55" s="53"/>
      <c r="B55" s="90"/>
      <c r="C55" s="91" t="s">
        <v>72</v>
      </c>
      <c r="D55" s="92">
        <f>Лист3!G37</f>
        <v>0.99121590383726332</v>
      </c>
      <c r="E55" s="93">
        <f>E54*D55</f>
        <v>1292.723957466482</v>
      </c>
      <c r="F55" s="94">
        <f>E55/E54*100</f>
        <v>99.121590383726328</v>
      </c>
      <c r="G55" s="93">
        <f>70*E55/100</f>
        <v>904.90677022653745</v>
      </c>
      <c r="H55" s="93">
        <f>70*E55/100/9.1</f>
        <v>99.44030442049862</v>
      </c>
      <c r="I55" s="93">
        <f>70*E55/100/4.2</f>
        <v>215.45399291108035</v>
      </c>
      <c r="J55" s="93">
        <f>30*E55/100/4.2</f>
        <v>92.337425533320129</v>
      </c>
    </row>
    <row r="56" spans="1:13" x14ac:dyDescent="0.2">
      <c r="A56" s="53"/>
      <c r="B56" s="90"/>
      <c r="C56" s="95" t="s">
        <v>104</v>
      </c>
      <c r="D56" s="92">
        <f>(Лист3!G38+Лист3!G39+Лист3!G40)/3</f>
        <v>1.106837211691581</v>
      </c>
      <c r="E56" s="96">
        <f>E54*D56</f>
        <v>1443.5149547439262</v>
      </c>
      <c r="F56" s="94">
        <f>E56/(E54*1.2)*100</f>
        <v>92.236434307631754</v>
      </c>
      <c r="G56" s="96">
        <f>70*E56/100</f>
        <v>1010.4604683207483</v>
      </c>
      <c r="H56" s="96">
        <f>70*E56/100/9.1</f>
        <v>111.03961190337894</v>
      </c>
      <c r="I56" s="96">
        <f>70*E56/100/4.2</f>
        <v>240.58582579065435</v>
      </c>
      <c r="J56" s="96">
        <f>30*E56/100/4.2</f>
        <v>103.10821105313758</v>
      </c>
    </row>
    <row r="57" spans="1:13" x14ac:dyDescent="0.2">
      <c r="A57" s="53"/>
      <c r="B57" s="90"/>
      <c r="C57" s="97" t="s">
        <v>105</v>
      </c>
      <c r="D57" s="92">
        <f>(Лист3!G42+Лист3!G43)/2</f>
        <v>1.338572969640931</v>
      </c>
      <c r="E57" s="98">
        <f>E54*D57</f>
        <v>1745.7400955463095</v>
      </c>
      <c r="F57" s="94">
        <f>E57/(E54*1.55)*100</f>
        <v>86.35954642844716</v>
      </c>
      <c r="G57" s="98">
        <f>70*E57/100</f>
        <v>1222.0180668824166</v>
      </c>
      <c r="H57" s="98">
        <f>70*E57/100/9.1</f>
        <v>134.28769965740844</v>
      </c>
      <c r="I57" s="98">
        <f>70*E57/100/4.2</f>
        <v>290.95668259105156</v>
      </c>
      <c r="J57" s="98">
        <f>30*E57/100/4.2</f>
        <v>124.69572111045068</v>
      </c>
    </row>
    <row r="58" spans="1:13" x14ac:dyDescent="0.2">
      <c r="A58" s="99" t="s">
        <v>76</v>
      </c>
      <c r="B58" s="100">
        <f>E54*1.2</f>
        <v>1565.0160000000001</v>
      </c>
      <c r="C58" s="101" t="s">
        <v>106</v>
      </c>
      <c r="D58" s="92">
        <f>(Лист3!G37+D56)/2</f>
        <v>1.0490265577644222</v>
      </c>
      <c r="E58" s="102">
        <f>E54*D58</f>
        <v>1368.1194561052043</v>
      </c>
      <c r="F58" s="94">
        <f>E58/(E54*B54)*100</f>
        <v>76.29284056468525</v>
      </c>
      <c r="G58" s="102">
        <f>70*E58/100</f>
        <v>957.68361927364299</v>
      </c>
      <c r="H58" s="102">
        <f>70*E58/100/9.1</f>
        <v>105.23995816193879</v>
      </c>
      <c r="I58" s="102">
        <f>70*E58/100/4.2</f>
        <v>228.01990935086738</v>
      </c>
      <c r="J58" s="102">
        <f>30*E58/100/4.2</f>
        <v>97.722818293228883</v>
      </c>
    </row>
    <row r="59" spans="1:13" x14ac:dyDescent="0.2">
      <c r="A59" s="88"/>
      <c r="B59" s="53"/>
      <c r="C59" s="6" t="s">
        <v>107</v>
      </c>
      <c r="D59" s="103">
        <f>AVERAGE(D55:D57)</f>
        <v>1.1455420283899251</v>
      </c>
      <c r="E59" s="87">
        <f>E54*D59</f>
        <v>1493.9930025855726</v>
      </c>
      <c r="F59" s="104">
        <f>AVERAGE(F55:F57)</f>
        <v>92.572523706601757</v>
      </c>
      <c r="G59" s="105">
        <f>70*E59/100</f>
        <v>1045.7951018099009</v>
      </c>
      <c r="H59" s="105">
        <f>70*E59/100/9.1</f>
        <v>114.92253866042867</v>
      </c>
      <c r="I59" s="105">
        <f>70*E59/100/4.2</f>
        <v>248.99883376426209</v>
      </c>
      <c r="J59" s="105">
        <f>30*E59/100/4.2</f>
        <v>106.71378589896948</v>
      </c>
    </row>
    <row r="60" spans="1:13" x14ac:dyDescent="0.2">
      <c r="A60" s="88"/>
      <c r="B60" s="53"/>
      <c r="C60" s="53"/>
      <c r="E60" s="6" t="s">
        <v>71</v>
      </c>
      <c r="G60" s="6" t="s">
        <v>71</v>
      </c>
      <c r="H60" s="6" t="s">
        <v>74</v>
      </c>
      <c r="I60" s="6" t="s">
        <v>74</v>
      </c>
      <c r="J60" s="6" t="s">
        <v>74</v>
      </c>
    </row>
    <row r="61" spans="1:13" x14ac:dyDescent="0.2">
      <c r="A61" s="53"/>
      <c r="B61" s="53"/>
      <c r="C61" s="53"/>
    </row>
    <row r="77" spans="1:3" x14ac:dyDescent="0.2">
      <c r="A77" s="53"/>
      <c r="B77" s="53"/>
      <c r="C77" s="53"/>
    </row>
    <row r="78" spans="1:3" x14ac:dyDescent="0.2">
      <c r="A78" s="53"/>
      <c r="B78" s="53"/>
      <c r="C78" s="53"/>
    </row>
    <row r="79" spans="1:3" x14ac:dyDescent="0.2">
      <c r="A79" s="53"/>
      <c r="B79" s="53"/>
      <c r="C79" s="53"/>
    </row>
    <row r="80" spans="1:3" x14ac:dyDescent="0.2">
      <c r="A80" s="53"/>
      <c r="B80" s="53"/>
      <c r="C80" s="53"/>
    </row>
    <row r="81" spans="1:3" x14ac:dyDescent="0.2">
      <c r="A81" s="53"/>
      <c r="B81" s="53"/>
      <c r="C81" s="53"/>
    </row>
    <row r="82" spans="1:3" x14ac:dyDescent="0.2">
      <c r="A82" s="53"/>
      <c r="B82" s="53"/>
      <c r="C82" s="53"/>
    </row>
    <row r="83" spans="1:3" x14ac:dyDescent="0.2">
      <c r="A83" s="53"/>
      <c r="B83" s="53"/>
      <c r="C83" s="53"/>
    </row>
    <row r="84" spans="1:3" x14ac:dyDescent="0.2">
      <c r="A84" s="53"/>
      <c r="B84" s="53"/>
      <c r="C84" s="53"/>
    </row>
    <row r="85" spans="1:3" x14ac:dyDescent="0.2">
      <c r="A85" s="53"/>
      <c r="B85" s="53"/>
      <c r="C85" s="53"/>
    </row>
    <row r="86" spans="1:3" x14ac:dyDescent="0.2">
      <c r="A86" s="53"/>
      <c r="B86" s="53"/>
      <c r="C86" s="53"/>
    </row>
    <row r="88" spans="1:3" x14ac:dyDescent="0.2">
      <c r="A88" s="53"/>
      <c r="B88" s="53"/>
      <c r="C88" s="53"/>
    </row>
  </sheetData>
  <sheetProtection password="CF42" sheet="1" formatCells="0" formatColumns="0" formatRows="0" insertColumns="0" insertRows="0" insertHyperlinks="0" deleteColumns="0" deleteRows="0" sort="0" autoFilter="0" pivotTables="0"/>
  <protectedRanges>
    <protectedRange sqref="B1 B4:B7 H1 B24 J2 J3 B12:H14 F24:F25" name="Диапазон1"/>
  </protectedRanges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ColWidth="10" defaultRowHeight="12.75" x14ac:dyDescent="0.2"/>
  <sheetData>
    <row r="1" spans="1:3" x14ac:dyDescent="0.2">
      <c r="A1">
        <v>1920</v>
      </c>
      <c r="B1">
        <v>816</v>
      </c>
      <c r="C1">
        <f>A1/B1</f>
        <v>2.3529411764705883</v>
      </c>
    </row>
    <row r="2" spans="1:3" x14ac:dyDescent="0.2">
      <c r="A2">
        <v>800</v>
      </c>
      <c r="B2">
        <f>A2/C1</f>
        <v>340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7"/>
  <sheetViews>
    <sheetView topLeftCell="E1" workbookViewId="0">
      <selection sqref="A1:IV65536"/>
    </sheetView>
  </sheetViews>
  <sheetFormatPr defaultColWidth="10" defaultRowHeight="12.75" x14ac:dyDescent="0.2"/>
  <cols>
    <col min="1" max="1" width="9.28515625" customWidth="1"/>
    <col min="4" max="4" width="14.28515625" customWidth="1"/>
  </cols>
  <sheetData>
    <row r="1" spans="8:22" x14ac:dyDescent="0.2">
      <c r="H1" t="s">
        <v>3</v>
      </c>
      <c r="I1" s="106" t="s">
        <v>26</v>
      </c>
      <c r="P1" s="106" t="s">
        <v>27</v>
      </c>
      <c r="Q1" s="106"/>
      <c r="R1" s="106" t="s">
        <v>28</v>
      </c>
      <c r="S1" s="107"/>
      <c r="T1" s="106" t="s">
        <v>27</v>
      </c>
      <c r="U1" s="106"/>
      <c r="V1" s="106" t="s">
        <v>28</v>
      </c>
    </row>
    <row r="2" spans="8:22" x14ac:dyDescent="0.2">
      <c r="H2" s="108">
        <f>Лист1!B5</f>
        <v>49</v>
      </c>
      <c r="I2" s="109" t="str">
        <f>Лист1!B4</f>
        <v>ж</v>
      </c>
      <c r="P2" s="106" t="s">
        <v>2</v>
      </c>
      <c r="Q2" s="106" t="s">
        <v>29</v>
      </c>
      <c r="R2" s="106"/>
      <c r="S2" s="107"/>
      <c r="T2" s="106" t="s">
        <v>2</v>
      </c>
      <c r="U2" s="106" t="s">
        <v>29</v>
      </c>
      <c r="V2" s="106"/>
    </row>
    <row r="3" spans="8:22" x14ac:dyDescent="0.2">
      <c r="J3">
        <f>H2-K3</f>
        <v>49</v>
      </c>
      <c r="K3">
        <v>0</v>
      </c>
      <c r="L3">
        <v>100</v>
      </c>
      <c r="P3" s="106"/>
      <c r="Q3" s="106"/>
      <c r="R3" s="106"/>
      <c r="S3" s="110" t="str">
        <f t="shared" ref="S3:S34" si="0">IF(J3=0,1,"")</f>
        <v/>
      </c>
      <c r="T3" s="111">
        <f>MAX(T4:T93)</f>
        <v>85</v>
      </c>
      <c r="U3" s="111">
        <f>MAX(U4:U93)</f>
        <v>85</v>
      </c>
      <c r="V3" s="109">
        <f>MAX(V4:V93)</f>
        <v>52.5</v>
      </c>
    </row>
    <row r="4" spans="8:22" x14ac:dyDescent="0.2">
      <c r="H4" s="106" t="s">
        <v>27</v>
      </c>
      <c r="I4" s="106" t="s">
        <v>28</v>
      </c>
      <c r="J4">
        <f>H2-K4</f>
        <v>48</v>
      </c>
      <c r="K4">
        <v>1</v>
      </c>
      <c r="L4">
        <v>122</v>
      </c>
      <c r="P4" s="106"/>
      <c r="Q4" s="106"/>
      <c r="R4" s="112">
        <f t="shared" ref="R4:R35" si="1">L4</f>
        <v>122</v>
      </c>
      <c r="S4" s="110" t="str">
        <f t="shared" si="0"/>
        <v/>
      </c>
      <c r="T4" s="113" t="str">
        <f t="shared" ref="T4:T35" si="2">IF(S4=1,P4,"")</f>
        <v/>
      </c>
      <c r="U4" s="113" t="str">
        <f t="shared" ref="U4:U35" si="3">IF(S4=1,Q4,"")</f>
        <v/>
      </c>
      <c r="V4" s="114" t="str">
        <f t="shared" ref="V4:V35" si="4">IF(S4=1,R4,"")</f>
        <v/>
      </c>
    </row>
    <row r="5" spans="8:22" x14ac:dyDescent="0.2">
      <c r="H5" s="115">
        <f>IF(I2="м",T3,U3)</f>
        <v>85</v>
      </c>
      <c r="I5" s="116">
        <f>V3</f>
        <v>52.5</v>
      </c>
      <c r="J5">
        <f>H2-K5</f>
        <v>47</v>
      </c>
      <c r="K5" s="107">
        <v>2</v>
      </c>
      <c r="L5" s="107">
        <v>144</v>
      </c>
      <c r="P5" s="106"/>
      <c r="Q5" s="106"/>
      <c r="R5" s="112">
        <f t="shared" si="1"/>
        <v>144</v>
      </c>
      <c r="S5" s="110" t="str">
        <f t="shared" si="0"/>
        <v/>
      </c>
      <c r="T5" s="113" t="str">
        <f t="shared" si="2"/>
        <v/>
      </c>
      <c r="U5" s="113" t="str">
        <f t="shared" si="3"/>
        <v/>
      </c>
      <c r="V5" s="114" t="str">
        <f t="shared" si="4"/>
        <v/>
      </c>
    </row>
    <row r="6" spans="8:22" x14ac:dyDescent="0.2">
      <c r="H6" s="117"/>
      <c r="I6" s="117"/>
      <c r="J6">
        <f>H2-K6</f>
        <v>46</v>
      </c>
      <c r="K6">
        <v>3</v>
      </c>
      <c r="L6" s="118">
        <f>L5+N8</f>
        <v>132.33333333333334</v>
      </c>
      <c r="P6" s="106">
        <v>70</v>
      </c>
      <c r="Q6" s="106">
        <v>70</v>
      </c>
      <c r="R6" s="112">
        <f t="shared" si="1"/>
        <v>132.33333333333334</v>
      </c>
      <c r="S6" s="110" t="str">
        <f t="shared" si="0"/>
        <v/>
      </c>
      <c r="T6" s="113" t="str">
        <f t="shared" si="2"/>
        <v/>
      </c>
      <c r="U6" s="113" t="str">
        <f t="shared" si="3"/>
        <v/>
      </c>
      <c r="V6" s="114" t="str">
        <f t="shared" si="4"/>
        <v/>
      </c>
    </row>
    <row r="7" spans="8:22" x14ac:dyDescent="0.2">
      <c r="J7">
        <f>H2-K7</f>
        <v>45</v>
      </c>
      <c r="K7">
        <v>4</v>
      </c>
      <c r="L7" s="118">
        <f>L6+N8</f>
        <v>120.66666666666667</v>
      </c>
      <c r="P7" s="106">
        <v>70</v>
      </c>
      <c r="Q7" s="106">
        <v>70</v>
      </c>
      <c r="R7" s="112">
        <f t="shared" si="1"/>
        <v>120.66666666666667</v>
      </c>
      <c r="S7" s="110" t="str">
        <f t="shared" si="0"/>
        <v/>
      </c>
      <c r="T7" s="113" t="str">
        <f t="shared" si="2"/>
        <v/>
      </c>
      <c r="U7" s="113" t="str">
        <f t="shared" si="3"/>
        <v/>
      </c>
      <c r="V7" s="114" t="str">
        <f t="shared" si="4"/>
        <v/>
      </c>
    </row>
    <row r="8" spans="8:22" x14ac:dyDescent="0.2">
      <c r="J8">
        <f>H2-K8</f>
        <v>44</v>
      </c>
      <c r="K8" s="107">
        <v>5</v>
      </c>
      <c r="L8" s="107">
        <v>109</v>
      </c>
      <c r="M8">
        <f>L5-L8</f>
        <v>35</v>
      </c>
      <c r="N8" s="118">
        <f>M8/3*-1</f>
        <v>-11.666666666666666</v>
      </c>
      <c r="P8" s="106">
        <v>70</v>
      </c>
      <c r="Q8" s="106">
        <v>70</v>
      </c>
      <c r="R8" s="112">
        <f t="shared" si="1"/>
        <v>109</v>
      </c>
      <c r="S8" s="110" t="str">
        <f t="shared" si="0"/>
        <v/>
      </c>
      <c r="T8" s="113" t="str">
        <f t="shared" si="2"/>
        <v/>
      </c>
      <c r="U8" s="113" t="str">
        <f t="shared" si="3"/>
        <v/>
      </c>
      <c r="V8" s="114" t="str">
        <f t="shared" si="4"/>
        <v/>
      </c>
    </row>
    <row r="9" spans="8:22" x14ac:dyDescent="0.2">
      <c r="J9">
        <f>H2-K9</f>
        <v>43</v>
      </c>
      <c r="K9">
        <v>6</v>
      </c>
      <c r="L9">
        <f>L8+N13</f>
        <v>105</v>
      </c>
      <c r="P9" s="106">
        <v>70</v>
      </c>
      <c r="Q9" s="106">
        <v>70</v>
      </c>
      <c r="R9" s="112">
        <f t="shared" si="1"/>
        <v>105</v>
      </c>
      <c r="S9" s="110" t="str">
        <f t="shared" si="0"/>
        <v/>
      </c>
      <c r="T9" s="113" t="str">
        <f t="shared" si="2"/>
        <v/>
      </c>
      <c r="U9" s="113" t="str">
        <f t="shared" si="3"/>
        <v/>
      </c>
      <c r="V9" s="114" t="str">
        <f t="shared" si="4"/>
        <v/>
      </c>
    </row>
    <row r="10" spans="8:22" x14ac:dyDescent="0.2">
      <c r="J10" s="118">
        <f>H2-K10</f>
        <v>42</v>
      </c>
      <c r="K10">
        <v>7</v>
      </c>
      <c r="L10">
        <f>L9+N13</f>
        <v>101</v>
      </c>
      <c r="P10" s="106">
        <v>70</v>
      </c>
      <c r="Q10" s="106">
        <v>70</v>
      </c>
      <c r="R10" s="112">
        <f t="shared" si="1"/>
        <v>101</v>
      </c>
      <c r="S10" s="110" t="str">
        <f t="shared" si="0"/>
        <v/>
      </c>
      <c r="T10" s="113" t="str">
        <f t="shared" si="2"/>
        <v/>
      </c>
      <c r="U10" s="113" t="str">
        <f t="shared" si="3"/>
        <v/>
      </c>
      <c r="V10" s="114" t="str">
        <f t="shared" si="4"/>
        <v/>
      </c>
    </row>
    <row r="11" spans="8:22" x14ac:dyDescent="0.2">
      <c r="J11" s="118">
        <f>H2-K11</f>
        <v>41</v>
      </c>
      <c r="K11">
        <v>8</v>
      </c>
      <c r="L11">
        <f>L10+N13</f>
        <v>97</v>
      </c>
      <c r="P11" s="106">
        <v>74</v>
      </c>
      <c r="Q11" s="106">
        <v>74</v>
      </c>
      <c r="R11" s="112">
        <f t="shared" si="1"/>
        <v>97</v>
      </c>
      <c r="S11" s="110" t="str">
        <f t="shared" si="0"/>
        <v/>
      </c>
      <c r="T11" s="113" t="str">
        <f t="shared" si="2"/>
        <v/>
      </c>
      <c r="U11" s="113" t="str">
        <f t="shared" si="3"/>
        <v/>
      </c>
      <c r="V11" s="114" t="str">
        <f t="shared" si="4"/>
        <v/>
      </c>
    </row>
    <row r="12" spans="8:22" x14ac:dyDescent="0.2">
      <c r="J12">
        <f>H2-K12</f>
        <v>40</v>
      </c>
      <c r="K12">
        <v>9</v>
      </c>
      <c r="L12">
        <f>L11+N13</f>
        <v>93</v>
      </c>
      <c r="P12" s="106">
        <v>74</v>
      </c>
      <c r="Q12" s="106">
        <v>74</v>
      </c>
      <c r="R12" s="112">
        <f t="shared" si="1"/>
        <v>93</v>
      </c>
      <c r="S12" s="110" t="str">
        <f t="shared" si="0"/>
        <v/>
      </c>
      <c r="T12" s="113" t="str">
        <f t="shared" si="2"/>
        <v/>
      </c>
      <c r="U12" s="113" t="str">
        <f t="shared" si="3"/>
        <v/>
      </c>
      <c r="V12" s="114" t="str">
        <f t="shared" si="4"/>
        <v/>
      </c>
    </row>
    <row r="13" spans="8:22" x14ac:dyDescent="0.2">
      <c r="J13">
        <f>H2-K13</f>
        <v>39</v>
      </c>
      <c r="K13" s="107">
        <v>10</v>
      </c>
      <c r="L13" s="107">
        <v>89</v>
      </c>
      <c r="M13">
        <f>L8-L13</f>
        <v>20</v>
      </c>
      <c r="N13">
        <f>M13/5*-1</f>
        <v>-4</v>
      </c>
      <c r="P13" s="106">
        <v>74</v>
      </c>
      <c r="Q13" s="106">
        <v>74</v>
      </c>
      <c r="R13" s="112">
        <f t="shared" si="1"/>
        <v>89</v>
      </c>
      <c r="S13" s="110" t="str">
        <f t="shared" si="0"/>
        <v/>
      </c>
      <c r="T13" s="113" t="str">
        <f t="shared" si="2"/>
        <v/>
      </c>
      <c r="U13" s="113" t="str">
        <f t="shared" si="3"/>
        <v/>
      </c>
      <c r="V13" s="114" t="str">
        <f t="shared" si="4"/>
        <v/>
      </c>
    </row>
    <row r="14" spans="8:22" x14ac:dyDescent="0.2">
      <c r="J14">
        <f>H2-K14</f>
        <v>38</v>
      </c>
      <c r="K14">
        <v>11</v>
      </c>
      <c r="L14">
        <f>L13+N23</f>
        <v>87.4</v>
      </c>
      <c r="P14" s="106">
        <v>74</v>
      </c>
      <c r="Q14" s="106">
        <v>74</v>
      </c>
      <c r="R14" s="112">
        <f t="shared" si="1"/>
        <v>87.4</v>
      </c>
      <c r="S14" s="110" t="str">
        <f t="shared" si="0"/>
        <v/>
      </c>
      <c r="T14" s="113" t="str">
        <f t="shared" si="2"/>
        <v/>
      </c>
      <c r="U14" s="113" t="str">
        <f t="shared" si="3"/>
        <v/>
      </c>
      <c r="V14" s="114" t="str">
        <f t="shared" si="4"/>
        <v/>
      </c>
    </row>
    <row r="15" spans="8:22" x14ac:dyDescent="0.2">
      <c r="J15">
        <f>H2-K15</f>
        <v>37</v>
      </c>
      <c r="K15">
        <v>12</v>
      </c>
      <c r="L15">
        <f>L14+N23</f>
        <v>85.800000000000011</v>
      </c>
      <c r="P15" s="106">
        <v>74</v>
      </c>
      <c r="Q15" s="106">
        <v>74</v>
      </c>
      <c r="R15" s="112">
        <f t="shared" si="1"/>
        <v>85.800000000000011</v>
      </c>
      <c r="S15" s="110" t="str">
        <f t="shared" si="0"/>
        <v/>
      </c>
      <c r="T15" s="113" t="str">
        <f t="shared" si="2"/>
        <v/>
      </c>
      <c r="U15" s="113" t="str">
        <f t="shared" si="3"/>
        <v/>
      </c>
      <c r="V15" s="114" t="str">
        <f t="shared" si="4"/>
        <v/>
      </c>
    </row>
    <row r="16" spans="8:22" x14ac:dyDescent="0.2">
      <c r="J16">
        <f>H2-K16</f>
        <v>36</v>
      </c>
      <c r="K16">
        <v>13</v>
      </c>
      <c r="L16">
        <f>L15+N23</f>
        <v>84.200000000000017</v>
      </c>
      <c r="P16" s="106">
        <v>76</v>
      </c>
      <c r="Q16" s="106">
        <v>76</v>
      </c>
      <c r="R16" s="112">
        <f t="shared" si="1"/>
        <v>84.200000000000017</v>
      </c>
      <c r="S16" s="110" t="str">
        <f t="shared" si="0"/>
        <v/>
      </c>
      <c r="T16" s="113" t="str">
        <f t="shared" si="2"/>
        <v/>
      </c>
      <c r="U16" s="113" t="str">
        <f t="shared" si="3"/>
        <v/>
      </c>
      <c r="V16" s="114" t="str">
        <f t="shared" si="4"/>
        <v/>
      </c>
    </row>
    <row r="17" spans="1:22" x14ac:dyDescent="0.2">
      <c r="J17">
        <f>H2-K17</f>
        <v>35</v>
      </c>
      <c r="K17">
        <v>14</v>
      </c>
      <c r="L17">
        <f>L16+N23</f>
        <v>82.600000000000023</v>
      </c>
      <c r="P17" s="106">
        <v>76</v>
      </c>
      <c r="Q17" s="106">
        <v>76</v>
      </c>
      <c r="R17" s="112">
        <f t="shared" si="1"/>
        <v>82.600000000000023</v>
      </c>
      <c r="S17" s="110" t="str">
        <f t="shared" si="0"/>
        <v/>
      </c>
      <c r="T17" s="113" t="str">
        <f t="shared" si="2"/>
        <v/>
      </c>
      <c r="U17" s="113" t="str">
        <f t="shared" si="3"/>
        <v/>
      </c>
      <c r="V17" s="114" t="str">
        <f t="shared" si="4"/>
        <v/>
      </c>
    </row>
    <row r="18" spans="1:22" x14ac:dyDescent="0.2">
      <c r="J18">
        <f>H2-K18</f>
        <v>34</v>
      </c>
      <c r="K18">
        <v>15</v>
      </c>
      <c r="L18">
        <f>L17+N23</f>
        <v>81.000000000000028</v>
      </c>
      <c r="P18" s="106">
        <v>76</v>
      </c>
      <c r="Q18" s="106">
        <v>76</v>
      </c>
      <c r="R18" s="112">
        <f t="shared" si="1"/>
        <v>81.000000000000028</v>
      </c>
      <c r="S18" s="110" t="str">
        <f t="shared" si="0"/>
        <v/>
      </c>
      <c r="T18" s="113" t="str">
        <f t="shared" si="2"/>
        <v/>
      </c>
      <c r="U18" s="113" t="str">
        <f t="shared" si="3"/>
        <v/>
      </c>
      <c r="V18" s="114" t="str">
        <f t="shared" si="4"/>
        <v/>
      </c>
    </row>
    <row r="19" spans="1:22" x14ac:dyDescent="0.2">
      <c r="J19">
        <f>H2-K19</f>
        <v>33</v>
      </c>
      <c r="K19">
        <v>16</v>
      </c>
      <c r="L19">
        <f>L18+N23</f>
        <v>79.400000000000034</v>
      </c>
      <c r="P19" s="106">
        <v>76</v>
      </c>
      <c r="Q19" s="106">
        <v>76</v>
      </c>
      <c r="R19" s="112">
        <f t="shared" si="1"/>
        <v>79.400000000000034</v>
      </c>
      <c r="S19" s="110" t="str">
        <f t="shared" si="0"/>
        <v/>
      </c>
      <c r="T19" s="113" t="str">
        <f t="shared" si="2"/>
        <v/>
      </c>
      <c r="U19" s="113" t="str">
        <f t="shared" si="3"/>
        <v/>
      </c>
      <c r="V19" s="114" t="str">
        <f t="shared" si="4"/>
        <v/>
      </c>
    </row>
    <row r="20" spans="1:22" x14ac:dyDescent="0.2">
      <c r="J20">
        <f>H2-K20</f>
        <v>32</v>
      </c>
      <c r="K20">
        <v>17</v>
      </c>
      <c r="L20">
        <f>L19+N23</f>
        <v>77.80000000000004</v>
      </c>
      <c r="P20" s="106">
        <v>78</v>
      </c>
      <c r="Q20" s="106">
        <v>78</v>
      </c>
      <c r="R20" s="112">
        <f t="shared" si="1"/>
        <v>77.80000000000004</v>
      </c>
      <c r="S20" s="110" t="str">
        <f t="shared" si="0"/>
        <v/>
      </c>
      <c r="T20" s="113" t="str">
        <f t="shared" si="2"/>
        <v/>
      </c>
      <c r="U20" s="113" t="str">
        <f t="shared" si="3"/>
        <v/>
      </c>
      <c r="V20" s="114" t="str">
        <f t="shared" si="4"/>
        <v/>
      </c>
    </row>
    <row r="21" spans="1:22" x14ac:dyDescent="0.2">
      <c r="I21" s="89"/>
      <c r="J21">
        <f>H2-K21</f>
        <v>31</v>
      </c>
      <c r="K21">
        <v>18</v>
      </c>
      <c r="L21">
        <f>L20+N23</f>
        <v>76.200000000000045</v>
      </c>
      <c r="P21" s="106">
        <v>78</v>
      </c>
      <c r="Q21" s="106">
        <v>78</v>
      </c>
      <c r="R21" s="112">
        <f t="shared" si="1"/>
        <v>76.200000000000045</v>
      </c>
      <c r="S21" s="110" t="str">
        <f t="shared" si="0"/>
        <v/>
      </c>
      <c r="T21" s="113" t="str">
        <f t="shared" si="2"/>
        <v/>
      </c>
      <c r="U21" s="113" t="str">
        <f t="shared" si="3"/>
        <v/>
      </c>
      <c r="V21" s="114" t="str">
        <f t="shared" si="4"/>
        <v/>
      </c>
    </row>
    <row r="22" spans="1:22" x14ac:dyDescent="0.2">
      <c r="I22" s="119"/>
      <c r="J22">
        <f>H2-K22</f>
        <v>30</v>
      </c>
      <c r="K22">
        <v>19</v>
      </c>
      <c r="L22">
        <f>L21+N23</f>
        <v>74.600000000000051</v>
      </c>
      <c r="P22" s="106">
        <v>78</v>
      </c>
      <c r="Q22" s="106">
        <v>78</v>
      </c>
      <c r="R22" s="112">
        <f t="shared" si="1"/>
        <v>74.600000000000051</v>
      </c>
      <c r="S22" s="110" t="str">
        <f t="shared" si="0"/>
        <v/>
      </c>
      <c r="T22" s="113" t="str">
        <f t="shared" si="2"/>
        <v/>
      </c>
      <c r="U22" s="113" t="str">
        <f t="shared" si="3"/>
        <v/>
      </c>
      <c r="V22" s="114" t="str">
        <f t="shared" si="4"/>
        <v/>
      </c>
    </row>
    <row r="23" spans="1:22" x14ac:dyDescent="0.2">
      <c r="I23" s="89"/>
      <c r="J23">
        <f>H2-K23</f>
        <v>29</v>
      </c>
      <c r="K23" s="107">
        <v>20</v>
      </c>
      <c r="L23" s="107">
        <v>73</v>
      </c>
      <c r="M23">
        <f>L13-L23</f>
        <v>16</v>
      </c>
      <c r="N23">
        <f>M23/10*-1</f>
        <v>-1.6</v>
      </c>
      <c r="P23" s="106">
        <v>80</v>
      </c>
      <c r="Q23" s="106">
        <v>80</v>
      </c>
      <c r="R23" s="112">
        <f t="shared" si="1"/>
        <v>73</v>
      </c>
      <c r="S23" s="110" t="str">
        <f t="shared" si="0"/>
        <v/>
      </c>
      <c r="T23" s="113" t="str">
        <f t="shared" si="2"/>
        <v/>
      </c>
      <c r="U23" s="113" t="str">
        <f t="shared" si="3"/>
        <v/>
      </c>
      <c r="V23" s="114" t="str">
        <f t="shared" si="4"/>
        <v/>
      </c>
    </row>
    <row r="24" spans="1:22" x14ac:dyDescent="0.2">
      <c r="I24" s="89"/>
      <c r="J24">
        <f>H2-K24</f>
        <v>28</v>
      </c>
      <c r="K24">
        <v>21</v>
      </c>
      <c r="L24">
        <f>L23+N33</f>
        <v>72.2</v>
      </c>
      <c r="P24" s="106">
        <v>80</v>
      </c>
      <c r="Q24" s="106">
        <v>80</v>
      </c>
      <c r="R24" s="112">
        <f t="shared" si="1"/>
        <v>72.2</v>
      </c>
      <c r="S24" s="110" t="str">
        <f t="shared" si="0"/>
        <v/>
      </c>
      <c r="T24" s="113" t="str">
        <f t="shared" si="2"/>
        <v/>
      </c>
      <c r="U24" s="113" t="str">
        <f t="shared" si="3"/>
        <v/>
      </c>
      <c r="V24" s="114" t="str">
        <f t="shared" si="4"/>
        <v/>
      </c>
    </row>
    <row r="25" spans="1:22" x14ac:dyDescent="0.2">
      <c r="I25" s="89"/>
      <c r="J25">
        <f>H2-K25</f>
        <v>27</v>
      </c>
      <c r="K25">
        <v>22</v>
      </c>
      <c r="L25">
        <f>L24+N33</f>
        <v>71.400000000000006</v>
      </c>
      <c r="P25" s="106">
        <v>80</v>
      </c>
      <c r="Q25" s="106">
        <v>80</v>
      </c>
      <c r="R25" s="112">
        <f t="shared" si="1"/>
        <v>71.400000000000006</v>
      </c>
      <c r="S25" s="110" t="str">
        <f t="shared" si="0"/>
        <v/>
      </c>
      <c r="T25" s="113" t="str">
        <f t="shared" si="2"/>
        <v/>
      </c>
      <c r="U25" s="113" t="str">
        <f t="shared" si="3"/>
        <v/>
      </c>
      <c r="V25" s="114" t="str">
        <f t="shared" si="4"/>
        <v/>
      </c>
    </row>
    <row r="26" spans="1:22" x14ac:dyDescent="0.2">
      <c r="I26" s="89"/>
      <c r="J26">
        <f>H2-K26</f>
        <v>26</v>
      </c>
      <c r="K26">
        <v>23</v>
      </c>
      <c r="L26">
        <f>L25+N33</f>
        <v>70.600000000000009</v>
      </c>
      <c r="P26" s="106">
        <v>80</v>
      </c>
      <c r="Q26" s="106">
        <v>80</v>
      </c>
      <c r="R26" s="112">
        <f t="shared" si="1"/>
        <v>70.600000000000009</v>
      </c>
      <c r="S26" s="110" t="str">
        <f t="shared" si="0"/>
        <v/>
      </c>
      <c r="T26" s="113" t="str">
        <f t="shared" si="2"/>
        <v/>
      </c>
      <c r="U26" s="113" t="str">
        <f t="shared" si="3"/>
        <v/>
      </c>
      <c r="V26" s="114" t="str">
        <f t="shared" si="4"/>
        <v/>
      </c>
    </row>
    <row r="27" spans="1:22" x14ac:dyDescent="0.2">
      <c r="I27" s="89"/>
      <c r="J27">
        <f>H2-K27</f>
        <v>25</v>
      </c>
      <c r="K27">
        <v>24</v>
      </c>
      <c r="L27">
        <f>L26+N33</f>
        <v>69.800000000000011</v>
      </c>
      <c r="P27" s="106">
        <v>80</v>
      </c>
      <c r="Q27" s="106">
        <v>80</v>
      </c>
      <c r="R27" s="112">
        <f t="shared" si="1"/>
        <v>69.800000000000011</v>
      </c>
      <c r="S27" s="110" t="str">
        <f t="shared" si="0"/>
        <v/>
      </c>
      <c r="T27" s="113" t="str">
        <f t="shared" si="2"/>
        <v/>
      </c>
      <c r="U27" s="113" t="str">
        <f t="shared" si="3"/>
        <v/>
      </c>
      <c r="V27" s="114" t="str">
        <f t="shared" si="4"/>
        <v/>
      </c>
    </row>
    <row r="28" spans="1:22" x14ac:dyDescent="0.2">
      <c r="I28" s="89"/>
      <c r="J28">
        <f>H2-K28</f>
        <v>24</v>
      </c>
      <c r="K28">
        <v>25</v>
      </c>
      <c r="L28">
        <f>L27+N33</f>
        <v>69.000000000000014</v>
      </c>
      <c r="P28" s="106">
        <v>80</v>
      </c>
      <c r="Q28" s="106">
        <v>80</v>
      </c>
      <c r="R28" s="112">
        <f t="shared" si="1"/>
        <v>69.000000000000014</v>
      </c>
      <c r="S28" s="110" t="str">
        <f t="shared" si="0"/>
        <v/>
      </c>
      <c r="T28" s="113" t="str">
        <f t="shared" si="2"/>
        <v/>
      </c>
      <c r="U28" s="113" t="str">
        <f t="shared" si="3"/>
        <v/>
      </c>
      <c r="V28" s="114" t="str">
        <f t="shared" si="4"/>
        <v/>
      </c>
    </row>
    <row r="29" spans="1:22" x14ac:dyDescent="0.2">
      <c r="I29" s="89"/>
      <c r="J29">
        <f>H2-K29</f>
        <v>23</v>
      </c>
      <c r="K29">
        <v>26</v>
      </c>
      <c r="L29">
        <f>L28+N33</f>
        <v>68.200000000000017</v>
      </c>
      <c r="P29" s="106">
        <v>80</v>
      </c>
      <c r="Q29" s="106">
        <v>80</v>
      </c>
      <c r="R29" s="112">
        <f t="shared" si="1"/>
        <v>68.200000000000017</v>
      </c>
      <c r="S29" s="110" t="str">
        <f t="shared" si="0"/>
        <v/>
      </c>
      <c r="T29" s="113" t="str">
        <f t="shared" si="2"/>
        <v/>
      </c>
      <c r="U29" s="113" t="str">
        <f t="shared" si="3"/>
        <v/>
      </c>
      <c r="V29" s="114" t="str">
        <f t="shared" si="4"/>
        <v/>
      </c>
    </row>
    <row r="30" spans="1:22" x14ac:dyDescent="0.2">
      <c r="I30" s="89"/>
      <c r="J30">
        <f>H2-K30</f>
        <v>22</v>
      </c>
      <c r="K30">
        <v>27</v>
      </c>
      <c r="L30">
        <f>L29+N33</f>
        <v>67.40000000000002</v>
      </c>
      <c r="P30" s="106">
        <v>80</v>
      </c>
      <c r="Q30" s="106">
        <v>80</v>
      </c>
      <c r="R30" s="112">
        <f t="shared" si="1"/>
        <v>67.40000000000002</v>
      </c>
      <c r="S30" s="110" t="str">
        <f t="shared" si="0"/>
        <v/>
      </c>
      <c r="T30" s="113" t="str">
        <f t="shared" si="2"/>
        <v/>
      </c>
      <c r="U30" s="113" t="str">
        <f t="shared" si="3"/>
        <v/>
      </c>
      <c r="V30" s="114" t="str">
        <f t="shared" si="4"/>
        <v/>
      </c>
    </row>
    <row r="31" spans="1:22" x14ac:dyDescent="0.2">
      <c r="I31" s="89"/>
      <c r="J31">
        <f>H2-K31</f>
        <v>21</v>
      </c>
      <c r="K31">
        <v>28</v>
      </c>
      <c r="L31">
        <f>L30+N33</f>
        <v>66.600000000000023</v>
      </c>
      <c r="P31" s="106">
        <v>80</v>
      </c>
      <c r="Q31" s="106">
        <v>80</v>
      </c>
      <c r="R31" s="112">
        <f t="shared" si="1"/>
        <v>66.600000000000023</v>
      </c>
      <c r="S31" s="110" t="str">
        <f t="shared" si="0"/>
        <v/>
      </c>
      <c r="T31" s="113" t="str">
        <f t="shared" si="2"/>
        <v/>
      </c>
      <c r="U31" s="113" t="str">
        <f t="shared" si="3"/>
        <v/>
      </c>
      <c r="V31" s="114" t="str">
        <f t="shared" si="4"/>
        <v/>
      </c>
    </row>
    <row r="32" spans="1:22" x14ac:dyDescent="0.2">
      <c r="A32" s="120"/>
      <c r="B32" s="121"/>
      <c r="C32" s="122"/>
      <c r="D32" s="122"/>
      <c r="E32" s="79"/>
      <c r="I32" s="89"/>
      <c r="J32">
        <f>H2-K32</f>
        <v>20</v>
      </c>
      <c r="K32">
        <v>29</v>
      </c>
      <c r="L32">
        <f>L31+N33</f>
        <v>65.800000000000026</v>
      </c>
      <c r="P32" s="106">
        <v>80</v>
      </c>
      <c r="Q32" s="106">
        <v>80</v>
      </c>
      <c r="R32" s="112">
        <f t="shared" si="1"/>
        <v>65.800000000000026</v>
      </c>
      <c r="S32" s="110" t="str">
        <f t="shared" si="0"/>
        <v/>
      </c>
      <c r="T32" s="113" t="str">
        <f t="shared" si="2"/>
        <v/>
      </c>
      <c r="U32" s="113" t="str">
        <f t="shared" si="3"/>
        <v/>
      </c>
      <c r="V32" s="114" t="str">
        <f t="shared" si="4"/>
        <v/>
      </c>
    </row>
    <row r="33" spans="1:22" x14ac:dyDescent="0.2">
      <c r="A33" s="123"/>
      <c r="B33" s="124"/>
      <c r="C33" s="125"/>
      <c r="D33" s="125"/>
      <c r="E33" s="79"/>
      <c r="I33" s="89"/>
      <c r="J33">
        <f>H2-K33</f>
        <v>19</v>
      </c>
      <c r="K33" s="107">
        <v>30</v>
      </c>
      <c r="L33" s="107">
        <v>65</v>
      </c>
      <c r="M33">
        <f>L23-L33</f>
        <v>8</v>
      </c>
      <c r="N33">
        <f>M33/10*-1</f>
        <v>-0.8</v>
      </c>
      <c r="P33" s="106">
        <v>85</v>
      </c>
      <c r="Q33" s="106">
        <v>85</v>
      </c>
      <c r="R33" s="112">
        <f t="shared" si="1"/>
        <v>65</v>
      </c>
      <c r="S33" s="110" t="str">
        <f t="shared" si="0"/>
        <v/>
      </c>
      <c r="T33" s="113" t="str">
        <f t="shared" si="2"/>
        <v/>
      </c>
      <c r="U33" s="113" t="str">
        <f t="shared" si="3"/>
        <v/>
      </c>
      <c r="V33" s="114" t="str">
        <f t="shared" si="4"/>
        <v/>
      </c>
    </row>
    <row r="34" spans="1:22" x14ac:dyDescent="0.2">
      <c r="A34" s="123"/>
      <c r="B34" s="126"/>
      <c r="C34" s="127"/>
      <c r="D34" s="127"/>
      <c r="E34" s="79"/>
      <c r="I34" s="89"/>
      <c r="J34">
        <f>H2-K34</f>
        <v>18</v>
      </c>
      <c r="K34">
        <v>31</v>
      </c>
      <c r="L34">
        <f>L33+N43</f>
        <v>64.2</v>
      </c>
      <c r="P34" s="106">
        <v>85</v>
      </c>
      <c r="Q34" s="106">
        <v>85</v>
      </c>
      <c r="R34" s="112">
        <f t="shared" si="1"/>
        <v>64.2</v>
      </c>
      <c r="S34" s="110" t="str">
        <f t="shared" si="0"/>
        <v/>
      </c>
      <c r="T34" s="113" t="str">
        <f t="shared" si="2"/>
        <v/>
      </c>
      <c r="U34" s="113" t="str">
        <f t="shared" si="3"/>
        <v/>
      </c>
      <c r="V34" s="114" t="str">
        <f t="shared" si="4"/>
        <v/>
      </c>
    </row>
    <row r="35" spans="1:22" x14ac:dyDescent="0.2">
      <c r="A35" s="123"/>
      <c r="B35" s="126"/>
      <c r="C35" s="127"/>
      <c r="D35" s="127"/>
      <c r="E35" s="79"/>
      <c r="I35" s="89"/>
      <c r="J35">
        <f>H2-K35</f>
        <v>17</v>
      </c>
      <c r="K35">
        <v>32</v>
      </c>
      <c r="L35">
        <f>L34+N43</f>
        <v>63.400000000000006</v>
      </c>
      <c r="P35" s="106">
        <v>85</v>
      </c>
      <c r="Q35" s="106">
        <v>85</v>
      </c>
      <c r="R35" s="112">
        <f t="shared" si="1"/>
        <v>63.400000000000006</v>
      </c>
      <c r="S35" s="110" t="str">
        <f t="shared" ref="S35:S66" si="5">IF(J35=0,1,"")</f>
        <v/>
      </c>
      <c r="T35" s="113" t="str">
        <f t="shared" si="2"/>
        <v/>
      </c>
      <c r="U35" s="113" t="str">
        <f t="shared" si="3"/>
        <v/>
      </c>
      <c r="V35" s="114" t="str">
        <f t="shared" si="4"/>
        <v/>
      </c>
    </row>
    <row r="36" spans="1:22" x14ac:dyDescent="0.2">
      <c r="A36" s="123"/>
      <c r="D36" s="53"/>
      <c r="E36" s="128" t="s">
        <v>37</v>
      </c>
      <c r="F36" s="128" t="s">
        <v>38</v>
      </c>
      <c r="I36" s="89"/>
      <c r="J36">
        <f>H2-K36</f>
        <v>16</v>
      </c>
      <c r="K36">
        <v>33</v>
      </c>
      <c r="L36">
        <f>L35+N43</f>
        <v>62.600000000000009</v>
      </c>
      <c r="P36" s="106">
        <v>85</v>
      </c>
      <c r="Q36" s="106">
        <v>85</v>
      </c>
      <c r="R36" s="112">
        <f t="shared" ref="R36:R67" si="6">L36</f>
        <v>62.600000000000009</v>
      </c>
      <c r="S36" s="110" t="str">
        <f t="shared" si="5"/>
        <v/>
      </c>
      <c r="T36" s="113" t="str">
        <f t="shared" ref="T36:T67" si="7">IF(S36=1,P36,"")</f>
        <v/>
      </c>
      <c r="U36" s="113" t="str">
        <f t="shared" ref="U36:U67" si="8">IF(S36=1,Q36,"")</f>
        <v/>
      </c>
      <c r="V36" s="114" t="str">
        <f t="shared" ref="V36:V67" si="9">IF(S36=1,R36,"")</f>
        <v/>
      </c>
    </row>
    <row r="37" spans="1:22" x14ac:dyDescent="0.2">
      <c r="A37" s="129"/>
      <c r="D37" s="53" t="s">
        <v>34</v>
      </c>
      <c r="E37" s="130">
        <f>Лист1!B18</f>
        <v>102.8643546971027</v>
      </c>
      <c r="F37" s="130">
        <f>Лист1!B17</f>
        <v>99.121590383726328</v>
      </c>
      <c r="G37" s="131">
        <f t="shared" ref="G37:G44" si="10">F37/100</f>
        <v>0.99121590383726332</v>
      </c>
      <c r="I37" s="89"/>
      <c r="J37">
        <f>H2-K37</f>
        <v>15</v>
      </c>
      <c r="K37">
        <v>34</v>
      </c>
      <c r="L37">
        <f>L36+N43</f>
        <v>61.800000000000011</v>
      </c>
      <c r="P37" s="106">
        <v>85</v>
      </c>
      <c r="Q37" s="106">
        <v>85</v>
      </c>
      <c r="R37" s="112">
        <f t="shared" si="6"/>
        <v>61.800000000000011</v>
      </c>
      <c r="S37" s="110" t="str">
        <f t="shared" si="5"/>
        <v/>
      </c>
      <c r="T37" s="113" t="str">
        <f t="shared" si="7"/>
        <v/>
      </c>
      <c r="U37" s="113" t="str">
        <f t="shared" si="8"/>
        <v/>
      </c>
      <c r="V37" s="114" t="str">
        <f t="shared" si="9"/>
        <v/>
      </c>
    </row>
    <row r="38" spans="1:22" x14ac:dyDescent="0.2">
      <c r="A38" s="132"/>
      <c r="D38" s="53" t="s">
        <v>30</v>
      </c>
      <c r="E38" s="130">
        <f>Лист1!C18</f>
        <v>102.8643546971027</v>
      </c>
      <c r="F38" s="130">
        <f>Лист1!C17</f>
        <v>99.121590383726328</v>
      </c>
      <c r="G38" s="131">
        <f t="shared" si="10"/>
        <v>0.99121590383726332</v>
      </c>
      <c r="I38" s="89"/>
      <c r="J38">
        <f>H2-K38</f>
        <v>14</v>
      </c>
      <c r="K38">
        <v>35</v>
      </c>
      <c r="L38">
        <f>L37+N43</f>
        <v>61.000000000000014</v>
      </c>
      <c r="P38" s="106">
        <v>85</v>
      </c>
      <c r="Q38" s="106">
        <v>85</v>
      </c>
      <c r="R38" s="112">
        <f t="shared" si="6"/>
        <v>61.000000000000014</v>
      </c>
      <c r="S38" s="110" t="str">
        <f t="shared" si="5"/>
        <v/>
      </c>
      <c r="T38" s="113" t="str">
        <f t="shared" si="7"/>
        <v/>
      </c>
      <c r="U38" s="113" t="str">
        <f t="shared" si="8"/>
        <v/>
      </c>
      <c r="V38" s="114" t="str">
        <f t="shared" si="9"/>
        <v/>
      </c>
    </row>
    <row r="39" spans="1:22" x14ac:dyDescent="0.2">
      <c r="A39" s="129"/>
      <c r="D39" s="53" t="s">
        <v>36</v>
      </c>
      <c r="E39" s="130">
        <f>Лист1!D18</f>
        <v>84.167454891584157</v>
      </c>
      <c r="F39" s="130">
        <f>Лист1!D17</f>
        <v>121.14039143165358</v>
      </c>
      <c r="G39" s="131">
        <f t="shared" si="10"/>
        <v>1.2114039143165358</v>
      </c>
      <c r="I39" s="89"/>
      <c r="J39">
        <f>H2-K39</f>
        <v>13</v>
      </c>
      <c r="K39">
        <v>36</v>
      </c>
      <c r="L39">
        <f>L38+N43</f>
        <v>60.200000000000017</v>
      </c>
      <c r="P39" s="106">
        <v>85</v>
      </c>
      <c r="Q39" s="106">
        <v>85</v>
      </c>
      <c r="R39" s="112">
        <f t="shared" si="6"/>
        <v>60.200000000000017</v>
      </c>
      <c r="S39" s="110" t="str">
        <f t="shared" si="5"/>
        <v/>
      </c>
      <c r="T39" s="113" t="str">
        <f t="shared" si="7"/>
        <v/>
      </c>
      <c r="U39" s="113" t="str">
        <f t="shared" si="8"/>
        <v/>
      </c>
      <c r="V39" s="114" t="str">
        <f t="shared" si="9"/>
        <v/>
      </c>
    </row>
    <row r="40" spans="1:22" x14ac:dyDescent="0.2">
      <c r="A40" s="132"/>
      <c r="D40" s="53" t="s">
        <v>31</v>
      </c>
      <c r="E40" s="130">
        <f>Лист1!E18</f>
        <v>89.80489466257967</v>
      </c>
      <c r="F40" s="130">
        <f>Лист1!E17</f>
        <v>111.78918169209433</v>
      </c>
      <c r="G40" s="131">
        <f t="shared" si="10"/>
        <v>1.1178918169209433</v>
      </c>
      <c r="I40" s="89"/>
      <c r="J40">
        <f>H2-K40</f>
        <v>12</v>
      </c>
      <c r="K40">
        <v>37</v>
      </c>
      <c r="L40">
        <f>L39+N43</f>
        <v>59.40000000000002</v>
      </c>
      <c r="P40" s="106">
        <v>85</v>
      </c>
      <c r="Q40" s="106">
        <v>85</v>
      </c>
      <c r="R40" s="112">
        <f t="shared" si="6"/>
        <v>59.40000000000002</v>
      </c>
      <c r="S40" s="110" t="str">
        <f t="shared" si="5"/>
        <v/>
      </c>
      <c r="T40" s="113" t="str">
        <f t="shared" si="7"/>
        <v/>
      </c>
      <c r="U40" s="113" t="str">
        <f t="shared" si="8"/>
        <v/>
      </c>
      <c r="V40" s="114" t="str">
        <f t="shared" si="9"/>
        <v/>
      </c>
    </row>
    <row r="41" spans="1:22" x14ac:dyDescent="0.2">
      <c r="A41" s="133"/>
      <c r="D41" s="53" t="s">
        <v>0</v>
      </c>
      <c r="E41" s="130">
        <f>Лист1!F18</f>
        <v>99.94768916904242</v>
      </c>
      <c r="F41" s="130">
        <f>Лист1!F17</f>
        <v>103.97595931576518</v>
      </c>
      <c r="G41" s="131">
        <f t="shared" si="10"/>
        <v>1.0397595931576518</v>
      </c>
      <c r="I41" s="119"/>
      <c r="J41">
        <f>H2-K41</f>
        <v>11</v>
      </c>
      <c r="K41">
        <v>38</v>
      </c>
      <c r="L41">
        <f>L40+N43</f>
        <v>58.600000000000023</v>
      </c>
      <c r="P41" s="106">
        <v>85</v>
      </c>
      <c r="Q41" s="106">
        <v>85</v>
      </c>
      <c r="R41" s="112">
        <f t="shared" si="6"/>
        <v>58.600000000000023</v>
      </c>
      <c r="S41" s="110" t="str">
        <f t="shared" si="5"/>
        <v/>
      </c>
      <c r="T41" s="113" t="str">
        <f t="shared" si="7"/>
        <v/>
      </c>
      <c r="U41" s="113" t="str">
        <f t="shared" si="8"/>
        <v/>
      </c>
      <c r="V41" s="114" t="str">
        <f t="shared" si="9"/>
        <v/>
      </c>
    </row>
    <row r="42" spans="1:22" x14ac:dyDescent="0.2">
      <c r="A42" s="133"/>
      <c r="D42" s="53" t="s">
        <v>32</v>
      </c>
      <c r="E42" s="130">
        <f>Лист1!G18</f>
        <v>68.969141561462976</v>
      </c>
      <c r="F42" s="130">
        <f>Лист1!G17</f>
        <v>153.52134381260595</v>
      </c>
      <c r="G42" s="131">
        <f t="shared" si="10"/>
        <v>1.5352134381260596</v>
      </c>
      <c r="I42" s="89"/>
      <c r="J42">
        <f>H2-K42</f>
        <v>10</v>
      </c>
      <c r="K42">
        <v>39</v>
      </c>
      <c r="L42">
        <f>L41+N43</f>
        <v>57.800000000000026</v>
      </c>
      <c r="P42" s="106">
        <v>85</v>
      </c>
      <c r="Q42" s="106">
        <v>85</v>
      </c>
      <c r="R42" s="112">
        <f t="shared" si="6"/>
        <v>57.800000000000026</v>
      </c>
      <c r="S42" s="110" t="str">
        <f t="shared" si="5"/>
        <v/>
      </c>
      <c r="T42" s="113" t="str">
        <f t="shared" si="7"/>
        <v/>
      </c>
      <c r="U42" s="113" t="str">
        <f t="shared" si="8"/>
        <v/>
      </c>
      <c r="V42" s="114" t="str">
        <f t="shared" si="9"/>
        <v/>
      </c>
    </row>
    <row r="43" spans="1:22" x14ac:dyDescent="0.2">
      <c r="A43" s="133"/>
      <c r="D43" s="53" t="s">
        <v>33</v>
      </c>
      <c r="E43" s="130">
        <f>Лист1!H18</f>
        <v>93.065491783758006</v>
      </c>
      <c r="F43" s="130">
        <f>Лист1!H17</f>
        <v>114.19325011558024</v>
      </c>
      <c r="G43" s="131">
        <f t="shared" si="10"/>
        <v>1.1419325011558024</v>
      </c>
      <c r="I43" s="89"/>
      <c r="J43">
        <f>H2-K43</f>
        <v>9</v>
      </c>
      <c r="K43" s="107">
        <v>40</v>
      </c>
      <c r="L43" s="107">
        <v>57</v>
      </c>
      <c r="M43">
        <f>L33-L43</f>
        <v>8</v>
      </c>
      <c r="N43">
        <f>M43/10*-1</f>
        <v>-0.8</v>
      </c>
      <c r="P43" s="106">
        <v>85</v>
      </c>
      <c r="Q43" s="106">
        <v>85</v>
      </c>
      <c r="R43" s="112">
        <f t="shared" si="6"/>
        <v>57</v>
      </c>
      <c r="S43" s="110" t="str">
        <f t="shared" si="5"/>
        <v/>
      </c>
      <c r="T43" s="113" t="str">
        <f t="shared" si="7"/>
        <v/>
      </c>
      <c r="U43" s="113" t="str">
        <f t="shared" si="8"/>
        <v/>
      </c>
      <c r="V43" s="114" t="str">
        <f t="shared" si="9"/>
        <v/>
      </c>
    </row>
    <row r="44" spans="1:22" x14ac:dyDescent="0.2">
      <c r="A44" s="134"/>
      <c r="D44" s="53" t="s">
        <v>39</v>
      </c>
      <c r="E44" s="130">
        <f>AVERAGE(E37:E43)</f>
        <v>91.669054494661808</v>
      </c>
      <c r="F44" s="130">
        <f>AVERAGE(F37:F43)</f>
        <v>114.69475816216456</v>
      </c>
      <c r="G44" s="131">
        <f t="shared" si="10"/>
        <v>1.1469475816216457</v>
      </c>
      <c r="I44" s="89"/>
      <c r="J44">
        <f>H2-K44</f>
        <v>8</v>
      </c>
      <c r="K44">
        <v>41</v>
      </c>
      <c r="L44">
        <f>L43+N53</f>
        <v>56.5</v>
      </c>
      <c r="P44" s="106">
        <v>85</v>
      </c>
      <c r="Q44" s="106">
        <v>85</v>
      </c>
      <c r="R44" s="112">
        <f t="shared" si="6"/>
        <v>56.5</v>
      </c>
      <c r="S44" s="110" t="str">
        <f t="shared" si="5"/>
        <v/>
      </c>
      <c r="T44" s="113" t="str">
        <f t="shared" si="7"/>
        <v/>
      </c>
      <c r="U44" s="113" t="str">
        <f t="shared" si="8"/>
        <v/>
      </c>
      <c r="V44" s="114" t="str">
        <f t="shared" si="9"/>
        <v/>
      </c>
    </row>
    <row r="45" spans="1:22" x14ac:dyDescent="0.2">
      <c r="A45" s="135"/>
      <c r="B45" s="136"/>
      <c r="C45" s="136"/>
      <c r="D45" s="136"/>
      <c r="E45" s="79"/>
      <c r="J45">
        <f>H2-K45</f>
        <v>7</v>
      </c>
      <c r="K45">
        <v>42</v>
      </c>
      <c r="L45">
        <f>L44+N53</f>
        <v>56</v>
      </c>
      <c r="P45" s="106">
        <v>85</v>
      </c>
      <c r="Q45" s="106">
        <v>85</v>
      </c>
      <c r="R45" s="112">
        <f t="shared" si="6"/>
        <v>56</v>
      </c>
      <c r="S45" s="110" t="str">
        <f t="shared" si="5"/>
        <v/>
      </c>
      <c r="T45" s="113" t="str">
        <f t="shared" si="7"/>
        <v/>
      </c>
      <c r="U45" s="113" t="str">
        <f t="shared" si="8"/>
        <v/>
      </c>
      <c r="V45" s="114" t="str">
        <f t="shared" si="9"/>
        <v/>
      </c>
    </row>
    <row r="46" spans="1:22" x14ac:dyDescent="0.2">
      <c r="A46" s="137"/>
      <c r="B46" s="138"/>
      <c r="C46" s="138"/>
      <c r="D46" s="138"/>
      <c r="E46" s="79"/>
      <c r="J46">
        <f>H2-K46</f>
        <v>6</v>
      </c>
      <c r="K46">
        <v>43</v>
      </c>
      <c r="L46">
        <f>L45+N53</f>
        <v>55.5</v>
      </c>
      <c r="P46" s="106">
        <v>85</v>
      </c>
      <c r="Q46" s="106">
        <v>85</v>
      </c>
      <c r="R46" s="112">
        <f t="shared" si="6"/>
        <v>55.5</v>
      </c>
      <c r="S46" s="110" t="str">
        <f t="shared" si="5"/>
        <v/>
      </c>
      <c r="T46" s="113" t="str">
        <f t="shared" si="7"/>
        <v/>
      </c>
      <c r="U46" s="113" t="str">
        <f t="shared" si="8"/>
        <v/>
      </c>
      <c r="V46" s="114" t="str">
        <f t="shared" si="9"/>
        <v/>
      </c>
    </row>
    <row r="47" spans="1:22" x14ac:dyDescent="0.2">
      <c r="A47" s="139"/>
      <c r="B47" s="140"/>
      <c r="C47" s="140"/>
      <c r="D47" s="140"/>
      <c r="E47" s="79"/>
      <c r="J47">
        <f>H2-K47</f>
        <v>5</v>
      </c>
      <c r="K47">
        <v>44</v>
      </c>
      <c r="L47">
        <f>L46+N53</f>
        <v>55</v>
      </c>
      <c r="P47" s="106">
        <v>85</v>
      </c>
      <c r="Q47" s="106">
        <v>85</v>
      </c>
      <c r="R47" s="112">
        <f t="shared" si="6"/>
        <v>55</v>
      </c>
      <c r="S47" s="110" t="str">
        <f t="shared" si="5"/>
        <v/>
      </c>
      <c r="T47" s="113" t="str">
        <f t="shared" si="7"/>
        <v/>
      </c>
      <c r="U47" s="113" t="str">
        <f t="shared" si="8"/>
        <v/>
      </c>
      <c r="V47" s="114" t="str">
        <f t="shared" si="9"/>
        <v/>
      </c>
    </row>
    <row r="48" spans="1:22" x14ac:dyDescent="0.2">
      <c r="A48" s="141"/>
      <c r="B48" s="142"/>
      <c r="C48" s="142"/>
      <c r="D48" s="142"/>
      <c r="E48" s="79"/>
      <c r="J48">
        <f>H2-K48</f>
        <v>4</v>
      </c>
      <c r="K48">
        <v>45</v>
      </c>
      <c r="L48">
        <f>L47+N53</f>
        <v>54.5</v>
      </c>
      <c r="P48" s="106">
        <v>85</v>
      </c>
      <c r="Q48" s="106">
        <v>85</v>
      </c>
      <c r="R48" s="112">
        <f t="shared" si="6"/>
        <v>54.5</v>
      </c>
      <c r="S48" s="110" t="str">
        <f t="shared" si="5"/>
        <v/>
      </c>
      <c r="T48" s="113" t="str">
        <f t="shared" si="7"/>
        <v/>
      </c>
      <c r="U48" s="113" t="str">
        <f t="shared" si="8"/>
        <v/>
      </c>
      <c r="V48" s="114" t="str">
        <f t="shared" si="9"/>
        <v/>
      </c>
    </row>
    <row r="49" spans="1:22" x14ac:dyDescent="0.2">
      <c r="A49" s="143"/>
      <c r="B49" s="144"/>
      <c r="C49" s="144"/>
      <c r="D49" s="144"/>
      <c r="E49" s="79"/>
      <c r="J49">
        <f>H2-K49</f>
        <v>3</v>
      </c>
      <c r="K49">
        <v>46</v>
      </c>
      <c r="L49">
        <f>L48+N53</f>
        <v>54</v>
      </c>
      <c r="P49" s="106">
        <v>85</v>
      </c>
      <c r="Q49" s="106">
        <v>85</v>
      </c>
      <c r="R49" s="112">
        <f t="shared" si="6"/>
        <v>54</v>
      </c>
      <c r="S49" s="110" t="str">
        <f t="shared" si="5"/>
        <v/>
      </c>
      <c r="T49" s="113" t="str">
        <f t="shared" si="7"/>
        <v/>
      </c>
      <c r="U49" s="113" t="str">
        <f t="shared" si="8"/>
        <v/>
      </c>
      <c r="V49" s="114" t="str">
        <f t="shared" si="9"/>
        <v/>
      </c>
    </row>
    <row r="50" spans="1:22" x14ac:dyDescent="0.2">
      <c r="A50" s="143"/>
      <c r="B50" s="145"/>
      <c r="C50" s="145"/>
      <c r="D50" s="145"/>
      <c r="E50" s="79"/>
      <c r="J50">
        <f>H2-K50</f>
        <v>2</v>
      </c>
      <c r="K50">
        <v>47</v>
      </c>
      <c r="L50">
        <f>L49+N53</f>
        <v>53.5</v>
      </c>
      <c r="P50" s="106">
        <v>85</v>
      </c>
      <c r="Q50" s="106">
        <v>85</v>
      </c>
      <c r="R50" s="112">
        <f t="shared" si="6"/>
        <v>53.5</v>
      </c>
      <c r="S50" s="110" t="str">
        <f t="shared" si="5"/>
        <v/>
      </c>
      <c r="T50" s="113" t="str">
        <f t="shared" si="7"/>
        <v/>
      </c>
      <c r="U50" s="113" t="str">
        <f t="shared" si="8"/>
        <v/>
      </c>
      <c r="V50" s="114" t="str">
        <f t="shared" si="9"/>
        <v/>
      </c>
    </row>
    <row r="51" spans="1:22" x14ac:dyDescent="0.2">
      <c r="A51" s="143"/>
      <c r="B51" s="142"/>
      <c r="C51" s="142"/>
      <c r="D51" s="142"/>
      <c r="E51" s="79"/>
      <c r="J51">
        <f>H2-K51</f>
        <v>1</v>
      </c>
      <c r="K51">
        <v>48</v>
      </c>
      <c r="L51">
        <f>L50+N53</f>
        <v>53</v>
      </c>
      <c r="P51" s="106">
        <v>85</v>
      </c>
      <c r="Q51" s="106">
        <v>85</v>
      </c>
      <c r="R51" s="112">
        <f t="shared" si="6"/>
        <v>53</v>
      </c>
      <c r="S51" s="110" t="str">
        <f t="shared" si="5"/>
        <v/>
      </c>
      <c r="T51" s="113" t="str">
        <f t="shared" si="7"/>
        <v/>
      </c>
      <c r="U51" s="113" t="str">
        <f t="shared" si="8"/>
        <v/>
      </c>
      <c r="V51" s="114" t="str">
        <f t="shared" si="9"/>
        <v/>
      </c>
    </row>
    <row r="52" spans="1:22" x14ac:dyDescent="0.2">
      <c r="C52" s="106">
        <v>94.9</v>
      </c>
      <c r="J52">
        <f>H2-K52</f>
        <v>0</v>
      </c>
      <c r="K52">
        <v>49</v>
      </c>
      <c r="L52">
        <f>L51+N53</f>
        <v>52.5</v>
      </c>
      <c r="P52" s="106">
        <v>85</v>
      </c>
      <c r="Q52" s="106">
        <v>85</v>
      </c>
      <c r="R52" s="112">
        <f t="shared" si="6"/>
        <v>52.5</v>
      </c>
      <c r="S52" s="110">
        <f t="shared" si="5"/>
        <v>1</v>
      </c>
      <c r="T52" s="113">
        <f t="shared" si="7"/>
        <v>85</v>
      </c>
      <c r="U52" s="113">
        <f t="shared" si="8"/>
        <v>85</v>
      </c>
      <c r="V52" s="114">
        <f t="shared" si="9"/>
        <v>52.5</v>
      </c>
    </row>
    <row r="53" spans="1:22" x14ac:dyDescent="0.2">
      <c r="B53" s="146" t="s">
        <v>40</v>
      </c>
      <c r="C53" s="147">
        <f>Лист1!B5</f>
        <v>49</v>
      </c>
      <c r="D53">
        <v>20</v>
      </c>
      <c r="J53">
        <f>H2-K53</f>
        <v>-1</v>
      </c>
      <c r="K53" s="107">
        <v>50</v>
      </c>
      <c r="L53" s="107">
        <v>52</v>
      </c>
      <c r="M53">
        <f>L43-L53</f>
        <v>5</v>
      </c>
      <c r="N53">
        <f>M53/10*-1</f>
        <v>-0.5</v>
      </c>
      <c r="P53" s="106">
        <v>90</v>
      </c>
      <c r="Q53" s="106">
        <v>95</v>
      </c>
      <c r="R53" s="112">
        <f t="shared" si="6"/>
        <v>52</v>
      </c>
      <c r="S53" s="110" t="str">
        <f t="shared" si="5"/>
        <v/>
      </c>
      <c r="T53" s="113" t="str">
        <f t="shared" si="7"/>
        <v/>
      </c>
      <c r="U53" s="113" t="str">
        <f t="shared" si="8"/>
        <v/>
      </c>
      <c r="V53" s="114" t="str">
        <f t="shared" si="9"/>
        <v/>
      </c>
    </row>
    <row r="54" spans="1:22" x14ac:dyDescent="0.2">
      <c r="B54" s="148" t="s">
        <v>41</v>
      </c>
      <c r="C54" s="148">
        <v>10</v>
      </c>
      <c r="E54" s="149">
        <f>90-C54</f>
        <v>80</v>
      </c>
      <c r="F54" t="s">
        <v>42</v>
      </c>
      <c r="J54">
        <f>H2-K54</f>
        <v>-2</v>
      </c>
      <c r="K54">
        <v>51</v>
      </c>
      <c r="L54">
        <f>L53+N63</f>
        <v>51.2</v>
      </c>
      <c r="P54" s="106">
        <v>90</v>
      </c>
      <c r="Q54" s="106">
        <v>95</v>
      </c>
      <c r="R54" s="112">
        <f t="shared" si="6"/>
        <v>51.2</v>
      </c>
      <c r="S54" s="110" t="str">
        <f t="shared" si="5"/>
        <v/>
      </c>
      <c r="T54" s="113" t="str">
        <f t="shared" si="7"/>
        <v/>
      </c>
      <c r="U54" s="113" t="str">
        <f t="shared" si="8"/>
        <v/>
      </c>
      <c r="V54" s="114" t="str">
        <f t="shared" si="9"/>
        <v/>
      </c>
    </row>
    <row r="55" spans="1:22" x14ac:dyDescent="0.2">
      <c r="B55" s="148" t="s">
        <v>43</v>
      </c>
      <c r="C55" s="150">
        <v>40</v>
      </c>
      <c r="E55" t="s">
        <v>44</v>
      </c>
      <c r="J55">
        <f>H2-K55</f>
        <v>-3</v>
      </c>
      <c r="K55">
        <v>52</v>
      </c>
      <c r="L55">
        <f>L54+N63</f>
        <v>50.400000000000006</v>
      </c>
      <c r="P55" s="106">
        <v>90</v>
      </c>
      <c r="Q55" s="106">
        <v>95</v>
      </c>
      <c r="R55" s="112">
        <f t="shared" si="6"/>
        <v>50.400000000000006</v>
      </c>
      <c r="S55" s="110" t="str">
        <f t="shared" si="5"/>
        <v/>
      </c>
      <c r="T55" s="113" t="str">
        <f t="shared" si="7"/>
        <v/>
      </c>
      <c r="U55" s="113" t="str">
        <f t="shared" si="8"/>
        <v/>
      </c>
      <c r="V55" s="114" t="str">
        <f t="shared" si="9"/>
        <v/>
      </c>
    </row>
    <row r="56" spans="1:22" x14ac:dyDescent="0.2">
      <c r="B56" s="106" t="s">
        <v>45</v>
      </c>
      <c r="C56" s="112">
        <f>COS(E54*PI()/180)*C55</f>
        <v>6.9459271066772166</v>
      </c>
      <c r="D56" s="112">
        <f>COS(C54*PI()/180)*C55</f>
        <v>39.392310120488318</v>
      </c>
      <c r="J56">
        <f>H2-K56</f>
        <v>-4</v>
      </c>
      <c r="K56">
        <v>53</v>
      </c>
      <c r="L56">
        <f>L55+N63</f>
        <v>49.600000000000009</v>
      </c>
      <c r="P56" s="106">
        <v>90</v>
      </c>
      <c r="Q56" s="106">
        <v>95</v>
      </c>
      <c r="R56" s="112">
        <f t="shared" si="6"/>
        <v>49.600000000000009</v>
      </c>
      <c r="S56" s="110" t="str">
        <f t="shared" si="5"/>
        <v/>
      </c>
      <c r="T56" s="113" t="str">
        <f t="shared" si="7"/>
        <v/>
      </c>
      <c r="U56" s="113" t="str">
        <f t="shared" si="8"/>
        <v/>
      </c>
      <c r="V56" s="114" t="str">
        <f t="shared" si="9"/>
        <v/>
      </c>
    </row>
    <row r="57" spans="1:22" x14ac:dyDescent="0.2">
      <c r="B57" s="151" t="s">
        <v>46</v>
      </c>
      <c r="C57" s="152">
        <v>36</v>
      </c>
      <c r="D57" t="s">
        <v>47</v>
      </c>
      <c r="J57">
        <f>H2-K57</f>
        <v>-5</v>
      </c>
      <c r="K57">
        <v>54</v>
      </c>
      <c r="L57">
        <f>L56+N63</f>
        <v>48.800000000000011</v>
      </c>
      <c r="P57" s="106">
        <v>90</v>
      </c>
      <c r="Q57" s="106">
        <v>95</v>
      </c>
      <c r="R57" s="112">
        <f t="shared" si="6"/>
        <v>48.800000000000011</v>
      </c>
      <c r="S57" s="110" t="str">
        <f t="shared" si="5"/>
        <v/>
      </c>
      <c r="T57" s="113" t="str">
        <f t="shared" si="7"/>
        <v/>
      </c>
      <c r="U57" s="113" t="str">
        <f t="shared" si="8"/>
        <v/>
      </c>
      <c r="V57" s="114" t="str">
        <f t="shared" si="9"/>
        <v/>
      </c>
    </row>
    <row r="58" spans="1:22" x14ac:dyDescent="0.2">
      <c r="B58" s="146" t="s">
        <v>48</v>
      </c>
      <c r="C58" s="106">
        <f>C55*C57</f>
        <v>1440</v>
      </c>
      <c r="D58" t="s">
        <v>49</v>
      </c>
      <c r="J58">
        <f>H2-K58</f>
        <v>-6</v>
      </c>
      <c r="K58">
        <v>55</v>
      </c>
      <c r="L58">
        <f>L57+N63</f>
        <v>48.000000000000014</v>
      </c>
      <c r="P58" s="106">
        <v>90</v>
      </c>
      <c r="Q58" s="106">
        <v>95</v>
      </c>
      <c r="R58" s="112">
        <f t="shared" si="6"/>
        <v>48.000000000000014</v>
      </c>
      <c r="S58" s="110" t="str">
        <f t="shared" si="5"/>
        <v/>
      </c>
      <c r="T58" s="113" t="str">
        <f t="shared" si="7"/>
        <v/>
      </c>
      <c r="U58" s="113" t="str">
        <f t="shared" si="8"/>
        <v/>
      </c>
      <c r="V58" s="114" t="str">
        <f t="shared" si="9"/>
        <v/>
      </c>
    </row>
    <row r="59" spans="1:22" x14ac:dyDescent="0.2">
      <c r="B59" s="146" t="s">
        <v>50</v>
      </c>
      <c r="C59" s="112">
        <f>C56*C57</f>
        <v>250.0533758403798</v>
      </c>
      <c r="D59" t="s">
        <v>49</v>
      </c>
      <c r="J59">
        <f>H2-K59</f>
        <v>-7</v>
      </c>
      <c r="K59">
        <v>56</v>
      </c>
      <c r="L59">
        <f>L58+N63</f>
        <v>47.200000000000017</v>
      </c>
      <c r="P59" s="106">
        <v>90</v>
      </c>
      <c r="Q59" s="106">
        <v>95</v>
      </c>
      <c r="R59" s="112">
        <f t="shared" si="6"/>
        <v>47.200000000000017</v>
      </c>
      <c r="S59" s="110" t="str">
        <f t="shared" si="5"/>
        <v/>
      </c>
      <c r="T59" s="113" t="str">
        <f t="shared" si="7"/>
        <v/>
      </c>
      <c r="U59" s="113" t="str">
        <f t="shared" si="8"/>
        <v/>
      </c>
      <c r="V59" s="114" t="str">
        <f t="shared" si="9"/>
        <v/>
      </c>
    </row>
    <row r="60" spans="1:22" x14ac:dyDescent="0.2">
      <c r="B60" s="153" t="s">
        <v>51</v>
      </c>
      <c r="C60" s="154">
        <f>(C53*9.80665*C56*C57)/1000</f>
        <v>120.15711097106797</v>
      </c>
      <c r="D60" t="s">
        <v>52</v>
      </c>
      <c r="J60">
        <f>H2-K60</f>
        <v>-8</v>
      </c>
      <c r="K60">
        <v>57</v>
      </c>
      <c r="L60">
        <f>L59+N63</f>
        <v>46.40000000000002</v>
      </c>
      <c r="P60" s="106">
        <v>90</v>
      </c>
      <c r="Q60" s="106">
        <v>95</v>
      </c>
      <c r="R60" s="112">
        <f t="shared" si="6"/>
        <v>46.40000000000002</v>
      </c>
      <c r="S60" s="110" t="str">
        <f t="shared" si="5"/>
        <v/>
      </c>
      <c r="T60" s="113" t="str">
        <f t="shared" si="7"/>
        <v/>
      </c>
      <c r="U60" s="113" t="str">
        <f t="shared" si="8"/>
        <v/>
      </c>
      <c r="V60" s="114" t="str">
        <f t="shared" si="9"/>
        <v/>
      </c>
    </row>
    <row r="61" spans="1:22" x14ac:dyDescent="0.2">
      <c r="C61" s="154">
        <f>C60/4.1868</f>
        <v>28.69903290605426</v>
      </c>
      <c r="D61" t="s">
        <v>53</v>
      </c>
      <c r="E61" s="106" t="s">
        <v>54</v>
      </c>
      <c r="F61" s="106" t="s">
        <v>55</v>
      </c>
      <c r="J61">
        <f>H2-K61</f>
        <v>-9</v>
      </c>
      <c r="K61">
        <v>58</v>
      </c>
      <c r="L61">
        <f>L60+N63</f>
        <v>45.600000000000023</v>
      </c>
      <c r="P61" s="106">
        <v>90</v>
      </c>
      <c r="Q61" s="106">
        <v>95</v>
      </c>
      <c r="R61" s="112">
        <f t="shared" si="6"/>
        <v>45.600000000000023</v>
      </c>
      <c r="S61" s="110" t="str">
        <f t="shared" si="5"/>
        <v/>
      </c>
      <c r="T61" s="113" t="str">
        <f t="shared" si="7"/>
        <v/>
      </c>
      <c r="U61" s="113" t="str">
        <f t="shared" si="8"/>
        <v/>
      </c>
      <c r="V61" s="114" t="str">
        <f t="shared" si="9"/>
        <v/>
      </c>
    </row>
    <row r="62" spans="1:22" x14ac:dyDescent="0.2">
      <c r="B62" s="146" t="s">
        <v>56</v>
      </c>
      <c r="C62">
        <f>E62*F62</f>
        <v>1260</v>
      </c>
      <c r="D62" t="s">
        <v>53</v>
      </c>
      <c r="E62" s="106">
        <v>300</v>
      </c>
      <c r="F62" s="106">
        <v>4.2</v>
      </c>
      <c r="G62" s="155">
        <f>C61/F62</f>
        <v>6.8331030728700615</v>
      </c>
      <c r="H62" t="s">
        <v>57</v>
      </c>
      <c r="J62">
        <f>H2-K62</f>
        <v>-10</v>
      </c>
      <c r="K62">
        <v>59</v>
      </c>
      <c r="L62">
        <f>L61+N63</f>
        <v>44.800000000000026</v>
      </c>
      <c r="P62" s="106">
        <v>90</v>
      </c>
      <c r="Q62" s="106">
        <v>95</v>
      </c>
      <c r="R62" s="112">
        <f t="shared" si="6"/>
        <v>44.800000000000026</v>
      </c>
      <c r="S62" s="110" t="str">
        <f t="shared" si="5"/>
        <v/>
      </c>
      <c r="T62" s="113" t="str">
        <f t="shared" si="7"/>
        <v/>
      </c>
      <c r="U62" s="113" t="str">
        <f t="shared" si="8"/>
        <v/>
      </c>
      <c r="V62" s="114" t="str">
        <f t="shared" si="9"/>
        <v/>
      </c>
    </row>
    <row r="63" spans="1:22" x14ac:dyDescent="0.2">
      <c r="B63" s="156" t="s">
        <v>58</v>
      </c>
      <c r="C63" s="157">
        <f>C61-C62</f>
        <v>-1231.3009670939457</v>
      </c>
      <c r="D63" s="158" t="s">
        <v>53</v>
      </c>
      <c r="E63" s="159">
        <f>C63/F63</f>
        <v>-135.30779858175228</v>
      </c>
      <c r="F63" s="160">
        <v>9.1</v>
      </c>
      <c r="G63" s="155">
        <f>C61/F63</f>
        <v>3.1537398797861824</v>
      </c>
      <c r="H63" t="s">
        <v>57</v>
      </c>
      <c r="J63">
        <f>H2-K63</f>
        <v>-11</v>
      </c>
      <c r="K63" s="107">
        <v>60</v>
      </c>
      <c r="L63" s="107">
        <v>44</v>
      </c>
      <c r="M63">
        <f>L53-L63</f>
        <v>8</v>
      </c>
      <c r="N63">
        <f>M63/10*-1</f>
        <v>-0.8</v>
      </c>
      <c r="P63" s="106">
        <v>95</v>
      </c>
      <c r="Q63" s="106">
        <v>100</v>
      </c>
      <c r="R63" s="112">
        <f t="shared" si="6"/>
        <v>44</v>
      </c>
      <c r="S63" s="110" t="str">
        <f t="shared" si="5"/>
        <v/>
      </c>
      <c r="T63" s="113" t="str">
        <f t="shared" si="7"/>
        <v/>
      </c>
      <c r="U63" s="113" t="str">
        <f t="shared" si="8"/>
        <v/>
      </c>
      <c r="V63" s="114" t="str">
        <f t="shared" si="9"/>
        <v/>
      </c>
    </row>
    <row r="64" spans="1:22" x14ac:dyDescent="0.2">
      <c r="B64" s="161" t="s">
        <v>59</v>
      </c>
      <c r="C64" s="118">
        <f>C61</f>
        <v>28.69903290605426</v>
      </c>
      <c r="D64" t="s">
        <v>53</v>
      </c>
      <c r="E64" s="162">
        <f>(E62+E63)/1000</f>
        <v>0.16469220141824772</v>
      </c>
      <c r="F64" t="s">
        <v>60</v>
      </c>
      <c r="J64">
        <f>H2-K64</f>
        <v>-12</v>
      </c>
      <c r="K64">
        <v>61</v>
      </c>
      <c r="L64">
        <f>L63+N73</f>
        <v>44.2</v>
      </c>
      <c r="P64" s="106">
        <v>95</v>
      </c>
      <c r="Q64" s="106">
        <v>100</v>
      </c>
      <c r="R64" s="112">
        <f t="shared" si="6"/>
        <v>44.2</v>
      </c>
      <c r="S64" s="110" t="str">
        <f t="shared" si="5"/>
        <v/>
      </c>
      <c r="T64" s="113" t="str">
        <f t="shared" si="7"/>
        <v/>
      </c>
      <c r="U64" s="113" t="str">
        <f t="shared" si="8"/>
        <v/>
      </c>
      <c r="V64" s="114" t="str">
        <f t="shared" si="9"/>
        <v/>
      </c>
    </row>
    <row r="65" spans="2:22" x14ac:dyDescent="0.2">
      <c r="J65">
        <f>H2-K65</f>
        <v>-13</v>
      </c>
      <c r="K65">
        <v>62</v>
      </c>
      <c r="L65">
        <f>L64+N73</f>
        <v>44.400000000000006</v>
      </c>
      <c r="P65" s="106">
        <v>95</v>
      </c>
      <c r="Q65" s="106">
        <v>100</v>
      </c>
      <c r="R65" s="112">
        <f t="shared" si="6"/>
        <v>44.400000000000006</v>
      </c>
      <c r="S65" s="110" t="str">
        <f t="shared" si="5"/>
        <v/>
      </c>
      <c r="T65" s="113" t="str">
        <f t="shared" si="7"/>
        <v/>
      </c>
      <c r="U65" s="113" t="str">
        <f t="shared" si="8"/>
        <v/>
      </c>
      <c r="V65" s="114" t="str">
        <f t="shared" si="9"/>
        <v/>
      </c>
    </row>
    <row r="66" spans="2:22" x14ac:dyDescent="0.2">
      <c r="J66">
        <f>H2-K66</f>
        <v>-14</v>
      </c>
      <c r="K66">
        <v>63</v>
      </c>
      <c r="L66">
        <f>L65+N73</f>
        <v>44.600000000000009</v>
      </c>
      <c r="P66" s="106">
        <v>95</v>
      </c>
      <c r="Q66" s="106">
        <v>100</v>
      </c>
      <c r="R66" s="112">
        <f t="shared" si="6"/>
        <v>44.600000000000009</v>
      </c>
      <c r="S66" s="110" t="str">
        <f t="shared" si="5"/>
        <v/>
      </c>
      <c r="T66" s="113" t="str">
        <f t="shared" si="7"/>
        <v/>
      </c>
      <c r="U66" s="113" t="str">
        <f t="shared" si="8"/>
        <v/>
      </c>
      <c r="V66" s="114" t="str">
        <f t="shared" si="9"/>
        <v/>
      </c>
    </row>
    <row r="67" spans="2:22" x14ac:dyDescent="0.2">
      <c r="J67">
        <f>H2-K67</f>
        <v>-15</v>
      </c>
      <c r="K67">
        <v>64</v>
      </c>
      <c r="L67">
        <f>L66+N73</f>
        <v>44.800000000000011</v>
      </c>
      <c r="P67" s="106">
        <v>95</v>
      </c>
      <c r="Q67" s="106">
        <v>100</v>
      </c>
      <c r="R67" s="112">
        <f t="shared" si="6"/>
        <v>44.800000000000011</v>
      </c>
      <c r="S67" s="110" t="str">
        <f t="shared" ref="S67:S93" si="11">IF(J67=0,1,"")</f>
        <v/>
      </c>
      <c r="T67" s="113" t="str">
        <f t="shared" si="7"/>
        <v/>
      </c>
      <c r="U67" s="113" t="str">
        <f t="shared" si="8"/>
        <v/>
      </c>
      <c r="V67" s="114" t="str">
        <f t="shared" si="9"/>
        <v/>
      </c>
    </row>
    <row r="68" spans="2:22" x14ac:dyDescent="0.2">
      <c r="J68">
        <f>H2-K68</f>
        <v>-16</v>
      </c>
      <c r="K68">
        <v>65</v>
      </c>
      <c r="L68">
        <f>L67+N73</f>
        <v>45.000000000000014</v>
      </c>
      <c r="P68" s="106">
        <v>95</v>
      </c>
      <c r="Q68" s="106">
        <v>100</v>
      </c>
      <c r="R68" s="112">
        <f t="shared" ref="R68:R93" si="12">L68</f>
        <v>45.000000000000014</v>
      </c>
      <c r="S68" s="110" t="str">
        <f t="shared" si="11"/>
        <v/>
      </c>
      <c r="T68" s="113" t="str">
        <f t="shared" ref="T68:T93" si="13">IF(S68=1,P68,"")</f>
        <v/>
      </c>
      <c r="U68" s="113" t="str">
        <f t="shared" ref="U68:U93" si="14">IF(S68=1,Q68,"")</f>
        <v/>
      </c>
      <c r="V68" s="114" t="str">
        <f t="shared" ref="V68:V93" si="15">IF(S68=1,R68,"")</f>
        <v/>
      </c>
    </row>
    <row r="69" spans="2:22" x14ac:dyDescent="0.2">
      <c r="B69" t="s">
        <v>4</v>
      </c>
      <c r="C69" s="118">
        <f>C53</f>
        <v>49</v>
      </c>
      <c r="D69" t="s">
        <v>60</v>
      </c>
      <c r="E69" t="s">
        <v>65</v>
      </c>
      <c r="F69" s="146" t="s">
        <v>66</v>
      </c>
      <c r="H69" s="146" t="s">
        <v>67</v>
      </c>
      <c r="J69">
        <f>H2-K69</f>
        <v>-17</v>
      </c>
      <c r="K69">
        <v>66</v>
      </c>
      <c r="L69">
        <f>L68+N73</f>
        <v>45.200000000000017</v>
      </c>
      <c r="P69" s="106">
        <v>95</v>
      </c>
      <c r="Q69" s="106">
        <v>100</v>
      </c>
      <c r="R69" s="112">
        <f t="shared" si="12"/>
        <v>45.200000000000017</v>
      </c>
      <c r="S69" s="110" t="str">
        <f t="shared" si="11"/>
        <v/>
      </c>
      <c r="T69" s="113" t="str">
        <f t="shared" si="13"/>
        <v/>
      </c>
      <c r="U69" s="113" t="str">
        <f t="shared" si="14"/>
        <v/>
      </c>
      <c r="V69" s="114" t="str">
        <f t="shared" si="15"/>
        <v/>
      </c>
    </row>
    <row r="70" spans="2:22" x14ac:dyDescent="0.2">
      <c r="D70" s="146" t="s">
        <v>68</v>
      </c>
      <c r="E70" s="112">
        <f>C75</f>
        <v>2343.2771198919709</v>
      </c>
      <c r="F70" t="s">
        <v>69</v>
      </c>
      <c r="G70" t="s">
        <v>70</v>
      </c>
      <c r="H70" s="163">
        <f>C75-C62</f>
        <v>1083.2771198919709</v>
      </c>
      <c r="I70" t="s">
        <v>71</v>
      </c>
      <c r="J70">
        <f>H2-K70</f>
        <v>-18</v>
      </c>
      <c r="K70">
        <v>67</v>
      </c>
      <c r="L70">
        <f>L69+N73</f>
        <v>45.40000000000002</v>
      </c>
      <c r="P70" s="106">
        <v>95</v>
      </c>
      <c r="Q70" s="106">
        <v>100</v>
      </c>
      <c r="R70" s="112">
        <f t="shared" si="12"/>
        <v>45.40000000000002</v>
      </c>
      <c r="S70" s="110" t="str">
        <f t="shared" si="11"/>
        <v/>
      </c>
      <c r="T70" s="113" t="str">
        <f t="shared" si="13"/>
        <v/>
      </c>
      <c r="U70" s="113" t="str">
        <f t="shared" si="14"/>
        <v/>
      </c>
      <c r="V70" s="114" t="str">
        <f t="shared" si="15"/>
        <v/>
      </c>
    </row>
    <row r="71" spans="2:22" x14ac:dyDescent="0.2">
      <c r="B71" t="s">
        <v>72</v>
      </c>
      <c r="C71" s="155">
        <f>Лист1!E55</f>
        <v>1292.723957466482</v>
      </c>
      <c r="D71" t="s">
        <v>71</v>
      </c>
      <c r="J71">
        <f>H2-K71</f>
        <v>-19</v>
      </c>
      <c r="K71">
        <v>68</v>
      </c>
      <c r="L71">
        <f>L70+N73</f>
        <v>45.600000000000023</v>
      </c>
      <c r="P71" s="106">
        <v>95</v>
      </c>
      <c r="Q71" s="106">
        <v>100</v>
      </c>
      <c r="R71" s="112">
        <f t="shared" si="12"/>
        <v>45.600000000000023</v>
      </c>
      <c r="S71" s="110" t="str">
        <f t="shared" si="11"/>
        <v/>
      </c>
      <c r="T71" s="113" t="str">
        <f t="shared" si="13"/>
        <v/>
      </c>
      <c r="U71" s="113" t="str">
        <f t="shared" si="14"/>
        <v/>
      </c>
      <c r="V71" s="114" t="str">
        <f t="shared" si="15"/>
        <v/>
      </c>
    </row>
    <row r="72" spans="2:22" x14ac:dyDescent="0.2">
      <c r="B72" t="s">
        <v>73</v>
      </c>
      <c r="C72" s="155">
        <f>C69*F86</f>
        <v>1021.8541295194349</v>
      </c>
      <c r="D72" t="s">
        <v>71</v>
      </c>
      <c r="E72" s="146" t="s">
        <v>66</v>
      </c>
      <c r="F72" s="163">
        <f>C73/F62</f>
        <v>551.09002071093255</v>
      </c>
      <c r="G72" t="s">
        <v>74</v>
      </c>
      <c r="H72" s="155">
        <f>H70/F63</f>
        <v>119.04144174637042</v>
      </c>
      <c r="I72" t="s">
        <v>75</v>
      </c>
      <c r="J72">
        <f>H2-K72</f>
        <v>-20</v>
      </c>
      <c r="K72">
        <v>69</v>
      </c>
      <c r="L72">
        <f>L71+N73</f>
        <v>45.800000000000026</v>
      </c>
      <c r="P72" s="106">
        <v>95</v>
      </c>
      <c r="Q72" s="106">
        <v>100</v>
      </c>
      <c r="R72" s="112">
        <f t="shared" si="12"/>
        <v>45.800000000000026</v>
      </c>
      <c r="S72" s="110" t="str">
        <f t="shared" si="11"/>
        <v/>
      </c>
      <c r="T72" s="113" t="str">
        <f t="shared" si="13"/>
        <v/>
      </c>
      <c r="U72" s="113" t="str">
        <f t="shared" si="14"/>
        <v/>
      </c>
      <c r="V72" s="114" t="str">
        <f t="shared" si="15"/>
        <v/>
      </c>
    </row>
    <row r="73" spans="2:22" x14ac:dyDescent="0.2">
      <c r="B73" t="s">
        <v>77</v>
      </c>
      <c r="C73" s="155">
        <f>SUM(C71:C72)</f>
        <v>2314.5780869859168</v>
      </c>
      <c r="D73" t="s">
        <v>71</v>
      </c>
      <c r="E73" s="146" t="s">
        <v>78</v>
      </c>
      <c r="F73" s="163">
        <v>300</v>
      </c>
      <c r="G73" t="s">
        <v>74</v>
      </c>
      <c r="H73" s="155">
        <v>300</v>
      </c>
      <c r="I73" t="s">
        <v>79</v>
      </c>
      <c r="J73">
        <f>H2-K73</f>
        <v>-21</v>
      </c>
      <c r="K73" s="107">
        <v>70</v>
      </c>
      <c r="L73" s="107">
        <v>46</v>
      </c>
      <c r="M73">
        <f>L73-L63</f>
        <v>2</v>
      </c>
      <c r="N73">
        <f>M73/10</f>
        <v>0.2</v>
      </c>
      <c r="P73" s="106">
        <v>95</v>
      </c>
      <c r="Q73" s="106">
        <v>100</v>
      </c>
      <c r="R73" s="112">
        <f t="shared" si="12"/>
        <v>46</v>
      </c>
      <c r="S73" s="110" t="str">
        <f t="shared" si="11"/>
        <v/>
      </c>
      <c r="T73" s="113" t="str">
        <f t="shared" si="13"/>
        <v/>
      </c>
      <c r="U73" s="113" t="str">
        <f t="shared" si="14"/>
        <v/>
      </c>
      <c r="V73" s="114" t="str">
        <f t="shared" si="15"/>
        <v/>
      </c>
    </row>
    <row r="74" spans="2:22" x14ac:dyDescent="0.2">
      <c r="B74" s="146" t="s">
        <v>80</v>
      </c>
      <c r="C74" s="155">
        <f>C61</f>
        <v>28.69903290605426</v>
      </c>
      <c r="D74" t="s">
        <v>71</v>
      </c>
      <c r="H74" s="155">
        <f>300+H72</f>
        <v>419.04144174637042</v>
      </c>
      <c r="I74" t="s">
        <v>74</v>
      </c>
      <c r="J74">
        <f>H2-K74</f>
        <v>-22</v>
      </c>
      <c r="K74">
        <v>71</v>
      </c>
      <c r="L74">
        <f>L73+N83</f>
        <v>46.1</v>
      </c>
      <c r="P74" s="106">
        <v>95</v>
      </c>
      <c r="Q74" s="106">
        <v>100</v>
      </c>
      <c r="R74" s="112">
        <f t="shared" si="12"/>
        <v>46.1</v>
      </c>
      <c r="S74" s="110" t="str">
        <f t="shared" si="11"/>
        <v/>
      </c>
      <c r="T74" s="113" t="str">
        <f t="shared" si="13"/>
        <v/>
      </c>
      <c r="U74" s="113" t="str">
        <f t="shared" si="14"/>
        <v/>
      </c>
      <c r="V74" s="114" t="str">
        <f t="shared" si="15"/>
        <v/>
      </c>
    </row>
    <row r="75" spans="2:22" x14ac:dyDescent="0.2">
      <c r="B75" t="s">
        <v>81</v>
      </c>
      <c r="C75" s="164">
        <f>C73+C74</f>
        <v>2343.2771198919709</v>
      </c>
      <c r="D75" s="165" t="s">
        <v>71</v>
      </c>
      <c r="G75" t="s">
        <v>82</v>
      </c>
      <c r="H75" s="164">
        <f>H74+G63</f>
        <v>422.19518162615663</v>
      </c>
      <c r="I75" s="165" t="s">
        <v>74</v>
      </c>
      <c r="J75">
        <f>H2-K75</f>
        <v>-23</v>
      </c>
      <c r="K75">
        <v>72</v>
      </c>
      <c r="L75">
        <f>L74+N83</f>
        <v>46.2</v>
      </c>
      <c r="P75" s="106">
        <v>95</v>
      </c>
      <c r="Q75" s="106">
        <v>100</v>
      </c>
      <c r="R75" s="112">
        <f t="shared" si="12"/>
        <v>46.2</v>
      </c>
      <c r="S75" s="110" t="str">
        <f t="shared" si="11"/>
        <v/>
      </c>
      <c r="T75" s="113" t="str">
        <f t="shared" si="13"/>
        <v/>
      </c>
      <c r="U75" s="113" t="str">
        <f t="shared" si="14"/>
        <v/>
      </c>
      <c r="V75" s="114" t="str">
        <f t="shared" si="15"/>
        <v/>
      </c>
    </row>
    <row r="76" spans="2:22" x14ac:dyDescent="0.2">
      <c r="B76" t="s">
        <v>83</v>
      </c>
      <c r="D76" s="106" t="s">
        <v>84</v>
      </c>
      <c r="E76" s="106" t="s">
        <v>63</v>
      </c>
      <c r="F76" t="s">
        <v>68</v>
      </c>
      <c r="G76" s="118">
        <f>C69</f>
        <v>49</v>
      </c>
      <c r="H76" t="s">
        <v>60</v>
      </c>
      <c r="J76">
        <f>H2-K76</f>
        <v>-24</v>
      </c>
      <c r="K76">
        <v>73</v>
      </c>
      <c r="L76">
        <f>L75+N83</f>
        <v>46.300000000000004</v>
      </c>
      <c r="P76" s="106">
        <v>95</v>
      </c>
      <c r="Q76" s="106">
        <v>100</v>
      </c>
      <c r="R76" s="112">
        <f t="shared" si="12"/>
        <v>46.300000000000004</v>
      </c>
      <c r="S76" s="110" t="str">
        <f t="shared" si="11"/>
        <v/>
      </c>
      <c r="T76" s="113" t="str">
        <f t="shared" si="13"/>
        <v/>
      </c>
      <c r="U76" s="113" t="str">
        <f t="shared" si="14"/>
        <v/>
      </c>
      <c r="V76" s="114" t="str">
        <f t="shared" si="15"/>
        <v/>
      </c>
    </row>
    <row r="77" spans="2:22" x14ac:dyDescent="0.2">
      <c r="B77" t="s">
        <v>85</v>
      </c>
      <c r="C77">
        <v>8.14</v>
      </c>
      <c r="D77" s="106"/>
      <c r="E77" s="166">
        <f>Лист1!F57/100</f>
        <v>0.86359546428447165</v>
      </c>
      <c r="F77" s="112">
        <f>C77*D77*E77</f>
        <v>0</v>
      </c>
      <c r="G77" s="163">
        <f>F77*C69</f>
        <v>0</v>
      </c>
      <c r="J77">
        <f>H2-K77</f>
        <v>-25</v>
      </c>
      <c r="K77">
        <v>74</v>
      </c>
      <c r="L77">
        <f>L76+N83</f>
        <v>46.400000000000006</v>
      </c>
      <c r="P77" s="106">
        <v>95</v>
      </c>
      <c r="Q77" s="106">
        <v>100</v>
      </c>
      <c r="R77" s="112">
        <f t="shared" si="12"/>
        <v>46.400000000000006</v>
      </c>
      <c r="S77" s="110" t="str">
        <f t="shared" si="11"/>
        <v/>
      </c>
      <c r="T77" s="113" t="str">
        <f t="shared" si="13"/>
        <v/>
      </c>
      <c r="U77" s="113" t="str">
        <f t="shared" si="14"/>
        <v/>
      </c>
      <c r="V77" s="114" t="str">
        <f t="shared" si="15"/>
        <v/>
      </c>
    </row>
    <row r="78" spans="2:22" x14ac:dyDescent="0.2">
      <c r="B78" t="s">
        <v>86</v>
      </c>
      <c r="C78">
        <v>1.1000000000000001</v>
      </c>
      <c r="D78" s="106"/>
      <c r="E78" s="166">
        <f>Лист1!F55/100</f>
        <v>0.99121590383726332</v>
      </c>
      <c r="F78" s="112">
        <f>C78*D78*E78</f>
        <v>0</v>
      </c>
      <c r="G78" s="163">
        <f>F78*C69</f>
        <v>0</v>
      </c>
      <c r="J78">
        <f>H2-K78</f>
        <v>-26</v>
      </c>
      <c r="K78">
        <v>75</v>
      </c>
      <c r="L78">
        <f>L77+N83</f>
        <v>46.500000000000007</v>
      </c>
      <c r="P78" s="106">
        <v>105</v>
      </c>
      <c r="Q78" s="106">
        <v>110</v>
      </c>
      <c r="R78" s="112">
        <f t="shared" si="12"/>
        <v>46.500000000000007</v>
      </c>
      <c r="S78" s="110" t="str">
        <f t="shared" si="11"/>
        <v/>
      </c>
      <c r="T78" s="113" t="str">
        <f t="shared" si="13"/>
        <v/>
      </c>
      <c r="U78" s="113" t="str">
        <f t="shared" si="14"/>
        <v/>
      </c>
      <c r="V78" s="114" t="str">
        <f t="shared" si="15"/>
        <v/>
      </c>
    </row>
    <row r="79" spans="2:22" x14ac:dyDescent="0.2">
      <c r="B79" t="s">
        <v>87</v>
      </c>
      <c r="C79">
        <v>1.43</v>
      </c>
      <c r="D79" s="106"/>
      <c r="E79" s="166">
        <f>Лист1!F56/100</f>
        <v>0.92236434307631754</v>
      </c>
      <c r="F79" s="112">
        <f>C79*D79*E79</f>
        <v>0</v>
      </c>
      <c r="G79" s="163">
        <f>F79*C69</f>
        <v>0</v>
      </c>
      <c r="J79">
        <f>H2-K79</f>
        <v>-27</v>
      </c>
      <c r="K79">
        <v>76</v>
      </c>
      <c r="L79">
        <f>L78+N83</f>
        <v>46.600000000000009</v>
      </c>
      <c r="P79" s="106">
        <v>105</v>
      </c>
      <c r="Q79" s="106">
        <v>110</v>
      </c>
      <c r="R79" s="112">
        <f t="shared" si="12"/>
        <v>46.600000000000009</v>
      </c>
      <c r="S79" s="110" t="str">
        <f t="shared" si="11"/>
        <v/>
      </c>
      <c r="T79" s="113" t="str">
        <f t="shared" si="13"/>
        <v/>
      </c>
      <c r="U79" s="113" t="str">
        <f t="shared" si="14"/>
        <v/>
      </c>
      <c r="V79" s="114" t="str">
        <f t="shared" si="15"/>
        <v/>
      </c>
    </row>
    <row r="80" spans="2:22" x14ac:dyDescent="0.2">
      <c r="B80" t="s">
        <v>88</v>
      </c>
      <c r="C80">
        <v>1.5</v>
      </c>
      <c r="D80" s="106"/>
      <c r="E80" s="166">
        <f>Лист1!F56/100</f>
        <v>0.92236434307631754</v>
      </c>
      <c r="F80" s="112">
        <f>C80*D80*E80</f>
        <v>0</v>
      </c>
      <c r="G80" s="163">
        <f>F80*C69</f>
        <v>0</v>
      </c>
      <c r="J80">
        <f>H2-K80</f>
        <v>-28</v>
      </c>
      <c r="K80">
        <v>77</v>
      </c>
      <c r="L80">
        <f>L79+N83</f>
        <v>46.70000000000001</v>
      </c>
      <c r="P80" s="106">
        <v>105</v>
      </c>
      <c r="Q80" s="106">
        <v>110</v>
      </c>
      <c r="R80" s="112">
        <f t="shared" si="12"/>
        <v>46.70000000000001</v>
      </c>
      <c r="S80" s="110" t="str">
        <f t="shared" si="11"/>
        <v/>
      </c>
      <c r="T80" s="113" t="str">
        <f t="shared" si="13"/>
        <v/>
      </c>
      <c r="U80" s="113" t="str">
        <f t="shared" si="14"/>
        <v/>
      </c>
      <c r="V80" s="114" t="str">
        <f t="shared" si="15"/>
        <v/>
      </c>
    </row>
    <row r="81" spans="1:22" x14ac:dyDescent="0.2">
      <c r="B81" t="s">
        <v>89</v>
      </c>
      <c r="C81">
        <v>2.86</v>
      </c>
      <c r="D81" s="106"/>
      <c r="E81" s="166">
        <f>Лист1!F59/100</f>
        <v>0.92572523706601761</v>
      </c>
      <c r="F81" s="112">
        <f>C81*D81*E81</f>
        <v>0</v>
      </c>
      <c r="G81" s="163">
        <f>F81*C69</f>
        <v>0</v>
      </c>
      <c r="J81">
        <f>H2-K81</f>
        <v>-29</v>
      </c>
      <c r="K81">
        <v>78</v>
      </c>
      <c r="L81">
        <f>L80+N83</f>
        <v>46.800000000000011</v>
      </c>
      <c r="P81" s="106">
        <v>105</v>
      </c>
      <c r="Q81" s="106">
        <v>110</v>
      </c>
      <c r="R81" s="112">
        <f t="shared" si="12"/>
        <v>46.800000000000011</v>
      </c>
      <c r="S81" s="110" t="str">
        <f t="shared" si="11"/>
        <v/>
      </c>
      <c r="T81" s="113" t="str">
        <f t="shared" si="13"/>
        <v/>
      </c>
      <c r="U81" s="113" t="str">
        <f t="shared" si="14"/>
        <v/>
      </c>
      <c r="V81" s="114" t="str">
        <f t="shared" si="15"/>
        <v/>
      </c>
    </row>
    <row r="82" spans="1:22" x14ac:dyDescent="0.2">
      <c r="B82" t="s">
        <v>90</v>
      </c>
      <c r="C82">
        <v>4.28</v>
      </c>
      <c r="D82" s="106">
        <v>3</v>
      </c>
      <c r="E82" s="166">
        <f>Лист1!F59/100</f>
        <v>0.92572523706601761</v>
      </c>
      <c r="F82" s="112">
        <f>C82*D82</f>
        <v>12.84</v>
      </c>
      <c r="G82" s="163">
        <f>F82*C69</f>
        <v>629.16</v>
      </c>
      <c r="J82">
        <f>H2-K82</f>
        <v>-30</v>
      </c>
      <c r="K82">
        <v>79</v>
      </c>
      <c r="L82">
        <f>L81+N83</f>
        <v>46.900000000000013</v>
      </c>
      <c r="P82" s="106">
        <v>105</v>
      </c>
      <c r="Q82" s="106">
        <v>110</v>
      </c>
      <c r="R82" s="112">
        <f t="shared" si="12"/>
        <v>46.900000000000013</v>
      </c>
      <c r="S82" s="110" t="str">
        <f t="shared" si="11"/>
        <v/>
      </c>
      <c r="T82" s="113" t="str">
        <f t="shared" si="13"/>
        <v/>
      </c>
      <c r="U82" s="113" t="str">
        <f t="shared" si="14"/>
        <v/>
      </c>
      <c r="V82" s="114" t="str">
        <f t="shared" si="15"/>
        <v/>
      </c>
    </row>
    <row r="83" spans="1:22" x14ac:dyDescent="0.2">
      <c r="B83" t="s">
        <v>91</v>
      </c>
      <c r="C83">
        <v>9.2799999999999994</v>
      </c>
      <c r="D83" s="106">
        <v>1</v>
      </c>
      <c r="E83" s="166">
        <f>Лист1!F57/100</f>
        <v>0.86359546428447165</v>
      </c>
      <c r="F83" s="112">
        <f>C83*D83*E83</f>
        <v>8.014165908559896</v>
      </c>
      <c r="G83" s="163">
        <f>F83*C69</f>
        <v>392.69412951943491</v>
      </c>
      <c r="J83">
        <f>H2-K83</f>
        <v>-31</v>
      </c>
      <c r="K83" s="107">
        <v>80</v>
      </c>
      <c r="L83" s="107">
        <v>47</v>
      </c>
      <c r="M83">
        <f>L83-L73</f>
        <v>1</v>
      </c>
      <c r="N83">
        <f>M83/10</f>
        <v>0.1</v>
      </c>
      <c r="P83" s="106">
        <v>105</v>
      </c>
      <c r="Q83" s="106">
        <v>110</v>
      </c>
      <c r="R83" s="112">
        <f t="shared" si="12"/>
        <v>47</v>
      </c>
      <c r="S83" s="110" t="str">
        <f t="shared" si="11"/>
        <v/>
      </c>
      <c r="T83" s="113" t="str">
        <f t="shared" si="13"/>
        <v/>
      </c>
      <c r="U83" s="113" t="str">
        <f t="shared" si="14"/>
        <v/>
      </c>
      <c r="V83" s="114" t="str">
        <f t="shared" si="15"/>
        <v/>
      </c>
    </row>
    <row r="84" spans="1:22" x14ac:dyDescent="0.2">
      <c r="B84" t="s">
        <v>92</v>
      </c>
      <c r="C84">
        <v>1.5</v>
      </c>
      <c r="D84" s="106"/>
      <c r="E84" s="166">
        <f>Лист1!F56/100</f>
        <v>0.92236434307631754</v>
      </c>
      <c r="F84" s="112">
        <f>C84*D84*E84</f>
        <v>0</v>
      </c>
      <c r="G84" s="163">
        <f>F84*C69</f>
        <v>0</v>
      </c>
      <c r="J84">
        <f>H2-K84</f>
        <v>-32</v>
      </c>
      <c r="K84">
        <v>81</v>
      </c>
      <c r="L84">
        <f>L83+N93</f>
        <v>47.1</v>
      </c>
      <c r="P84" s="106">
        <v>105</v>
      </c>
      <c r="Q84" s="106">
        <v>110</v>
      </c>
      <c r="R84" s="112">
        <f t="shared" si="12"/>
        <v>47.1</v>
      </c>
      <c r="S84" s="110" t="str">
        <f t="shared" si="11"/>
        <v/>
      </c>
      <c r="T84" s="113" t="str">
        <f t="shared" si="13"/>
        <v/>
      </c>
      <c r="U84" s="113" t="str">
        <f t="shared" si="14"/>
        <v/>
      </c>
      <c r="V84" s="114" t="str">
        <f t="shared" si="15"/>
        <v/>
      </c>
    </row>
    <row r="85" spans="1:22" x14ac:dyDescent="0.2">
      <c r="B85" t="s">
        <v>93</v>
      </c>
      <c r="C85">
        <v>2</v>
      </c>
      <c r="D85" s="106"/>
      <c r="E85" s="166">
        <f>Лист1!F56/100</f>
        <v>0.92236434307631754</v>
      </c>
      <c r="F85" s="112">
        <f>C85*D85*E85</f>
        <v>0</v>
      </c>
      <c r="G85" s="163">
        <f>F85*C69</f>
        <v>0</v>
      </c>
      <c r="J85">
        <f>H2-K85</f>
        <v>-33</v>
      </c>
      <c r="K85">
        <v>82</v>
      </c>
      <c r="L85">
        <f>L84+N93</f>
        <v>47.2</v>
      </c>
      <c r="P85" s="106">
        <v>105</v>
      </c>
      <c r="Q85" s="106">
        <v>110</v>
      </c>
      <c r="R85" s="112">
        <f t="shared" si="12"/>
        <v>47.2</v>
      </c>
      <c r="S85" s="110" t="str">
        <f t="shared" si="11"/>
        <v/>
      </c>
      <c r="T85" s="113" t="str">
        <f t="shared" si="13"/>
        <v/>
      </c>
      <c r="U85" s="113" t="str">
        <f t="shared" si="14"/>
        <v/>
      </c>
      <c r="V85" s="114" t="str">
        <f t="shared" si="15"/>
        <v/>
      </c>
    </row>
    <row r="86" spans="1:22" x14ac:dyDescent="0.2">
      <c r="C86" s="146" t="s">
        <v>94</v>
      </c>
      <c r="D86" s="146" t="s">
        <v>95</v>
      </c>
      <c r="F86" s="112">
        <f>SUM(F77:F85)</f>
        <v>20.854165908559896</v>
      </c>
      <c r="G86" s="163">
        <f>SUM(G77:G85)</f>
        <v>1021.8541295194349</v>
      </c>
      <c r="J86">
        <f>H2-K86</f>
        <v>-34</v>
      </c>
      <c r="K86">
        <v>83</v>
      </c>
      <c r="L86">
        <f>L85+N93</f>
        <v>47.300000000000004</v>
      </c>
      <c r="P86" s="106">
        <v>105</v>
      </c>
      <c r="Q86" s="106">
        <v>110</v>
      </c>
      <c r="R86" s="112">
        <f t="shared" si="12"/>
        <v>47.300000000000004</v>
      </c>
      <c r="S86" s="110" t="str">
        <f t="shared" si="11"/>
        <v/>
      </c>
      <c r="T86" s="113" t="str">
        <f t="shared" si="13"/>
        <v/>
      </c>
      <c r="U86" s="113" t="str">
        <f t="shared" si="14"/>
        <v/>
      </c>
      <c r="V86" s="114" t="str">
        <f t="shared" si="15"/>
        <v/>
      </c>
    </row>
    <row r="87" spans="1:22" x14ac:dyDescent="0.2">
      <c r="J87">
        <f>H2-K87</f>
        <v>-35</v>
      </c>
      <c r="K87">
        <v>84</v>
      </c>
      <c r="L87">
        <f>L86+N93</f>
        <v>47.400000000000006</v>
      </c>
      <c r="P87" s="106">
        <v>105</v>
      </c>
      <c r="Q87" s="106">
        <v>110</v>
      </c>
      <c r="R87" s="112">
        <f t="shared" si="12"/>
        <v>47.400000000000006</v>
      </c>
      <c r="S87" s="110" t="str">
        <f t="shared" si="11"/>
        <v/>
      </c>
      <c r="T87" s="113" t="str">
        <f t="shared" si="13"/>
        <v/>
      </c>
      <c r="U87" s="113" t="str">
        <f t="shared" si="14"/>
        <v/>
      </c>
      <c r="V87" s="114" t="str">
        <f t="shared" si="15"/>
        <v/>
      </c>
    </row>
    <row r="88" spans="1:22" x14ac:dyDescent="0.2">
      <c r="J88">
        <f>H2-K88</f>
        <v>-36</v>
      </c>
      <c r="K88">
        <v>85</v>
      </c>
      <c r="L88">
        <f>L87+N93</f>
        <v>47.500000000000007</v>
      </c>
      <c r="P88" s="106">
        <v>105</v>
      </c>
      <c r="Q88" s="106">
        <v>110</v>
      </c>
      <c r="R88" s="112">
        <f t="shared" si="12"/>
        <v>47.500000000000007</v>
      </c>
      <c r="S88" s="110" t="str">
        <f t="shared" si="11"/>
        <v/>
      </c>
      <c r="T88" s="113" t="str">
        <f t="shared" si="13"/>
        <v/>
      </c>
      <c r="U88" s="113" t="str">
        <f t="shared" si="14"/>
        <v/>
      </c>
      <c r="V88" s="114" t="str">
        <f t="shared" si="15"/>
        <v/>
      </c>
    </row>
    <row r="89" spans="1:22" x14ac:dyDescent="0.2">
      <c r="J89">
        <f>H2-K89</f>
        <v>-37</v>
      </c>
      <c r="K89">
        <v>86</v>
      </c>
      <c r="L89">
        <f>L88+N93</f>
        <v>47.600000000000009</v>
      </c>
      <c r="P89" s="106">
        <v>105</v>
      </c>
      <c r="Q89" s="106">
        <v>110</v>
      </c>
      <c r="R89" s="112">
        <f t="shared" si="12"/>
        <v>47.600000000000009</v>
      </c>
      <c r="S89" s="110" t="str">
        <f t="shared" si="11"/>
        <v/>
      </c>
      <c r="T89" s="113" t="str">
        <f t="shared" si="13"/>
        <v/>
      </c>
      <c r="U89" s="113" t="str">
        <f t="shared" si="14"/>
        <v/>
      </c>
      <c r="V89" s="114" t="str">
        <f t="shared" si="15"/>
        <v/>
      </c>
    </row>
    <row r="90" spans="1:22" x14ac:dyDescent="0.2">
      <c r="J90">
        <f>H2-K90</f>
        <v>-38</v>
      </c>
      <c r="K90">
        <v>87</v>
      </c>
      <c r="L90">
        <f>L89+N93</f>
        <v>47.70000000000001</v>
      </c>
      <c r="P90" s="106">
        <v>105</v>
      </c>
      <c r="Q90" s="106">
        <v>110</v>
      </c>
      <c r="R90" s="112">
        <f t="shared" si="12"/>
        <v>47.70000000000001</v>
      </c>
      <c r="S90" s="110" t="str">
        <f t="shared" si="11"/>
        <v/>
      </c>
      <c r="T90" s="113" t="str">
        <f t="shared" si="13"/>
        <v/>
      </c>
      <c r="U90" s="113" t="str">
        <f t="shared" si="14"/>
        <v/>
      </c>
      <c r="V90" s="114" t="str">
        <f t="shared" si="15"/>
        <v/>
      </c>
    </row>
    <row r="91" spans="1:22" x14ac:dyDescent="0.2">
      <c r="J91">
        <f>H2-K91</f>
        <v>-39</v>
      </c>
      <c r="K91">
        <v>88</v>
      </c>
      <c r="L91">
        <f>L90+N93</f>
        <v>47.800000000000011</v>
      </c>
      <c r="P91" s="106">
        <v>105</v>
      </c>
      <c r="Q91" s="106">
        <v>110</v>
      </c>
      <c r="R91" s="112">
        <f t="shared" si="12"/>
        <v>47.800000000000011</v>
      </c>
      <c r="S91" s="110" t="str">
        <f t="shared" si="11"/>
        <v/>
      </c>
      <c r="T91" s="113" t="str">
        <f t="shared" si="13"/>
        <v/>
      </c>
      <c r="U91" s="113" t="str">
        <f t="shared" si="14"/>
        <v/>
      </c>
      <c r="V91" s="114" t="str">
        <f t="shared" si="15"/>
        <v/>
      </c>
    </row>
    <row r="92" spans="1:22" x14ac:dyDescent="0.2">
      <c r="J92">
        <f>H2-K92</f>
        <v>-40</v>
      </c>
      <c r="K92">
        <v>89</v>
      </c>
      <c r="L92">
        <f>L91+N93</f>
        <v>47.900000000000013</v>
      </c>
      <c r="P92" s="106">
        <v>105</v>
      </c>
      <c r="Q92" s="106">
        <v>110</v>
      </c>
      <c r="R92" s="112">
        <f t="shared" si="12"/>
        <v>47.900000000000013</v>
      </c>
      <c r="S92" s="110" t="str">
        <f t="shared" si="11"/>
        <v/>
      </c>
      <c r="T92" s="113" t="str">
        <f t="shared" si="13"/>
        <v/>
      </c>
      <c r="U92" s="113" t="str">
        <f t="shared" si="14"/>
        <v/>
      </c>
      <c r="V92" s="114" t="str">
        <f t="shared" si="15"/>
        <v/>
      </c>
    </row>
    <row r="93" spans="1:22" x14ac:dyDescent="0.2">
      <c r="J93">
        <f>H2-K93</f>
        <v>-41</v>
      </c>
      <c r="K93" s="107">
        <v>90</v>
      </c>
      <c r="L93" s="107">
        <v>48</v>
      </c>
      <c r="M93">
        <f>L93-L83</f>
        <v>1</v>
      </c>
      <c r="N93">
        <f>M93/10</f>
        <v>0.1</v>
      </c>
      <c r="P93" s="106">
        <v>105</v>
      </c>
      <c r="Q93" s="106">
        <v>110</v>
      </c>
      <c r="R93" s="112">
        <f t="shared" si="12"/>
        <v>48</v>
      </c>
      <c r="S93" s="110" t="str">
        <f t="shared" si="11"/>
        <v/>
      </c>
      <c r="T93" s="113" t="str">
        <f t="shared" si="13"/>
        <v/>
      </c>
      <c r="U93" s="113" t="str">
        <f t="shared" si="14"/>
        <v/>
      </c>
      <c r="V93" s="114" t="str">
        <f t="shared" si="15"/>
        <v/>
      </c>
    </row>
    <row r="96" spans="1:22" x14ac:dyDescent="0.2">
      <c r="A96" s="88"/>
      <c r="B96" s="167" t="s">
        <v>96</v>
      </c>
      <c r="C96" s="167"/>
      <c r="D96" s="168"/>
      <c r="E96" s="168"/>
      <c r="F96" s="168"/>
      <c r="G96" s="168"/>
      <c r="H96" s="168"/>
      <c r="I96" s="168"/>
      <c r="J96" s="169"/>
    </row>
    <row r="97" spans="1:10" x14ac:dyDescent="0.2">
      <c r="A97" s="88"/>
      <c r="B97" s="88"/>
      <c r="C97" s="88"/>
      <c r="D97" s="88"/>
      <c r="E97" s="88"/>
      <c r="F97" s="88"/>
      <c r="G97" s="88"/>
      <c r="H97" s="88"/>
      <c r="I97" s="88"/>
      <c r="J97" s="88"/>
    </row>
    <row r="98" spans="1:10" x14ac:dyDescent="0.2">
      <c r="A98" s="88"/>
      <c r="B98" s="88"/>
      <c r="C98" s="88"/>
      <c r="D98" s="88"/>
      <c r="E98" s="88" t="s">
        <v>97</v>
      </c>
      <c r="F98" s="88" t="s">
        <v>71</v>
      </c>
      <c r="G98" s="88" t="s">
        <v>98</v>
      </c>
      <c r="H98" s="88" t="s">
        <v>98</v>
      </c>
      <c r="I98" s="88" t="s">
        <v>98</v>
      </c>
      <c r="J98" s="88"/>
    </row>
    <row r="99" spans="1:10" x14ac:dyDescent="0.2">
      <c r="A99" s="88"/>
      <c r="B99" s="88"/>
      <c r="C99" s="88"/>
      <c r="D99" s="170" t="s">
        <v>99</v>
      </c>
      <c r="E99" s="88">
        <f>D100*1.2</f>
        <v>1565.0160000000001</v>
      </c>
      <c r="F99" s="171">
        <v>0.7</v>
      </c>
      <c r="G99" s="171">
        <v>0.7</v>
      </c>
      <c r="H99" s="171">
        <v>0.7</v>
      </c>
      <c r="I99" s="171">
        <v>0.3</v>
      </c>
      <c r="J99" s="88"/>
    </row>
    <row r="100" spans="1:10" x14ac:dyDescent="0.2">
      <c r="A100" s="88"/>
      <c r="B100" s="88" t="s">
        <v>99</v>
      </c>
      <c r="C100" s="88"/>
      <c r="D100" s="172">
        <f>IF(Лист1!B4="ж",C111,C110)</f>
        <v>1304.18</v>
      </c>
      <c r="E100" s="88" t="s">
        <v>64</v>
      </c>
      <c r="F100" s="88" t="s">
        <v>100</v>
      </c>
      <c r="G100" s="88" t="s">
        <v>101</v>
      </c>
      <c r="H100" s="88" t="s">
        <v>102</v>
      </c>
      <c r="I100" s="88" t="s">
        <v>103</v>
      </c>
      <c r="J100" s="88"/>
    </row>
    <row r="101" spans="1:10" x14ac:dyDescent="0.2">
      <c r="A101" s="88"/>
      <c r="B101" s="173" t="s">
        <v>72</v>
      </c>
      <c r="C101" s="174">
        <f>D106</f>
        <v>0.99121590383726332</v>
      </c>
      <c r="D101" s="175">
        <f>D100*C101</f>
        <v>1292.723957466482</v>
      </c>
      <c r="E101" s="176">
        <f>D101/D100*100</f>
        <v>99.121590383726328</v>
      </c>
      <c r="F101" s="177">
        <f>70*D101/100</f>
        <v>904.90677022653745</v>
      </c>
      <c r="G101" s="177">
        <f>70*D101/100/9.1</f>
        <v>99.44030442049862</v>
      </c>
      <c r="H101" s="177">
        <f>70*D101/100/4.2</f>
        <v>215.45399291108035</v>
      </c>
      <c r="I101" s="177">
        <f>30*D101/100/4.2</f>
        <v>92.337425533320129</v>
      </c>
      <c r="J101" s="88"/>
    </row>
    <row r="102" spans="1:10" x14ac:dyDescent="0.2">
      <c r="A102" s="178">
        <v>1.2</v>
      </c>
      <c r="B102" s="179" t="s">
        <v>104</v>
      </c>
      <c r="C102" s="174">
        <f>D107</f>
        <v>1.106837211691581</v>
      </c>
      <c r="D102" s="180">
        <f>D100*C102</f>
        <v>1443.5149547439262</v>
      </c>
      <c r="E102" s="176">
        <f>D102/(D100*A102)*100</f>
        <v>92.236434307631754</v>
      </c>
      <c r="F102" s="181">
        <f>70*D102/100</f>
        <v>1010.4604683207483</v>
      </c>
      <c r="G102" s="181">
        <f>70*D102/100/9.1</f>
        <v>111.03961190337894</v>
      </c>
      <c r="H102" s="181">
        <f>70*D102/100/4.2</f>
        <v>240.58582579065435</v>
      </c>
      <c r="I102" s="181">
        <f>30*D102/100/4.2</f>
        <v>103.10821105313758</v>
      </c>
      <c r="J102" s="88"/>
    </row>
    <row r="103" spans="1:10" x14ac:dyDescent="0.2">
      <c r="A103" s="178">
        <v>1.55</v>
      </c>
      <c r="B103" s="182" t="s">
        <v>105</v>
      </c>
      <c r="C103" s="174">
        <f>D108</f>
        <v>1.338572969640931</v>
      </c>
      <c r="D103" s="183">
        <f>D100*C103</f>
        <v>1745.7400955463095</v>
      </c>
      <c r="E103" s="176">
        <f>D103/(D100*A103)*100</f>
        <v>86.35954642844716</v>
      </c>
      <c r="F103" s="184">
        <f>70*D103/100</f>
        <v>1222.0180668824166</v>
      </c>
      <c r="G103" s="184">
        <f>70*D103/100/9.1</f>
        <v>134.28769965740844</v>
      </c>
      <c r="H103" s="184">
        <f>70*D103/100/4.2</f>
        <v>290.95668259105156</v>
      </c>
      <c r="I103" s="184">
        <f>30*D103/100/4.2</f>
        <v>124.69572111045068</v>
      </c>
      <c r="J103" s="88"/>
    </row>
    <row r="104" spans="1:10" x14ac:dyDescent="0.2">
      <c r="A104" s="178">
        <f>Лист1!A102</f>
        <v>0</v>
      </c>
      <c r="B104" s="185" t="s">
        <v>106</v>
      </c>
      <c r="C104" s="174">
        <f>D109</f>
        <v>1.0490265577644222</v>
      </c>
      <c r="D104" s="186">
        <f>D100*C104</f>
        <v>1368.1194561052043</v>
      </c>
      <c r="E104" s="176">
        <f>D104/(D100*Лист1!B24)*100</f>
        <v>76.29284056468525</v>
      </c>
      <c r="F104" s="187">
        <f>70*D104/100</f>
        <v>957.68361927364299</v>
      </c>
      <c r="G104" s="187">
        <f>70*D104/100/9.1</f>
        <v>105.23995816193879</v>
      </c>
      <c r="H104" s="187">
        <f>70*D104/100/4.2</f>
        <v>228.01990935086738</v>
      </c>
      <c r="I104" s="187">
        <f>30*D104/100/4.2</f>
        <v>97.722818293228883</v>
      </c>
      <c r="J104" s="88"/>
    </row>
    <row r="105" spans="1:10" x14ac:dyDescent="0.2">
      <c r="A105" s="88"/>
      <c r="B105" s="88" t="s">
        <v>107</v>
      </c>
      <c r="C105" s="174">
        <f>AVERAGE(C101:C103)</f>
        <v>1.1455420283899251</v>
      </c>
      <c r="D105" s="87">
        <f>D100*C105</f>
        <v>1493.9930025855726</v>
      </c>
      <c r="E105" s="104">
        <f>AVERAGE(E101:E103)</f>
        <v>92.572523706601757</v>
      </c>
      <c r="F105" s="105">
        <f>70*D105/100</f>
        <v>1045.7951018099009</v>
      </c>
      <c r="G105" s="105">
        <f>70*D105/100/9.1</f>
        <v>114.92253866042867</v>
      </c>
      <c r="H105" s="105">
        <f>70*D105/100/4.2</f>
        <v>248.99883376426209</v>
      </c>
      <c r="I105" s="105">
        <f>30*D105/100/4.2</f>
        <v>106.71378589896948</v>
      </c>
      <c r="J105" s="88"/>
    </row>
    <row r="106" spans="1:10" x14ac:dyDescent="0.2">
      <c r="A106" s="88"/>
      <c r="B106" s="173" t="s">
        <v>72</v>
      </c>
      <c r="C106" s="177">
        <f>I119</f>
        <v>1292.723957466482</v>
      </c>
      <c r="D106" s="188">
        <f>H119</f>
        <v>0.99121590383726332</v>
      </c>
      <c r="E106" s="88"/>
      <c r="F106" s="88" t="s">
        <v>108</v>
      </c>
      <c r="G106" s="88" t="s">
        <v>109</v>
      </c>
      <c r="H106" s="88" t="s">
        <v>109</v>
      </c>
      <c r="I106" s="88" t="s">
        <v>110</v>
      </c>
      <c r="J106" s="88"/>
    </row>
    <row r="107" spans="1:10" x14ac:dyDescent="0.2">
      <c r="A107" s="88"/>
      <c r="B107" s="179" t="s">
        <v>104</v>
      </c>
      <c r="C107" s="181">
        <f>J119</f>
        <v>1443.5149547439257</v>
      </c>
      <c r="D107" s="188">
        <f>AVERAGE(H120:H122)</f>
        <v>1.106837211691581</v>
      </c>
      <c r="E107" s="88"/>
      <c r="F107" s="88"/>
      <c r="G107" s="88"/>
      <c r="H107" s="88"/>
      <c r="I107" s="88"/>
      <c r="J107" s="88"/>
    </row>
    <row r="108" spans="1:10" x14ac:dyDescent="0.2">
      <c r="A108" s="88"/>
      <c r="B108" s="182" t="s">
        <v>105</v>
      </c>
      <c r="C108" s="184">
        <f>AVERAGE(I124:I125)</f>
        <v>1745.7400955463095</v>
      </c>
      <c r="D108" s="188">
        <f>AVERAGE(H124:H125)</f>
        <v>1.338572969640931</v>
      </c>
      <c r="E108" s="88"/>
      <c r="F108" s="88"/>
      <c r="G108" s="88"/>
      <c r="H108" s="88"/>
      <c r="I108" s="88"/>
      <c r="J108" s="88"/>
    </row>
    <row r="109" spans="1:10" x14ac:dyDescent="0.2">
      <c r="A109" s="88"/>
      <c r="B109" s="189" t="s">
        <v>106</v>
      </c>
      <c r="C109" s="190">
        <f>AVERAGE(C106:C107)</f>
        <v>1368.1194561052039</v>
      </c>
      <c r="D109" s="188">
        <f>AVERAGE(D106:D107)</f>
        <v>1.0490265577644222</v>
      </c>
      <c r="E109" s="88"/>
      <c r="F109" s="88"/>
      <c r="G109" s="191"/>
      <c r="H109" s="191" t="s">
        <v>111</v>
      </c>
      <c r="I109" s="191"/>
      <c r="J109" s="192" t="s">
        <v>106</v>
      </c>
    </row>
    <row r="110" spans="1:10" x14ac:dyDescent="0.2">
      <c r="A110" s="88"/>
      <c r="B110" s="170" t="s">
        <v>99</v>
      </c>
      <c r="C110" s="193">
        <f>(66+(13.7*Лист1!B6)+(5*Лист1!B7)-(6.8*Лист1!B5))</f>
        <v>1374.4599999999998</v>
      </c>
      <c r="D110" s="88" t="s">
        <v>2</v>
      </c>
      <c r="E110" s="88"/>
      <c r="F110" s="88"/>
      <c r="G110" s="88" t="s">
        <v>71</v>
      </c>
      <c r="H110" s="88" t="s">
        <v>98</v>
      </c>
      <c r="I110" s="88" t="s">
        <v>98</v>
      </c>
      <c r="J110" s="88" t="s">
        <v>98</v>
      </c>
    </row>
    <row r="111" spans="1:10" x14ac:dyDescent="0.2">
      <c r="A111" s="88"/>
      <c r="B111" s="170" t="s">
        <v>99</v>
      </c>
      <c r="C111" s="194">
        <f>(655+(9.6*Лист1!B6)+(1.8*Лист1!B7)-(4.7*Лист1!B5))</f>
        <v>1304.18</v>
      </c>
      <c r="D111" s="88" t="s">
        <v>29</v>
      </c>
      <c r="E111" s="88"/>
      <c r="F111" s="88"/>
      <c r="G111" s="171">
        <v>0.7</v>
      </c>
      <c r="H111" s="171">
        <v>0.7</v>
      </c>
      <c r="I111" s="171">
        <v>0.7</v>
      </c>
      <c r="J111" s="171">
        <v>0.3</v>
      </c>
    </row>
    <row r="112" spans="1:10" x14ac:dyDescent="0.2">
      <c r="A112" s="88"/>
      <c r="B112" s="195" t="s">
        <v>112</v>
      </c>
      <c r="C112" s="177">
        <f>C109</f>
        <v>1368.1194561052039</v>
      </c>
      <c r="D112" s="88"/>
      <c r="E112" s="88"/>
      <c r="F112" s="88"/>
      <c r="G112" s="88" t="s">
        <v>113</v>
      </c>
      <c r="H112" s="88" t="s">
        <v>29</v>
      </c>
      <c r="I112" s="88" t="s">
        <v>114</v>
      </c>
      <c r="J112" s="88" t="s">
        <v>115</v>
      </c>
    </row>
    <row r="113" spans="1:10" x14ac:dyDescent="0.2">
      <c r="A113" s="88"/>
      <c r="B113" s="88"/>
      <c r="C113" s="196" t="s">
        <v>116</v>
      </c>
      <c r="D113" s="197">
        <f>C112*1.2</f>
        <v>1641.7433473262447</v>
      </c>
      <c r="E113" s="88" t="s">
        <v>71</v>
      </c>
      <c r="F113" s="88"/>
      <c r="G113" s="198">
        <f>70*D113/100</f>
        <v>1149.2203431283713</v>
      </c>
      <c r="H113" s="198">
        <f>70*D113/100/9.1</f>
        <v>126.28794979432652</v>
      </c>
      <c r="I113" s="198">
        <f>70*D113/100/4.2</f>
        <v>273.62389122104076</v>
      </c>
      <c r="J113" s="198">
        <f>30*D113/100/4.2</f>
        <v>117.26738195187461</v>
      </c>
    </row>
    <row r="114" spans="1:10" x14ac:dyDescent="0.2">
      <c r="A114" s="88"/>
      <c r="B114" s="88"/>
      <c r="C114" s="196" t="s">
        <v>117</v>
      </c>
      <c r="D114" s="186">
        <f>C112*1.375</f>
        <v>1881.1642521446554</v>
      </c>
      <c r="E114" s="88" t="s">
        <v>71</v>
      </c>
      <c r="F114" s="88"/>
      <c r="G114" s="187">
        <f>70*D114/100</f>
        <v>1316.8149765012588</v>
      </c>
      <c r="H114" s="187">
        <f>70*D114/100/9.1</f>
        <v>144.70494247266581</v>
      </c>
      <c r="I114" s="187">
        <f>70*D114/100/4.2</f>
        <v>313.52737535744257</v>
      </c>
      <c r="J114" s="187">
        <f>30*D114/100/4.2</f>
        <v>134.36887515318966</v>
      </c>
    </row>
    <row r="115" spans="1:10" x14ac:dyDescent="0.2">
      <c r="A115" s="88"/>
      <c r="B115" s="88"/>
      <c r="C115" s="196" t="s">
        <v>118</v>
      </c>
      <c r="D115" s="180">
        <f>C112*1.55</f>
        <v>2120.5851569630659</v>
      </c>
      <c r="E115" s="88" t="s">
        <v>71</v>
      </c>
      <c r="F115" s="88"/>
      <c r="G115" s="181">
        <f>70*D115/100</f>
        <v>1484.4096098741461</v>
      </c>
      <c r="H115" s="181">
        <f>70*D115/100/9.1</f>
        <v>163.12193515100506</v>
      </c>
      <c r="I115" s="181">
        <f>70*D115/100/4.2</f>
        <v>353.43085949384431</v>
      </c>
      <c r="J115" s="181">
        <f>30*D115/100/4.2</f>
        <v>151.4703683545047</v>
      </c>
    </row>
    <row r="116" spans="1:10" x14ac:dyDescent="0.2">
      <c r="A116" s="88"/>
      <c r="B116" s="88"/>
      <c r="C116" s="196" t="s">
        <v>119</v>
      </c>
      <c r="D116" s="183">
        <f>C112*1.725</f>
        <v>2360.006061781477</v>
      </c>
      <c r="E116" s="88" t="s">
        <v>71</v>
      </c>
      <c r="F116" s="88"/>
      <c r="G116" s="184">
        <f>70*D116/100</f>
        <v>1652.0042432470341</v>
      </c>
      <c r="H116" s="184">
        <f>70*D116/100/9.1</f>
        <v>181.5389278293444</v>
      </c>
      <c r="I116" s="184">
        <f>70*D116/100/4.2</f>
        <v>393.33434363024617</v>
      </c>
      <c r="J116" s="184">
        <f>30*D116/100/4.2</f>
        <v>168.57186155581979</v>
      </c>
    </row>
    <row r="117" spans="1:10" x14ac:dyDescent="0.2">
      <c r="A117" s="88"/>
      <c r="B117" s="88"/>
      <c r="C117" s="88"/>
      <c r="D117" s="88"/>
      <c r="E117" s="88"/>
      <c r="F117" s="88"/>
      <c r="G117" s="88" t="s">
        <v>108</v>
      </c>
      <c r="H117" s="88" t="s">
        <v>109</v>
      </c>
      <c r="I117" s="88" t="s">
        <v>109</v>
      </c>
      <c r="J117" s="88" t="s">
        <v>110</v>
      </c>
    </row>
    <row r="118" spans="1:10" x14ac:dyDescent="0.2">
      <c r="A118" s="88"/>
      <c r="B118" s="88"/>
      <c r="C118" s="88"/>
      <c r="D118" s="88"/>
      <c r="E118" s="88"/>
      <c r="F118" s="88"/>
      <c r="G118" s="88" t="s">
        <v>28</v>
      </c>
      <c r="H118" s="99" t="s">
        <v>120</v>
      </c>
      <c r="I118" s="99" t="s">
        <v>121</v>
      </c>
      <c r="J118" s="199" t="s">
        <v>104</v>
      </c>
    </row>
    <row r="119" spans="1:10" x14ac:dyDescent="0.2">
      <c r="A119" s="88"/>
      <c r="B119" s="88"/>
      <c r="C119" s="88"/>
      <c r="D119" s="88"/>
      <c r="E119" s="200" t="s">
        <v>34</v>
      </c>
      <c r="F119" s="201" t="e">
        <v>#REF!</v>
      </c>
      <c r="G119" s="202">
        <f t="shared" ref="G119:H126" si="16">F37</f>
        <v>99.121590383726328</v>
      </c>
      <c r="H119" s="203">
        <f t="shared" si="16"/>
        <v>0.99121590383726332</v>
      </c>
      <c r="I119" s="177">
        <f>C111*H119</f>
        <v>1292.723957466482</v>
      </c>
      <c r="J119" s="181">
        <f>I127</f>
        <v>1443.5149547439257</v>
      </c>
    </row>
    <row r="120" spans="1:10" x14ac:dyDescent="0.2">
      <c r="A120" s="88"/>
      <c r="B120" s="88"/>
      <c r="C120" s="88"/>
      <c r="D120" s="88"/>
      <c r="E120" s="200" t="s">
        <v>30</v>
      </c>
      <c r="F120" s="201" t="e">
        <v>#REF!</v>
      </c>
      <c r="G120" s="202">
        <f t="shared" si="16"/>
        <v>99.121590383726328</v>
      </c>
      <c r="H120" s="204">
        <f t="shared" si="16"/>
        <v>0.99121590383726332</v>
      </c>
      <c r="I120" s="190">
        <f>C111*H120</f>
        <v>1292.723957466482</v>
      </c>
      <c r="J120" s="88"/>
    </row>
    <row r="121" spans="1:10" x14ac:dyDescent="0.2">
      <c r="A121" s="88"/>
      <c r="B121" s="88"/>
      <c r="C121" s="88"/>
      <c r="D121" s="88"/>
      <c r="E121" s="200" t="s">
        <v>36</v>
      </c>
      <c r="F121" s="201" t="e">
        <v>#REF!</v>
      </c>
      <c r="G121" s="202">
        <f t="shared" si="16"/>
        <v>121.14039143165358</v>
      </c>
      <c r="H121" s="204">
        <f t="shared" si="16"/>
        <v>1.2114039143165358</v>
      </c>
      <c r="I121" s="190">
        <f>C111*H121</f>
        <v>1579.8887569733397</v>
      </c>
      <c r="J121" s="88"/>
    </row>
    <row r="122" spans="1:10" x14ac:dyDescent="0.2">
      <c r="A122" s="88"/>
      <c r="B122" s="88"/>
      <c r="C122" s="88"/>
      <c r="D122" s="88"/>
      <c r="E122" s="200" t="s">
        <v>31</v>
      </c>
      <c r="F122" s="201" t="e">
        <v>#REF!</v>
      </c>
      <c r="G122" s="202">
        <f t="shared" si="16"/>
        <v>111.78918169209433</v>
      </c>
      <c r="H122" s="204">
        <f t="shared" si="16"/>
        <v>1.1178918169209433</v>
      </c>
      <c r="I122" s="190">
        <f>C111*H122</f>
        <v>1457.9321497919559</v>
      </c>
      <c r="J122" s="88"/>
    </row>
    <row r="123" spans="1:10" x14ac:dyDescent="0.2">
      <c r="A123" s="88"/>
      <c r="B123" s="88"/>
      <c r="C123" s="88"/>
      <c r="D123" s="88"/>
      <c r="E123" s="200" t="s">
        <v>0</v>
      </c>
      <c r="F123" s="201" t="e">
        <v>#REF!</v>
      </c>
      <c r="G123" s="202">
        <f t="shared" si="16"/>
        <v>103.97595931576518</v>
      </c>
      <c r="H123" s="204">
        <f t="shared" si="16"/>
        <v>1.0397595931576518</v>
      </c>
      <c r="I123" s="190">
        <f>C111*H123</f>
        <v>1356.0336662043464</v>
      </c>
      <c r="J123" s="88"/>
    </row>
    <row r="124" spans="1:10" x14ac:dyDescent="0.2">
      <c r="A124" s="88"/>
      <c r="B124" s="88"/>
      <c r="C124" s="88"/>
      <c r="D124" s="88"/>
      <c r="E124" s="200" t="s">
        <v>32</v>
      </c>
      <c r="F124" s="201" t="e">
        <v>#REF!</v>
      </c>
      <c r="G124" s="202">
        <f t="shared" si="16"/>
        <v>153.52134381260595</v>
      </c>
      <c r="H124" s="204">
        <f t="shared" si="16"/>
        <v>1.5352134381260596</v>
      </c>
      <c r="I124" s="190">
        <f>C111*H124</f>
        <v>2002.1946617352446</v>
      </c>
      <c r="J124" s="88"/>
    </row>
    <row r="125" spans="1:10" x14ac:dyDescent="0.2">
      <c r="A125" s="88"/>
      <c r="B125" s="88"/>
      <c r="C125" s="88"/>
      <c r="D125" s="88"/>
      <c r="E125" s="200" t="s">
        <v>33</v>
      </c>
      <c r="F125" s="201" t="e">
        <v>#REF!</v>
      </c>
      <c r="G125" s="202">
        <f t="shared" si="16"/>
        <v>114.19325011558024</v>
      </c>
      <c r="H125" s="204">
        <f t="shared" si="16"/>
        <v>1.1419325011558024</v>
      </c>
      <c r="I125" s="190">
        <f>C111*H125</f>
        <v>1489.2855293573743</v>
      </c>
      <c r="J125" s="88"/>
    </row>
    <row r="126" spans="1:10" x14ac:dyDescent="0.2">
      <c r="A126" s="88"/>
      <c r="B126" s="88"/>
      <c r="C126" s="88"/>
      <c r="D126" s="88"/>
      <c r="E126" s="200" t="s">
        <v>39</v>
      </c>
      <c r="F126" s="201" t="e">
        <v>#REF!</v>
      </c>
      <c r="G126" s="202">
        <f t="shared" si="16"/>
        <v>114.69475816216456</v>
      </c>
      <c r="H126" s="204">
        <f t="shared" si="16"/>
        <v>1.1469475816216457</v>
      </c>
      <c r="I126" s="190">
        <f>C111*H126</f>
        <v>1495.826096999318</v>
      </c>
      <c r="J126" s="88"/>
    </row>
    <row r="127" spans="1:10" x14ac:dyDescent="0.2">
      <c r="A127" s="88"/>
      <c r="B127" s="88"/>
      <c r="C127" s="88"/>
      <c r="D127" s="88"/>
      <c r="E127" s="169" t="s">
        <v>104</v>
      </c>
      <c r="F127" s="205" t="s">
        <v>61</v>
      </c>
      <c r="G127" s="169"/>
      <c r="H127" s="169"/>
      <c r="I127" s="105">
        <f>AVERAGE(I120:I122)</f>
        <v>1443.5149547439257</v>
      </c>
      <c r="J127" s="88"/>
    </row>
  </sheetData>
  <sheetProtection password="CF42" sheet="1" objects="1" scenarios="1" selectLockedCells="1" selectUnlockedCells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000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000</dc:creator>
  <cp:lastModifiedBy>Наталья Трубицына</cp:lastModifiedBy>
  <dcterms:created xsi:type="dcterms:W3CDTF">2007-12-18T08:52:04Z</dcterms:created>
  <dcterms:modified xsi:type="dcterms:W3CDTF">2021-05-10T09:00:22Z</dcterms:modified>
</cp:coreProperties>
</file>