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vsdx" ContentType="application/vnd.ms-visio.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embeddings/oleObject1.bin" ContentType="application/vnd.openxmlformats-officedocument.oleObject"/>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harts/chart11.xml" ContentType="application/vnd.openxmlformats-officedocument.drawingml.chart+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defaultThemeVersion="124226"/>
  <mc:AlternateContent xmlns:mc="http://schemas.openxmlformats.org/markup-compatibility/2006">
    <mc:Choice Requires="x15">
      <x15ac:absPath xmlns:x15ac="http://schemas.microsoft.com/office/spreadsheetml/2010/11/ac" url="F:\Temp\lm5123sim\"/>
    </mc:Choice>
  </mc:AlternateContent>
  <xr:revisionPtr revIDLastSave="0" documentId="13_ncr:1_{9F827F05-6770-47D3-9D44-4E4A0B96BC78}" xr6:coauthVersionLast="47" xr6:coauthVersionMax="47" xr10:uidLastSave="{00000000-0000-0000-0000-000000000000}"/>
  <workbookProtection workbookAlgorithmName="SHA-512" workbookHashValue="9Tu4NBv68gmIzXyJYbUSzn8PsZr1TFCYodfdXFLY1IFFgROBuyYld0CXgEClOR7X+OH+rO3M4mpmiuMjhvlEHw==" workbookSaltValue="EUSOMyJ7N4N2o3mpQWAtPA==" workbookSpinCount="100000" lockStructure="1"/>
  <bookViews>
    <workbookView xWindow="-120" yWindow="-120" windowWidth="29040" windowHeight="15840" xr2:uid="{00000000-000D-0000-FFFF-FFFF00000000}"/>
  </bookViews>
  <sheets>
    <sheet name="Design Converter" sheetId="1" r:id="rId1"/>
    <sheet name="Variable_Management" sheetId="2" state="hidden" r:id="rId2"/>
    <sheet name="Eff_vs_IOUT" sheetId="4" state="hidden" r:id="rId3"/>
    <sheet name="Loop_Modeling" sheetId="5" state="hidden" r:id="rId4"/>
    <sheet name="Constants" sheetId="3" state="hidden" r:id="rId5"/>
    <sheet name="Plot_Management_Eff" sheetId="6" state="hidden" r:id="rId6"/>
    <sheet name="Plot_Management_Sch" sheetId="7" state="hidden" r:id="rId7"/>
    <sheet name="Lists" sheetId="8" state="hidden" r:id="rId8"/>
    <sheet name="Sheet1" sheetId="9" state="hidden" r:id="rId9"/>
  </sheets>
  <definedNames>
    <definedName name="Acs">Constants!$B$33</definedName>
    <definedName name="Adc">Loop_Modeling!$B$38</definedName>
    <definedName name="Adc_ea">Loop_Modeling!$B$62</definedName>
    <definedName name="ADC_VINmin">Variable_Management!$B$160</definedName>
    <definedName name="CCOMP">Variable_Management!$B$225</definedName>
    <definedName name="CCOMP_Calc">Variable_Management!$B$224</definedName>
    <definedName name="CCOMP_calc_CCM">Variable_Management!$B$189</definedName>
    <definedName name="CCOMP_CALC_DCM">Variable_Management!$B$215</definedName>
    <definedName name="CHF">Variable_Management!$B$227</definedName>
    <definedName name="CHF_calc">Variable_Management!$B$226</definedName>
    <definedName name="CHF_CALC_CCM">Variable_Management!$B$190</definedName>
    <definedName name="CHF_CALC_DCM">Variable_Management!$B$216</definedName>
    <definedName name="Comp_calc_CCM">Variable_Management!$B$189</definedName>
    <definedName name="Cout">Variable_Management!$B$110</definedName>
    <definedName name="Cout_min">Variable_Management!$B$108</definedName>
    <definedName name="D_limit_max">Constants!$B$18</definedName>
    <definedName name="D_limit_min">Constants!$B$16</definedName>
    <definedName name="D_limit_nom">Constants!$B$17</definedName>
    <definedName name="DC_DCM_max">Variable_Management!$B$39</definedName>
    <definedName name="Dc_max_IC">Variable_Management!$B$23</definedName>
    <definedName name="Dc_max_ideal">Variable_Management!$A$22</definedName>
    <definedName name="DC_rip">Variable_Management!$B$32</definedName>
    <definedName name="Dc_rip_max">Variable_Management!$B$31</definedName>
    <definedName name="Dc_VIN_max">Variable_Management!$B$71</definedName>
    <definedName name="Dc_VIN_min">Variable_Management!$B$55</definedName>
    <definedName name="Dc_VIN_nom">Variable_Management!$B$63</definedName>
    <definedName name="DC_VIN_var_DCM">Loop_Modeling!$B$70</definedName>
    <definedName name="_xlnm.Print_Area" localSheetId="0">'Design Converter'!$A$1:$Z$97</definedName>
    <definedName name="EFF_est">Variable_Management!$B$16</definedName>
    <definedName name="Eff_vs_IOUT">Plot_Management_Eff!$C$3</definedName>
    <definedName name="fcross">Variable_Management!$B$220</definedName>
    <definedName name="fcross_est">Variable_Management!$B$219</definedName>
    <definedName name="fp_ea_est">Variable_Management!$B$182</definedName>
    <definedName name="Fsw">Variable_Management!$B$10</definedName>
    <definedName name="fz_ea_est">Variable_Management!$B$181</definedName>
    <definedName name="fz_rhp">Variable_Management!$B$169</definedName>
    <definedName name="Gcomp">Constants!$B$32</definedName>
    <definedName name="Gea_mid_calc">Variable_Management!#REF!</definedName>
    <definedName name="gfs">Variable_Management!$B$243</definedName>
    <definedName name="gm_ea">Constants!$B$37</definedName>
    <definedName name="Gplant_fc_dB">Loop_Modeling!$AD$7</definedName>
    <definedName name="IIN_33">Variable_Management!$B$35</definedName>
    <definedName name="IL_avg_VIN_max">Variable_Management!$B$73</definedName>
    <definedName name="IL_avg_VIN_min">Variable_Management!$B$57</definedName>
    <definedName name="IL_avg_VIN_nom">Variable_Management!$B$65</definedName>
    <definedName name="IL_pk">Variable_Management!$B$94</definedName>
    <definedName name="IL_pk_max">Variable_Management!$B$95</definedName>
    <definedName name="ILp_VINmax">Variable_Management!$B$75</definedName>
    <definedName name="ILp_VINmin">Variable_Management!$B$59</definedName>
    <definedName name="ILp_VINnom">Variable_Management!$B$67</definedName>
    <definedName name="ILrip">Variable_Management!$B$30</definedName>
    <definedName name="ILrip_VINmax">Variable_Management!$B$74</definedName>
    <definedName name="ILrip_VINmin">Variable_Management!$B$58</definedName>
    <definedName name="ILrip_VINnom">Variable_Management!$B$66</definedName>
    <definedName name="IOUT">Variable_Management!$B$13</definedName>
    <definedName name="IOUT_VAR">Loop_Modeling!$B$17</definedName>
    <definedName name="Ipk_margin">Variable_Management!$B$78</definedName>
    <definedName name="Ipk_selected">Variable_Management!$B$80</definedName>
    <definedName name="IQ">Constants!$B$58</definedName>
    <definedName name="IRMS_COUT">Variable_Management!$B$109</definedName>
    <definedName name="Isl">Constants!$B$26</definedName>
    <definedName name="Iss">Constants!$B$47</definedName>
    <definedName name="Kd">Loop_Modeling!$B$36</definedName>
    <definedName name="Kd_VINmin">Variable_Management!$B$156</definedName>
    <definedName name="Kex">Loop_Modeling!$B$34</definedName>
    <definedName name="Kex_VINmin">Variable_Management!$B$154</definedName>
    <definedName name="Kfb">Variable_Management!$B$139</definedName>
    <definedName name="Kfb_high">Constants!$B$39</definedName>
    <definedName name="Kfb_low">Constants!$B$38</definedName>
    <definedName name="Km">Loop_Modeling!$B$35</definedName>
    <definedName name="Km_VINmin">Variable_Management!$B$155</definedName>
    <definedName name="Kslope">Variable_Management!#REF!</definedName>
    <definedName name="Lm">Variable_Management!$B$47</definedName>
    <definedName name="Lopt">Variable_Management!#REF!</definedName>
    <definedName name="Lopt_2">Variable_Management!$B$36</definedName>
    <definedName name="M_L_DCM">Variable_Management!$B$41</definedName>
    <definedName name="Np">Variable_Management!$B$17</definedName>
    <definedName name="POUT">Variable_Management!$B$15</definedName>
    <definedName name="Q">Loop_Modeling!$B$52</definedName>
    <definedName name="Q_VINmin">Variable_Management!$B$177</definedName>
    <definedName name="Qg_tot">Variable_Management!$B$238</definedName>
    <definedName name="Qg_tot_HS">Variable_Management!$B$255</definedName>
    <definedName name="Qgd">Variable_Management!$B$239</definedName>
    <definedName name="Qgs">Variable_Management!$B$240</definedName>
    <definedName name="Qrr">Variable_Management!$B$263</definedName>
    <definedName name="R_cs">Variable_Management!$B$90</definedName>
    <definedName name="R_sl">Variable_Management!$B$91</definedName>
    <definedName name="RCOMP">Variable_Management!$B$223</definedName>
    <definedName name="RCOMP_Calc">Variable_Management!$B$222</definedName>
    <definedName name="Rcomp_calc_CCM">Variable_Management!$B$188</definedName>
    <definedName name="RCOMP_CALC_DCM">Variable_Management!$B$214</definedName>
    <definedName name="Rcs_max">Variable_Management!$B$83</definedName>
    <definedName name="Rcs_w_sl">Variable_Management!#REF!</definedName>
    <definedName name="Rcs_wo_sl">Variable_Management!$B$84</definedName>
    <definedName name="Rdcr">Variable_Management!$B$48</definedName>
    <definedName name="RDS_on">Variable_Management!$B$237</definedName>
    <definedName name="RDS_on_HS">Variable_Management!$B$254</definedName>
    <definedName name="Resr">Variable_Management!$B$111</definedName>
    <definedName name="RFBB">Variable_Management!$B$147</definedName>
    <definedName name="RFBB_calc">Variable_Management!$B$146</definedName>
    <definedName name="RFBT">Variable_Management!$B$145</definedName>
    <definedName name="Rgate">Variable_Management!$B$241</definedName>
    <definedName name="Rmax">Variable_Management!$B$140</definedName>
    <definedName name="Rmax_high">Constants!$B$41</definedName>
    <definedName name="Rmax_low">Constants!$B$40</definedName>
    <definedName name="Rmin">Variable_Management!$B$141</definedName>
    <definedName name="Rmin_high">Constants!$B$43</definedName>
    <definedName name="Rmin_low">Constants!$B$42</definedName>
    <definedName name="ROUT">Variable_Management!$B$14</definedName>
    <definedName name="Rsl_int">Constants!$B$27</definedName>
    <definedName name="RT">Variable_Management!$B$11</definedName>
    <definedName name="Ruvlo_bottom_calc">Variable_Management!$B$129</definedName>
    <definedName name="Ruvlo_top">Variable_Management!$B$128</definedName>
    <definedName name="Ruvlo_top_calc">Variable_Management!$B$127</definedName>
    <definedName name="SCH">INDIRECT(Plot_Management_Sch!$A$1)</definedName>
    <definedName name="SCH_1">Plot_Management_Sch!$B$2</definedName>
    <definedName name="SCH_2">Plot_Management_Sch!$B$5</definedName>
    <definedName name="SCH_3">Plot_Management_Sch!$B$7</definedName>
    <definedName name="Se_VINmin">Variable_Management!$B$173</definedName>
    <definedName name="Sn_VINmin">Variable_Management!$B$174</definedName>
    <definedName name="t_dead">Constants!$B$24</definedName>
    <definedName name="tf_sw">Variable_Management!$B$250</definedName>
    <definedName name="tr_sw">Variable_Management!$B$249</definedName>
    <definedName name="tss">Variable_Management!$B$118</definedName>
    <definedName name="UV_fall">Constants!$B$51</definedName>
    <definedName name="UV_I_hyst">Constants!$B$52</definedName>
    <definedName name="UV_rise">Constants!$B$50</definedName>
    <definedName name="Vcc">Constants!$B$55</definedName>
    <definedName name="Vcl">Constants!$B$30</definedName>
    <definedName name="Vd_rect">Variable_Management!$B$264</definedName>
    <definedName name="VIN_33">Variable_Management!$B$33</definedName>
    <definedName name="VIN_max">Variable_Management!$B$9</definedName>
    <definedName name="VIN_min">Variable_Management!$B$7</definedName>
    <definedName name="VIN_nom">Variable_Management!$B$8</definedName>
    <definedName name="VIN_op_max">Constants!$B$62</definedName>
    <definedName name="VIN_op_min">Constants!$B$61</definedName>
    <definedName name="VIN_var">Variable_Management!$B$8</definedName>
    <definedName name="VOUT">Variable_Management!$B$12</definedName>
    <definedName name="VOUT_range">Variable_Management!$B$19</definedName>
    <definedName name="Vout_rip_sel">Variable_Management!$B$106</definedName>
    <definedName name="Vref">Constants!$B$36</definedName>
    <definedName name="Vsl">Constants!$B$28</definedName>
    <definedName name="Vth">Variable_Management!$B$244</definedName>
    <definedName name="VTRK">Variable_Management!$B$142</definedName>
    <definedName name="Vuvlo_off">Variable_Management!$B$123</definedName>
    <definedName name="Vuvlo_on">Variable_Management!$B$122</definedName>
    <definedName name="wp_lf">Loop_Modeling!$B$39</definedName>
    <definedName name="wp_lf_DCM">Loop_Modeling!$B$73</definedName>
    <definedName name="wp_lf_VINmin">Variable_Management!$B$162</definedName>
    <definedName name="wp0_ea">Loop_Modeling!$B$64</definedName>
    <definedName name="wp1_ea">Loop_Modeling!$B$65</definedName>
    <definedName name="wsl">Loop_Modeling!$B$51</definedName>
    <definedName name="wsl_VINmin">Variable_Management!$B$176</definedName>
    <definedName name="wz_ea">Loop_Modeling!$B$63</definedName>
    <definedName name="wz_esr">Loop_Modeling!$B$45</definedName>
    <definedName name="wz_esr_VINmin">Variable_Management!$B$165</definedName>
    <definedName name="wz_rhp">Loop_Modeling!$B$42</definedName>
    <definedName name="wz_RHP_VINmin">Variable_Management!$B$168</definedName>
    <definedName name="wz1_dcm">Loop_Modeling!$B$75</definedName>
    <definedName name="wz2_dcm">Loop_Modeling!$B$77</definedName>
  </definedNames>
  <calcPr calcId="181029"/>
</workbook>
</file>

<file path=xl/calcChain.xml><?xml version="1.0" encoding="utf-8"?>
<calcChain xmlns="http://schemas.openxmlformats.org/spreadsheetml/2006/main">
  <c r="A1" i="7" l="1"/>
  <c r="B78" i="2" l="1"/>
  <c r="B24" i="3" l="1"/>
  <c r="B264" i="2"/>
  <c r="B263" i="2"/>
  <c r="B20" i="2"/>
  <c r="B8" i="2"/>
  <c r="T8" i="4" s="1"/>
  <c r="B12" i="2"/>
  <c r="R15" i="4" s="1"/>
  <c r="B7" i="2"/>
  <c r="B3" i="8" s="1"/>
  <c r="B10" i="2"/>
  <c r="B19" i="3" s="1"/>
  <c r="B20" i="3" s="1"/>
  <c r="B23" i="2" s="1"/>
  <c r="H16" i="1" s="1"/>
  <c r="B12" i="3"/>
  <c r="B254" i="2"/>
  <c r="R21" i="4"/>
  <c r="R29" i="4"/>
  <c r="R37" i="4"/>
  <c r="R42" i="4"/>
  <c r="R43" i="4"/>
  <c r="R46" i="4"/>
  <c r="R47" i="4"/>
  <c r="R135" i="4"/>
  <c r="R141" i="4"/>
  <c r="R142" i="4"/>
  <c r="R149" i="4"/>
  <c r="R150" i="4"/>
  <c r="R156" i="4"/>
  <c r="B244" i="2"/>
  <c r="B256" i="2"/>
  <c r="B257" i="2"/>
  <c r="B258" i="2"/>
  <c r="B261" i="2"/>
  <c r="B255" i="2"/>
  <c r="B262" i="2"/>
  <c r="E143" i="2"/>
  <c r="B128" i="2"/>
  <c r="B123" i="2"/>
  <c r="B122" i="2"/>
  <c r="B52" i="3"/>
  <c r="B39" i="2"/>
  <c r="F5" i="8"/>
  <c r="F4" i="8"/>
  <c r="F3" i="8"/>
  <c r="B37" i="3"/>
  <c r="B29" i="5"/>
  <c r="B58" i="3"/>
  <c r="B47" i="3"/>
  <c r="B2" i="6"/>
  <c r="B245" i="2"/>
  <c r="B241" i="2"/>
  <c r="B240" i="2"/>
  <c r="B239" i="2"/>
  <c r="B238" i="2"/>
  <c r="B237" i="2"/>
  <c r="B126" i="2"/>
  <c r="B125" i="2"/>
  <c r="B124" i="2"/>
  <c r="G127" i="2" s="1"/>
  <c r="B118" i="2"/>
  <c r="B116" i="2"/>
  <c r="B220" i="2"/>
  <c r="B180" i="2" s="1"/>
  <c r="O548" i="5"/>
  <c r="O549" i="5"/>
  <c r="O550" i="5"/>
  <c r="O551" i="5"/>
  <c r="O552" i="5"/>
  <c r="O553" i="5"/>
  <c r="O554" i="5"/>
  <c r="O555" i="5"/>
  <c r="O556" i="5"/>
  <c r="O557" i="5"/>
  <c r="O558" i="5"/>
  <c r="O559" i="5"/>
  <c r="O560" i="5"/>
  <c r="O537" i="5"/>
  <c r="O538" i="5"/>
  <c r="O539" i="5"/>
  <c r="O540" i="5"/>
  <c r="O541" i="5"/>
  <c r="O542" i="5"/>
  <c r="O543" i="5"/>
  <c r="O544" i="5"/>
  <c r="O545" i="5"/>
  <c r="O546" i="5"/>
  <c r="O547" i="5"/>
  <c r="O520" i="5"/>
  <c r="O521" i="5"/>
  <c r="O522" i="5"/>
  <c r="O523" i="5"/>
  <c r="O524" i="5"/>
  <c r="O525" i="5"/>
  <c r="O526" i="5"/>
  <c r="O527" i="5"/>
  <c r="O528" i="5"/>
  <c r="O529" i="5"/>
  <c r="O530" i="5"/>
  <c r="O531" i="5"/>
  <c r="O532" i="5"/>
  <c r="O533" i="5"/>
  <c r="O534" i="5"/>
  <c r="O535" i="5"/>
  <c r="O536" i="5"/>
  <c r="O519" i="5"/>
  <c r="O420" i="5"/>
  <c r="O421" i="5"/>
  <c r="O422" i="5"/>
  <c r="O423" i="5"/>
  <c r="O424" i="5"/>
  <c r="O425" i="5"/>
  <c r="O426" i="5"/>
  <c r="O427" i="5"/>
  <c r="O428" i="5"/>
  <c r="O429" i="5"/>
  <c r="O430" i="5"/>
  <c r="O431" i="5"/>
  <c r="O432" i="5"/>
  <c r="O433" i="5"/>
  <c r="O434" i="5"/>
  <c r="O435" i="5"/>
  <c r="O436" i="5"/>
  <c r="O437" i="5"/>
  <c r="O438" i="5"/>
  <c r="O439" i="5"/>
  <c r="O440" i="5"/>
  <c r="O441" i="5"/>
  <c r="O442" i="5"/>
  <c r="O443" i="5"/>
  <c r="O444" i="5"/>
  <c r="O445" i="5"/>
  <c r="O446" i="5"/>
  <c r="O447" i="5"/>
  <c r="O448" i="5"/>
  <c r="O449" i="5"/>
  <c r="O450" i="5"/>
  <c r="O451" i="5"/>
  <c r="O452" i="5"/>
  <c r="O453" i="5"/>
  <c r="O454" i="5"/>
  <c r="O455" i="5"/>
  <c r="O456" i="5"/>
  <c r="O457" i="5"/>
  <c r="O458" i="5"/>
  <c r="O459" i="5"/>
  <c r="O460" i="5"/>
  <c r="O461" i="5"/>
  <c r="O462" i="5"/>
  <c r="O463" i="5"/>
  <c r="O464" i="5"/>
  <c r="O465" i="5"/>
  <c r="O466" i="5"/>
  <c r="O467" i="5"/>
  <c r="O468" i="5"/>
  <c r="O469" i="5"/>
  <c r="O470" i="5"/>
  <c r="O471" i="5"/>
  <c r="O472" i="5"/>
  <c r="O473" i="5"/>
  <c r="O474" i="5"/>
  <c r="O475" i="5"/>
  <c r="O476" i="5"/>
  <c r="O477" i="5"/>
  <c r="O478" i="5"/>
  <c r="O479" i="5"/>
  <c r="O480" i="5"/>
  <c r="O481" i="5"/>
  <c r="O482" i="5"/>
  <c r="O483" i="5"/>
  <c r="O484" i="5"/>
  <c r="O485" i="5"/>
  <c r="O486" i="5"/>
  <c r="O487" i="5"/>
  <c r="O488" i="5"/>
  <c r="O489" i="5"/>
  <c r="O490" i="5"/>
  <c r="O491" i="5"/>
  <c r="O492" i="5"/>
  <c r="O493" i="5"/>
  <c r="O494" i="5"/>
  <c r="O495" i="5"/>
  <c r="O496" i="5"/>
  <c r="O497" i="5"/>
  <c r="O498" i="5"/>
  <c r="O499" i="5"/>
  <c r="O500" i="5"/>
  <c r="O501" i="5"/>
  <c r="O502" i="5"/>
  <c r="O503" i="5"/>
  <c r="O504" i="5"/>
  <c r="O505" i="5"/>
  <c r="O506" i="5"/>
  <c r="O507" i="5"/>
  <c r="O508" i="5"/>
  <c r="O509" i="5"/>
  <c r="O510" i="5"/>
  <c r="O511" i="5"/>
  <c r="O512" i="5"/>
  <c r="O513" i="5"/>
  <c r="O514" i="5"/>
  <c r="O515" i="5"/>
  <c r="O516" i="5"/>
  <c r="O517" i="5"/>
  <c r="O518" i="5"/>
  <c r="O419" i="5"/>
  <c r="O320" i="5"/>
  <c r="O321" i="5"/>
  <c r="O322" i="5"/>
  <c r="O323" i="5"/>
  <c r="O324" i="5"/>
  <c r="O325" i="5"/>
  <c r="O326" i="5"/>
  <c r="O327" i="5"/>
  <c r="O328" i="5"/>
  <c r="O329" i="5"/>
  <c r="O330" i="5"/>
  <c r="O331" i="5"/>
  <c r="O332" i="5"/>
  <c r="O333" i="5"/>
  <c r="O334" i="5"/>
  <c r="O335" i="5"/>
  <c r="O336" i="5"/>
  <c r="O337" i="5"/>
  <c r="O338" i="5"/>
  <c r="O339" i="5"/>
  <c r="O340" i="5"/>
  <c r="O341" i="5"/>
  <c r="O342" i="5"/>
  <c r="O343" i="5"/>
  <c r="O344" i="5"/>
  <c r="O345" i="5"/>
  <c r="O346" i="5"/>
  <c r="O347" i="5"/>
  <c r="O348" i="5"/>
  <c r="O349" i="5"/>
  <c r="O350" i="5"/>
  <c r="O351" i="5"/>
  <c r="O352" i="5"/>
  <c r="O353" i="5"/>
  <c r="O354" i="5"/>
  <c r="O355" i="5"/>
  <c r="O356" i="5"/>
  <c r="O357" i="5"/>
  <c r="O358" i="5"/>
  <c r="O359" i="5"/>
  <c r="O360" i="5"/>
  <c r="O361" i="5"/>
  <c r="O362" i="5"/>
  <c r="O363" i="5"/>
  <c r="O364" i="5"/>
  <c r="O365" i="5"/>
  <c r="O366" i="5"/>
  <c r="O367" i="5"/>
  <c r="O368" i="5"/>
  <c r="O369" i="5"/>
  <c r="O370" i="5"/>
  <c r="O371" i="5"/>
  <c r="O372" i="5"/>
  <c r="O373" i="5"/>
  <c r="O374" i="5"/>
  <c r="O375" i="5"/>
  <c r="O376" i="5"/>
  <c r="O377" i="5"/>
  <c r="O378" i="5"/>
  <c r="O379" i="5"/>
  <c r="O380" i="5"/>
  <c r="O381" i="5"/>
  <c r="O382" i="5"/>
  <c r="O383" i="5"/>
  <c r="O384" i="5"/>
  <c r="O385" i="5"/>
  <c r="O386" i="5"/>
  <c r="O387" i="5"/>
  <c r="O388" i="5"/>
  <c r="O389" i="5"/>
  <c r="O390" i="5"/>
  <c r="O391" i="5"/>
  <c r="O392" i="5"/>
  <c r="O393" i="5"/>
  <c r="O394" i="5"/>
  <c r="O395" i="5"/>
  <c r="O396" i="5"/>
  <c r="O397" i="5"/>
  <c r="O398" i="5"/>
  <c r="O399" i="5"/>
  <c r="O400" i="5"/>
  <c r="O401" i="5"/>
  <c r="O402" i="5"/>
  <c r="O403" i="5"/>
  <c r="O404" i="5"/>
  <c r="O405" i="5"/>
  <c r="O406" i="5"/>
  <c r="O407" i="5"/>
  <c r="O408" i="5"/>
  <c r="O409" i="5"/>
  <c r="O410" i="5"/>
  <c r="O411" i="5"/>
  <c r="O412" i="5"/>
  <c r="O413" i="5"/>
  <c r="O414" i="5"/>
  <c r="O415" i="5"/>
  <c r="O416" i="5"/>
  <c r="O417" i="5"/>
  <c r="O418" i="5"/>
  <c r="O319" i="5"/>
  <c r="O220" i="5"/>
  <c r="O221" i="5"/>
  <c r="O222" i="5"/>
  <c r="O223" i="5"/>
  <c r="O224" i="5"/>
  <c r="O225" i="5"/>
  <c r="O226" i="5"/>
  <c r="O227" i="5"/>
  <c r="O228" i="5"/>
  <c r="O229" i="5"/>
  <c r="O230" i="5"/>
  <c r="O231" i="5"/>
  <c r="O232" i="5"/>
  <c r="O233" i="5"/>
  <c r="O234" i="5"/>
  <c r="O235" i="5"/>
  <c r="O236" i="5"/>
  <c r="O237" i="5"/>
  <c r="O238" i="5"/>
  <c r="O239" i="5"/>
  <c r="O240" i="5"/>
  <c r="O241" i="5"/>
  <c r="O242" i="5"/>
  <c r="O243" i="5"/>
  <c r="O244" i="5"/>
  <c r="O245" i="5"/>
  <c r="O246" i="5"/>
  <c r="O247" i="5"/>
  <c r="O248" i="5"/>
  <c r="O249" i="5"/>
  <c r="O250" i="5"/>
  <c r="O251" i="5"/>
  <c r="O252" i="5"/>
  <c r="O253" i="5"/>
  <c r="O254" i="5"/>
  <c r="O255" i="5"/>
  <c r="O256" i="5"/>
  <c r="O257" i="5"/>
  <c r="O258" i="5"/>
  <c r="O259" i="5"/>
  <c r="O260" i="5"/>
  <c r="O261" i="5"/>
  <c r="O262" i="5"/>
  <c r="O263" i="5"/>
  <c r="O264" i="5"/>
  <c r="O265" i="5"/>
  <c r="O266" i="5"/>
  <c r="O267" i="5"/>
  <c r="O268" i="5"/>
  <c r="O269" i="5"/>
  <c r="O270" i="5"/>
  <c r="O271" i="5"/>
  <c r="O272" i="5"/>
  <c r="O273" i="5"/>
  <c r="O274" i="5"/>
  <c r="O275" i="5"/>
  <c r="O276" i="5"/>
  <c r="O277" i="5"/>
  <c r="O278" i="5"/>
  <c r="O279" i="5"/>
  <c r="O280" i="5"/>
  <c r="O281" i="5"/>
  <c r="O282" i="5"/>
  <c r="O283" i="5"/>
  <c r="O284" i="5"/>
  <c r="O285" i="5"/>
  <c r="O286" i="5"/>
  <c r="O287" i="5"/>
  <c r="O288" i="5"/>
  <c r="O289" i="5"/>
  <c r="O290" i="5"/>
  <c r="O291" i="5"/>
  <c r="O292" i="5"/>
  <c r="O293" i="5"/>
  <c r="O294" i="5"/>
  <c r="O295" i="5"/>
  <c r="O296" i="5"/>
  <c r="O297" i="5"/>
  <c r="O298" i="5"/>
  <c r="O299" i="5"/>
  <c r="O300" i="5"/>
  <c r="O301" i="5"/>
  <c r="O302" i="5"/>
  <c r="O303" i="5"/>
  <c r="O304" i="5"/>
  <c r="O305" i="5"/>
  <c r="O306" i="5"/>
  <c r="O307" i="5"/>
  <c r="O308" i="5"/>
  <c r="O309" i="5"/>
  <c r="O310" i="5"/>
  <c r="O311" i="5"/>
  <c r="O312" i="5"/>
  <c r="O313" i="5"/>
  <c r="O314" i="5"/>
  <c r="O315" i="5"/>
  <c r="O316" i="5"/>
  <c r="O317" i="5"/>
  <c r="O318" i="5"/>
  <c r="O219" i="5"/>
  <c r="O120" i="5"/>
  <c r="O121" i="5"/>
  <c r="O122" i="5"/>
  <c r="O123" i="5"/>
  <c r="O124" i="5"/>
  <c r="O125" i="5"/>
  <c r="O126" i="5"/>
  <c r="O127" i="5"/>
  <c r="O128" i="5"/>
  <c r="O129" i="5"/>
  <c r="O130" i="5"/>
  <c r="O131" i="5"/>
  <c r="O132" i="5"/>
  <c r="O133" i="5"/>
  <c r="O134" i="5"/>
  <c r="O135" i="5"/>
  <c r="O136" i="5"/>
  <c r="O137" i="5"/>
  <c r="O138" i="5"/>
  <c r="O139" i="5"/>
  <c r="O140" i="5"/>
  <c r="O141" i="5"/>
  <c r="O142" i="5"/>
  <c r="O143" i="5"/>
  <c r="O144" i="5"/>
  <c r="O145" i="5"/>
  <c r="O146" i="5"/>
  <c r="O147" i="5"/>
  <c r="O148" i="5"/>
  <c r="O149" i="5"/>
  <c r="O150" i="5"/>
  <c r="O151" i="5"/>
  <c r="O152" i="5"/>
  <c r="O153" i="5"/>
  <c r="O154" i="5"/>
  <c r="O155" i="5"/>
  <c r="O156" i="5"/>
  <c r="O157" i="5"/>
  <c r="O158" i="5"/>
  <c r="O159" i="5"/>
  <c r="O160" i="5"/>
  <c r="O161" i="5"/>
  <c r="O162" i="5"/>
  <c r="O163" i="5"/>
  <c r="O164" i="5"/>
  <c r="O165" i="5"/>
  <c r="O166" i="5"/>
  <c r="O167" i="5"/>
  <c r="O168" i="5"/>
  <c r="O169" i="5"/>
  <c r="O170" i="5"/>
  <c r="O171" i="5"/>
  <c r="O172" i="5"/>
  <c r="O173" i="5"/>
  <c r="O174" i="5"/>
  <c r="O175" i="5"/>
  <c r="O176" i="5"/>
  <c r="O177" i="5"/>
  <c r="O178" i="5"/>
  <c r="O179" i="5"/>
  <c r="O180" i="5"/>
  <c r="O181" i="5"/>
  <c r="O182" i="5"/>
  <c r="O183" i="5"/>
  <c r="O184" i="5"/>
  <c r="O185" i="5"/>
  <c r="O186" i="5"/>
  <c r="O187" i="5"/>
  <c r="O188" i="5"/>
  <c r="O189" i="5"/>
  <c r="O190" i="5"/>
  <c r="O191" i="5"/>
  <c r="O192" i="5"/>
  <c r="O193" i="5"/>
  <c r="O194" i="5"/>
  <c r="O195" i="5"/>
  <c r="O196" i="5"/>
  <c r="O197" i="5"/>
  <c r="O198" i="5"/>
  <c r="O199" i="5"/>
  <c r="O200" i="5"/>
  <c r="O201" i="5"/>
  <c r="O202" i="5"/>
  <c r="O203" i="5"/>
  <c r="O204" i="5"/>
  <c r="O205" i="5"/>
  <c r="O206" i="5"/>
  <c r="O207" i="5"/>
  <c r="O208" i="5"/>
  <c r="O209" i="5"/>
  <c r="O210" i="5"/>
  <c r="O211" i="5"/>
  <c r="O212" i="5"/>
  <c r="O213" i="5"/>
  <c r="O214" i="5"/>
  <c r="O215" i="5"/>
  <c r="O216" i="5"/>
  <c r="O217" i="5"/>
  <c r="O218" i="5"/>
  <c r="O119" i="5"/>
  <c r="O20" i="5"/>
  <c r="O21" i="5"/>
  <c r="O22" i="5"/>
  <c r="O23" i="5"/>
  <c r="O24" i="5"/>
  <c r="O25" i="5"/>
  <c r="O26" i="5"/>
  <c r="O27" i="5"/>
  <c r="O28" i="5"/>
  <c r="O29" i="5"/>
  <c r="O30" i="5"/>
  <c r="O31" i="5"/>
  <c r="O32" i="5"/>
  <c r="O33" i="5"/>
  <c r="O34" i="5"/>
  <c r="O35" i="5"/>
  <c r="O36" i="5"/>
  <c r="O37" i="5"/>
  <c r="O38" i="5"/>
  <c r="O39" i="5"/>
  <c r="O40" i="5"/>
  <c r="O41" i="5"/>
  <c r="O42" i="5"/>
  <c r="O43" i="5"/>
  <c r="O44" i="5"/>
  <c r="O45" i="5"/>
  <c r="O46" i="5"/>
  <c r="O47" i="5"/>
  <c r="O48" i="5"/>
  <c r="O49" i="5"/>
  <c r="O50" i="5"/>
  <c r="O51" i="5"/>
  <c r="O52" i="5"/>
  <c r="O53" i="5"/>
  <c r="O54" i="5"/>
  <c r="O55" i="5"/>
  <c r="O56" i="5"/>
  <c r="O57" i="5"/>
  <c r="O58" i="5"/>
  <c r="O59" i="5"/>
  <c r="O60" i="5"/>
  <c r="O61" i="5"/>
  <c r="O62" i="5"/>
  <c r="O63" i="5"/>
  <c r="O64" i="5"/>
  <c r="O65" i="5"/>
  <c r="O66" i="5"/>
  <c r="O67" i="5"/>
  <c r="O68" i="5"/>
  <c r="O69" i="5"/>
  <c r="O70" i="5"/>
  <c r="O71" i="5"/>
  <c r="O72" i="5"/>
  <c r="O73" i="5"/>
  <c r="O74" i="5"/>
  <c r="O75" i="5"/>
  <c r="O76" i="5"/>
  <c r="O77" i="5"/>
  <c r="O78" i="5"/>
  <c r="O79" i="5"/>
  <c r="O80" i="5"/>
  <c r="O81" i="5"/>
  <c r="O82" i="5"/>
  <c r="O83" i="5"/>
  <c r="O84" i="5"/>
  <c r="O85" i="5"/>
  <c r="O86" i="5"/>
  <c r="O87" i="5"/>
  <c r="O88" i="5"/>
  <c r="O89" i="5"/>
  <c r="O90" i="5"/>
  <c r="O91" i="5"/>
  <c r="O92" i="5"/>
  <c r="O93" i="5"/>
  <c r="O94" i="5"/>
  <c r="O95" i="5"/>
  <c r="O96" i="5"/>
  <c r="O97" i="5"/>
  <c r="O98" i="5"/>
  <c r="O99" i="5"/>
  <c r="O100" i="5"/>
  <c r="O101" i="5"/>
  <c r="O102" i="5"/>
  <c r="O103" i="5"/>
  <c r="O104" i="5"/>
  <c r="O105" i="5"/>
  <c r="O106" i="5"/>
  <c r="O107" i="5"/>
  <c r="O108" i="5"/>
  <c r="O109" i="5"/>
  <c r="O110" i="5"/>
  <c r="O111" i="5"/>
  <c r="O112" i="5"/>
  <c r="O113" i="5"/>
  <c r="O114" i="5"/>
  <c r="O115" i="5"/>
  <c r="O116" i="5"/>
  <c r="O117" i="5"/>
  <c r="O118" i="5"/>
  <c r="O19" i="5"/>
  <c r="B30" i="5"/>
  <c r="B145" i="2"/>
  <c r="B56" i="5" s="1"/>
  <c r="B147" i="2"/>
  <c r="B57" i="5" s="1"/>
  <c r="B225" i="2"/>
  <c r="B227" i="2"/>
  <c r="B60" i="5" s="1"/>
  <c r="B223" i="2"/>
  <c r="B27" i="5"/>
  <c r="B111" i="2"/>
  <c r="B110" i="2"/>
  <c r="B96" i="2"/>
  <c r="B90" i="2"/>
  <c r="B25" i="5" s="1"/>
  <c r="B26" i="3"/>
  <c r="B28" i="5" s="1"/>
  <c r="B26" i="5"/>
  <c r="B48" i="2"/>
  <c r="B22" i="3"/>
  <c r="B30" i="2"/>
  <c r="B14" i="3"/>
  <c r="B10" i="3"/>
  <c r="B9" i="2"/>
  <c r="B12" i="5" s="1"/>
  <c r="B106" i="2"/>
  <c r="M8" i="4"/>
  <c r="B170" i="2"/>
  <c r="B45" i="5" l="1"/>
  <c r="T56" i="5" s="1"/>
  <c r="U56" i="5" s="1"/>
  <c r="B11" i="2"/>
  <c r="H14" i="1" s="1"/>
  <c r="T9" i="4"/>
  <c r="AT9" i="4" s="1"/>
  <c r="T12" i="4"/>
  <c r="AT12" i="4" s="1"/>
  <c r="O9" i="4"/>
  <c r="B16" i="5"/>
  <c r="P15" i="5" s="1"/>
  <c r="T56" i="4"/>
  <c r="AT56" i="4" s="1"/>
  <c r="B4" i="8"/>
  <c r="B11" i="5"/>
  <c r="O7" i="5"/>
  <c r="B205" i="2"/>
  <c r="H54" i="1"/>
  <c r="B135" i="2" s="1"/>
  <c r="J49" i="5"/>
  <c r="T70" i="4"/>
  <c r="AT70" i="4" s="1"/>
  <c r="T62" i="4"/>
  <c r="AT62" i="4" s="1"/>
  <c r="T59" i="4"/>
  <c r="AT59" i="4" s="1"/>
  <c r="R110" i="4"/>
  <c r="R111" i="4"/>
  <c r="R130" i="4"/>
  <c r="R118" i="4"/>
  <c r="R112" i="4"/>
  <c r="R88" i="4"/>
  <c r="R109" i="4"/>
  <c r="R91" i="4"/>
  <c r="R90" i="4"/>
  <c r="R98" i="4"/>
  <c r="R89" i="4"/>
  <c r="R82" i="4"/>
  <c r="R80" i="4"/>
  <c r="R92" i="4"/>
  <c r="R10" i="4"/>
  <c r="R139" i="4"/>
  <c r="R138" i="4"/>
  <c r="R140" i="4"/>
  <c r="R137" i="4"/>
  <c r="R78" i="4"/>
  <c r="R136" i="4"/>
  <c r="R134" i="4"/>
  <c r="R79" i="4"/>
  <c r="R117" i="4"/>
  <c r="R116" i="4"/>
  <c r="R63" i="4"/>
  <c r="R115" i="4"/>
  <c r="R114" i="4"/>
  <c r="R76" i="4"/>
  <c r="R113" i="4"/>
  <c r="R102" i="4"/>
  <c r="R75" i="4"/>
  <c r="R133" i="4"/>
  <c r="R101" i="4"/>
  <c r="R74" i="4"/>
  <c r="R7" i="4"/>
  <c r="R132" i="4"/>
  <c r="R100" i="4"/>
  <c r="R157" i="4"/>
  <c r="R131" i="4"/>
  <c r="R99" i="4"/>
  <c r="R64" i="4"/>
  <c r="B19" i="2"/>
  <c r="B139" i="2" s="1"/>
  <c r="R155" i="4"/>
  <c r="R129" i="4"/>
  <c r="R97" i="4"/>
  <c r="R154" i="4"/>
  <c r="R122" i="4"/>
  <c r="R96" i="4"/>
  <c r="R62" i="4"/>
  <c r="R153" i="4"/>
  <c r="R121" i="4"/>
  <c r="R95" i="4"/>
  <c r="R59" i="4"/>
  <c r="R152" i="4"/>
  <c r="R120" i="4"/>
  <c r="R94" i="4"/>
  <c r="R151" i="4"/>
  <c r="R119" i="4"/>
  <c r="R93" i="4"/>
  <c r="B207" i="2"/>
  <c r="B210" i="2" s="1"/>
  <c r="B48" i="5"/>
  <c r="R147" i="4"/>
  <c r="R127" i="4"/>
  <c r="R107" i="4"/>
  <c r="R87" i="4"/>
  <c r="R148" i="4"/>
  <c r="R128" i="4"/>
  <c r="R108" i="4"/>
  <c r="R58" i="4"/>
  <c r="R146" i="4"/>
  <c r="R126" i="4"/>
  <c r="R106" i="4"/>
  <c r="R86" i="4"/>
  <c r="R145" i="4"/>
  <c r="R125" i="4"/>
  <c r="R105" i="4"/>
  <c r="R85" i="4"/>
  <c r="R54" i="4"/>
  <c r="R55" i="4"/>
  <c r="R144" i="4"/>
  <c r="R124" i="4"/>
  <c r="R104" i="4"/>
  <c r="R84" i="4"/>
  <c r="R51" i="4"/>
  <c r="B19" i="5"/>
  <c r="R143" i="4"/>
  <c r="R123" i="4"/>
  <c r="R103" i="4"/>
  <c r="R83" i="4"/>
  <c r="R50" i="4"/>
  <c r="B129" i="2"/>
  <c r="B131" i="2" s="1"/>
  <c r="O8" i="5"/>
  <c r="B127" i="2"/>
  <c r="H48" i="1" s="1"/>
  <c r="B13" i="5"/>
  <c r="B51" i="5"/>
  <c r="B176" i="2"/>
  <c r="B173" i="2"/>
  <c r="AT8" i="4"/>
  <c r="T139" i="4"/>
  <c r="AT139" i="4" s="1"/>
  <c r="T122" i="4"/>
  <c r="AT122" i="4" s="1"/>
  <c r="T138" i="4"/>
  <c r="AT138" i="4" s="1"/>
  <c r="T123" i="4"/>
  <c r="AT123" i="4" s="1"/>
  <c r="T154" i="4"/>
  <c r="AT154" i="4" s="1"/>
  <c r="T151" i="4"/>
  <c r="AT151" i="4" s="1"/>
  <c r="T146" i="4"/>
  <c r="AT146" i="4" s="1"/>
  <c r="T143" i="4"/>
  <c r="AT143" i="4" s="1"/>
  <c r="T134" i="4"/>
  <c r="AT134" i="4" s="1"/>
  <c r="T127" i="4"/>
  <c r="AT127" i="4" s="1"/>
  <c r="T118" i="4"/>
  <c r="AT118" i="4" s="1"/>
  <c r="T100" i="4"/>
  <c r="AT100" i="4" s="1"/>
  <c r="T93" i="4"/>
  <c r="AT93" i="4" s="1"/>
  <c r="T46" i="4"/>
  <c r="AT46" i="4" s="1"/>
  <c r="T40" i="4"/>
  <c r="AT40" i="4" s="1"/>
  <c r="T22" i="4"/>
  <c r="AT22" i="4" s="1"/>
  <c r="T155" i="4"/>
  <c r="AT155" i="4" s="1"/>
  <c r="T150" i="4"/>
  <c r="AT150" i="4" s="1"/>
  <c r="T147" i="4"/>
  <c r="AT147" i="4" s="1"/>
  <c r="T109" i="4"/>
  <c r="AT109" i="4" s="1"/>
  <c r="T84" i="4"/>
  <c r="AT84" i="4" s="1"/>
  <c r="T80" i="4"/>
  <c r="AT80" i="4" s="1"/>
  <c r="T76" i="4"/>
  <c r="AT76" i="4" s="1"/>
  <c r="T43" i="4"/>
  <c r="AT43" i="4" s="1"/>
  <c r="T37" i="4"/>
  <c r="AT37" i="4" s="1"/>
  <c r="T19" i="4"/>
  <c r="AT19" i="4" s="1"/>
  <c r="T7" i="4"/>
  <c r="AT7" i="4" s="1"/>
  <c r="T132" i="4"/>
  <c r="AT132" i="4" s="1"/>
  <c r="T129" i="4"/>
  <c r="AT129" i="4" s="1"/>
  <c r="T116" i="4"/>
  <c r="AT116" i="4" s="1"/>
  <c r="T113" i="4"/>
  <c r="AT113" i="4" s="1"/>
  <c r="T107" i="4"/>
  <c r="AT107" i="4" s="1"/>
  <c r="T91" i="4"/>
  <c r="AT91" i="4" s="1"/>
  <c r="T74" i="4"/>
  <c r="AT74" i="4" s="1"/>
  <c r="T64" i="4"/>
  <c r="AT64" i="4" s="1"/>
  <c r="T51" i="4"/>
  <c r="AT51" i="4" s="1"/>
  <c r="T33" i="4"/>
  <c r="AT33" i="4" s="1"/>
  <c r="T141" i="4"/>
  <c r="AT141" i="4" s="1"/>
  <c r="T136" i="4"/>
  <c r="AT136" i="4" s="1"/>
  <c r="T125" i="4"/>
  <c r="AT125" i="4" s="1"/>
  <c r="T120" i="4"/>
  <c r="AT120" i="4" s="1"/>
  <c r="T102" i="4"/>
  <c r="AT102" i="4" s="1"/>
  <c r="T86" i="4"/>
  <c r="AT86" i="4" s="1"/>
  <c r="T67" i="4"/>
  <c r="AT67" i="4" s="1"/>
  <c r="T54" i="4"/>
  <c r="AT54" i="4" s="1"/>
  <c r="T48" i="4"/>
  <c r="AT48" i="4" s="1"/>
  <c r="T26" i="4"/>
  <c r="AT26" i="4" s="1"/>
  <c r="T15" i="4"/>
  <c r="AT15" i="4" s="1"/>
  <c r="B64" i="5"/>
  <c r="AT56" i="5" s="1"/>
  <c r="B10" i="5"/>
  <c r="AT66" i="5"/>
  <c r="B165" i="2"/>
  <c r="B119" i="2"/>
  <c r="H43" i="1" s="1"/>
  <c r="B63" i="5"/>
  <c r="AZ20" i="5" s="1"/>
  <c r="B58" i="5"/>
  <c r="B65" i="5"/>
  <c r="AW7" i="5" s="1"/>
  <c r="T156" i="4"/>
  <c r="AT156" i="4" s="1"/>
  <c r="T152" i="4"/>
  <c r="AT152" i="4" s="1"/>
  <c r="T148" i="4"/>
  <c r="AT148" i="4" s="1"/>
  <c r="T144" i="4"/>
  <c r="AT144" i="4" s="1"/>
  <c r="T137" i="4"/>
  <c r="AT137" i="4" s="1"/>
  <c r="T135" i="4"/>
  <c r="AT135" i="4" s="1"/>
  <c r="T130" i="4"/>
  <c r="AT130" i="4" s="1"/>
  <c r="T128" i="4"/>
  <c r="AT128" i="4" s="1"/>
  <c r="T121" i="4"/>
  <c r="AT121" i="4" s="1"/>
  <c r="T119" i="4"/>
  <c r="AT119" i="4" s="1"/>
  <c r="T114" i="4"/>
  <c r="AT114" i="4" s="1"/>
  <c r="T112" i="4"/>
  <c r="AT112" i="4" s="1"/>
  <c r="T105" i="4"/>
  <c r="AT105" i="4" s="1"/>
  <c r="T103" i="4"/>
  <c r="AT103" i="4" s="1"/>
  <c r="T98" i="4"/>
  <c r="AT98" i="4" s="1"/>
  <c r="T96" i="4"/>
  <c r="AT96" i="4" s="1"/>
  <c r="T89" i="4"/>
  <c r="AT89" i="4" s="1"/>
  <c r="T87" i="4"/>
  <c r="AT87" i="4" s="1"/>
  <c r="T82" i="4"/>
  <c r="AT82" i="4" s="1"/>
  <c r="T78" i="4"/>
  <c r="AT78" i="4" s="1"/>
  <c r="T73" i="4"/>
  <c r="AT73" i="4" s="1"/>
  <c r="T66" i="4"/>
  <c r="AT66" i="4" s="1"/>
  <c r="T61" i="4"/>
  <c r="AT61" i="4" s="1"/>
  <c r="T53" i="4"/>
  <c r="AT53" i="4" s="1"/>
  <c r="T45" i="4"/>
  <c r="AT45" i="4" s="1"/>
  <c r="T39" i="4"/>
  <c r="AT39" i="4" s="1"/>
  <c r="T36" i="4"/>
  <c r="AT36" i="4" s="1"/>
  <c r="T32" i="4"/>
  <c r="AT32" i="4" s="1"/>
  <c r="T29" i="4"/>
  <c r="AT29" i="4" s="1"/>
  <c r="T25" i="4"/>
  <c r="AT25" i="4" s="1"/>
  <c r="T18" i="4"/>
  <c r="AT18" i="4" s="1"/>
  <c r="T14" i="4"/>
  <c r="AT14" i="4" s="1"/>
  <c r="T11" i="4"/>
  <c r="AT11" i="4" s="1"/>
  <c r="T157" i="4"/>
  <c r="AT157" i="4" s="1"/>
  <c r="T153" i="4"/>
  <c r="AT153" i="4" s="1"/>
  <c r="T149" i="4"/>
  <c r="AT149" i="4" s="1"/>
  <c r="T145" i="4"/>
  <c r="AT145" i="4" s="1"/>
  <c r="T142" i="4"/>
  <c r="AT142" i="4" s="1"/>
  <c r="T140" i="4"/>
  <c r="AT140" i="4" s="1"/>
  <c r="T133" i="4"/>
  <c r="AT133" i="4" s="1"/>
  <c r="T131" i="4"/>
  <c r="AT131" i="4" s="1"/>
  <c r="T126" i="4"/>
  <c r="AT126" i="4" s="1"/>
  <c r="T124" i="4"/>
  <c r="AT124" i="4" s="1"/>
  <c r="T117" i="4"/>
  <c r="AT117" i="4" s="1"/>
  <c r="T115" i="4"/>
  <c r="AT115" i="4" s="1"/>
  <c r="T110" i="4"/>
  <c r="AT110" i="4" s="1"/>
  <c r="T108" i="4"/>
  <c r="AT108" i="4" s="1"/>
  <c r="T101" i="4"/>
  <c r="AT101" i="4" s="1"/>
  <c r="T99" i="4"/>
  <c r="AT99" i="4" s="1"/>
  <c r="T94" i="4"/>
  <c r="AT94" i="4" s="1"/>
  <c r="T92" i="4"/>
  <c r="AT92" i="4" s="1"/>
  <c r="T85" i="4"/>
  <c r="AT85" i="4" s="1"/>
  <c r="T83" i="4"/>
  <c r="AT83" i="4" s="1"/>
  <c r="T81" i="4"/>
  <c r="AT81" i="4" s="1"/>
  <c r="T77" i="4"/>
  <c r="AT77" i="4" s="1"/>
  <c r="T75" i="4"/>
  <c r="AT75" i="4" s="1"/>
  <c r="T72" i="4"/>
  <c r="AT72" i="4" s="1"/>
  <c r="T69" i="4"/>
  <c r="AT69" i="4" s="1"/>
  <c r="T65" i="4"/>
  <c r="AT65" i="4" s="1"/>
  <c r="T63" i="4"/>
  <c r="AT63" i="4" s="1"/>
  <c r="T60" i="4"/>
  <c r="AT60" i="4" s="1"/>
  <c r="T58" i="4"/>
  <c r="AT58" i="4" s="1"/>
  <c r="T55" i="4"/>
  <c r="AT55" i="4" s="1"/>
  <c r="T52" i="4"/>
  <c r="AT52" i="4" s="1"/>
  <c r="T50" i="4"/>
  <c r="AT50" i="4" s="1"/>
  <c r="T47" i="4"/>
  <c r="AT47" i="4" s="1"/>
  <c r="T44" i="4"/>
  <c r="AT44" i="4" s="1"/>
  <c r="T42" i="4"/>
  <c r="AT42" i="4" s="1"/>
  <c r="T38" i="4"/>
  <c r="AT38" i="4" s="1"/>
  <c r="T35" i="4"/>
  <c r="AT35" i="4" s="1"/>
  <c r="T31" i="4"/>
  <c r="AT31" i="4" s="1"/>
  <c r="T28" i="4"/>
  <c r="AT28" i="4" s="1"/>
  <c r="T24" i="4"/>
  <c r="AT24" i="4" s="1"/>
  <c r="T21" i="4"/>
  <c r="AT21" i="4" s="1"/>
  <c r="T17" i="4"/>
  <c r="AT17" i="4" s="1"/>
  <c r="T111" i="4"/>
  <c r="AT111" i="4" s="1"/>
  <c r="T106" i="4"/>
  <c r="AT106" i="4" s="1"/>
  <c r="T104" i="4"/>
  <c r="AT104" i="4" s="1"/>
  <c r="T97" i="4"/>
  <c r="AT97" i="4" s="1"/>
  <c r="T95" i="4"/>
  <c r="AT95" i="4" s="1"/>
  <c r="T90" i="4"/>
  <c r="AT90" i="4" s="1"/>
  <c r="T88" i="4"/>
  <c r="AT88" i="4" s="1"/>
  <c r="T79" i="4"/>
  <c r="AT79" i="4" s="1"/>
  <c r="T71" i="4"/>
  <c r="AT71" i="4" s="1"/>
  <c r="T68" i="4"/>
  <c r="AT68" i="4" s="1"/>
  <c r="T57" i="4"/>
  <c r="AT57" i="4" s="1"/>
  <c r="T49" i="4"/>
  <c r="AT49" i="4" s="1"/>
  <c r="T41" i="4"/>
  <c r="AT41" i="4" s="1"/>
  <c r="T34" i="4"/>
  <c r="AT34" i="4" s="1"/>
  <c r="T30" i="4"/>
  <c r="AT30" i="4" s="1"/>
  <c r="T27" i="4"/>
  <c r="AT27" i="4" s="1"/>
  <c r="T23" i="4"/>
  <c r="AT23" i="4" s="1"/>
  <c r="T20" i="4"/>
  <c r="AT20" i="4" s="1"/>
  <c r="T16" i="4"/>
  <c r="AT16" i="4" s="1"/>
  <c r="T13" i="4"/>
  <c r="AT13" i="4" s="1"/>
  <c r="T10" i="4"/>
  <c r="AT10" i="4" s="1"/>
  <c r="R72" i="4"/>
  <c r="R70" i="4"/>
  <c r="R68" i="4"/>
  <c r="R66" i="4"/>
  <c r="R23" i="4"/>
  <c r="R71" i="4"/>
  <c r="R67" i="4"/>
  <c r="R31" i="4"/>
  <c r="R8" i="4"/>
  <c r="B32" i="2"/>
  <c r="B33" i="2" s="1"/>
  <c r="R38" i="4"/>
  <c r="R33" i="4"/>
  <c r="R25" i="4"/>
  <c r="R17" i="4"/>
  <c r="R12" i="4"/>
  <c r="R40" i="4"/>
  <c r="R35" i="4"/>
  <c r="R27" i="4"/>
  <c r="R19" i="4"/>
  <c r="K8" i="2"/>
  <c r="B166" i="2"/>
  <c r="B199" i="2"/>
  <c r="B200" i="2" s="1"/>
  <c r="T8" i="5"/>
  <c r="T38" i="5"/>
  <c r="T24" i="5"/>
  <c r="U24" i="5" s="1"/>
  <c r="T32" i="5"/>
  <c r="V32" i="5" s="1"/>
  <c r="T22" i="5"/>
  <c r="U22" i="5" s="1"/>
  <c r="T43" i="5"/>
  <c r="T41" i="5"/>
  <c r="T64" i="5"/>
  <c r="T30" i="5"/>
  <c r="T67" i="5"/>
  <c r="T63" i="5"/>
  <c r="V63" i="5" s="1"/>
  <c r="T57" i="5"/>
  <c r="T105" i="5"/>
  <c r="T83" i="5"/>
  <c r="T37" i="5"/>
  <c r="V37" i="5" s="1"/>
  <c r="T121" i="5"/>
  <c r="T136" i="5"/>
  <c r="U136" i="5" s="1"/>
  <c r="T155" i="5"/>
  <c r="T106" i="5"/>
  <c r="T117" i="5"/>
  <c r="T131" i="5"/>
  <c r="T151" i="5"/>
  <c r="T114" i="5"/>
  <c r="T146" i="5"/>
  <c r="U146" i="5" s="1"/>
  <c r="T134" i="5"/>
  <c r="V134" i="5" s="1"/>
  <c r="T181" i="5"/>
  <c r="V181" i="5" s="1"/>
  <c r="T161" i="5"/>
  <c r="T183" i="5"/>
  <c r="V183" i="5" s="1"/>
  <c r="T201" i="5"/>
  <c r="U201" i="5" s="1"/>
  <c r="T188" i="5"/>
  <c r="T203" i="5"/>
  <c r="U203" i="5" s="1"/>
  <c r="T211" i="5"/>
  <c r="T223" i="5"/>
  <c r="T239" i="5"/>
  <c r="T150" i="5"/>
  <c r="T199" i="5"/>
  <c r="V199" i="5" s="1"/>
  <c r="T222" i="5"/>
  <c r="U222" i="5" s="1"/>
  <c r="T174" i="5"/>
  <c r="T207" i="5"/>
  <c r="T235" i="5"/>
  <c r="U235" i="5" s="1"/>
  <c r="T273" i="5"/>
  <c r="T279" i="5"/>
  <c r="U279" i="5" s="1"/>
  <c r="T318" i="5"/>
  <c r="V318" i="5" s="1"/>
  <c r="T334" i="5"/>
  <c r="T250" i="5"/>
  <c r="T276" i="5"/>
  <c r="T44" i="5"/>
  <c r="T26" i="5"/>
  <c r="T39" i="5"/>
  <c r="T34" i="5"/>
  <c r="T47" i="5"/>
  <c r="T70" i="5"/>
  <c r="T33" i="5"/>
  <c r="T35" i="5"/>
  <c r="T92" i="5"/>
  <c r="T94" i="5"/>
  <c r="T107" i="5"/>
  <c r="T85" i="5"/>
  <c r="T101" i="5"/>
  <c r="T87" i="5"/>
  <c r="T126" i="5"/>
  <c r="T139" i="5"/>
  <c r="T84" i="5"/>
  <c r="T109" i="5"/>
  <c r="T123" i="5"/>
  <c r="T156" i="5"/>
  <c r="T115" i="5"/>
  <c r="T152" i="5"/>
  <c r="T133" i="5"/>
  <c r="T170" i="5"/>
  <c r="T172" i="5"/>
  <c r="T185" i="5"/>
  <c r="T194" i="5"/>
  <c r="T204" i="5"/>
  <c r="T196" i="5"/>
  <c r="T205" i="5"/>
  <c r="T215" i="5"/>
  <c r="T224" i="5"/>
  <c r="T245" i="5"/>
  <c r="T212" i="5"/>
  <c r="T229" i="5"/>
  <c r="T180" i="5"/>
  <c r="T241" i="5"/>
  <c r="T254" i="5"/>
  <c r="T274" i="5"/>
  <c r="T282" i="5"/>
  <c r="T306" i="5"/>
  <c r="T322" i="5"/>
  <c r="T135" i="5"/>
  <c r="T251" i="5"/>
  <c r="T284" i="5"/>
  <c r="T299" i="5"/>
  <c r="T316" i="5"/>
  <c r="T246" i="5"/>
  <c r="T261" i="5"/>
  <c r="T293" i="5"/>
  <c r="T356" i="5"/>
  <c r="T283" i="5"/>
  <c r="T345" i="5"/>
  <c r="T364" i="5"/>
  <c r="T381" i="5"/>
  <c r="T400" i="5"/>
  <c r="T415" i="5"/>
  <c r="T429" i="5"/>
  <c r="T214" i="5"/>
  <c r="T341" i="5"/>
  <c r="T375" i="5"/>
  <c r="T407" i="5"/>
  <c r="T195" i="5"/>
  <c r="T348" i="5"/>
  <c r="T411" i="5"/>
  <c r="T324" i="5"/>
  <c r="T443" i="5"/>
  <c r="T458" i="5"/>
  <c r="T478" i="5"/>
  <c r="T499" i="5"/>
  <c r="T513" i="5"/>
  <c r="T532" i="5"/>
  <c r="T347" i="5"/>
  <c r="T438" i="5"/>
  <c r="T456" i="5"/>
  <c r="T480" i="5"/>
  <c r="T498" i="5"/>
  <c r="T29" i="5"/>
  <c r="T51" i="5"/>
  <c r="T58" i="5"/>
  <c r="T81" i="5"/>
  <c r="T102" i="5"/>
  <c r="T90" i="5"/>
  <c r="T113" i="5"/>
  <c r="T147" i="5"/>
  <c r="T116" i="5"/>
  <c r="T148" i="5"/>
  <c r="T122" i="5"/>
  <c r="T128" i="5"/>
  <c r="T163" i="5"/>
  <c r="T158" i="5"/>
  <c r="T164" i="5"/>
  <c r="T238" i="5"/>
  <c r="T192" i="5"/>
  <c r="T249" i="5"/>
  <c r="T270" i="5"/>
  <c r="T295" i="5"/>
  <c r="T332" i="5"/>
  <c r="T266" i="5"/>
  <c r="T302" i="5"/>
  <c r="T325" i="5"/>
  <c r="T231" i="5"/>
  <c r="U231" i="5" s="1"/>
  <c r="T264" i="5"/>
  <c r="T300" i="5"/>
  <c r="V300" i="5" s="1"/>
  <c r="T321" i="5"/>
  <c r="T280" i="5"/>
  <c r="T403" i="5"/>
  <c r="T421" i="5"/>
  <c r="T369" i="5"/>
  <c r="T380" i="5"/>
  <c r="T396" i="5"/>
  <c r="V396" i="5" s="1"/>
  <c r="T228" i="5"/>
  <c r="T336" i="5"/>
  <c r="T361" i="5"/>
  <c r="T383" i="5"/>
  <c r="T404" i="5"/>
  <c r="T287" i="5"/>
  <c r="V287" i="5" s="1"/>
  <c r="T448" i="5"/>
  <c r="T472" i="5"/>
  <c r="T516" i="5"/>
  <c r="T475" i="5"/>
  <c r="U475" i="5" s="1"/>
  <c r="T500" i="5"/>
  <c r="T522" i="5"/>
  <c r="T368" i="5"/>
  <c r="T398" i="5"/>
  <c r="T422" i="5"/>
  <c r="T439" i="5"/>
  <c r="T457" i="5"/>
  <c r="T470" i="5"/>
  <c r="T486" i="5"/>
  <c r="T493" i="5"/>
  <c r="T557" i="5"/>
  <c r="T344" i="5"/>
  <c r="T536" i="5"/>
  <c r="T490" i="5"/>
  <c r="T524" i="5"/>
  <c r="T552" i="5"/>
  <c r="T440" i="5"/>
  <c r="T535" i="5"/>
  <c r="T559" i="5"/>
  <c r="T469" i="5"/>
  <c r="T502" i="5"/>
  <c r="T19" i="5"/>
  <c r="T46" i="5"/>
  <c r="T42" i="5"/>
  <c r="T48" i="5"/>
  <c r="T62" i="5"/>
  <c r="T68" i="5"/>
  <c r="T96" i="5"/>
  <c r="T99" i="5"/>
  <c r="T124" i="5"/>
  <c r="T75" i="5"/>
  <c r="T143" i="5"/>
  <c r="T165" i="5"/>
  <c r="T86" i="5"/>
  <c r="T182" i="5"/>
  <c r="T175" i="5"/>
  <c r="T197" i="5"/>
  <c r="T200" i="5"/>
  <c r="T218" i="5"/>
  <c r="T120" i="5"/>
  <c r="T157" i="5"/>
  <c r="T213" i="5"/>
  <c r="T255" i="5"/>
  <c r="T288" i="5"/>
  <c r="T311" i="5"/>
  <c r="T328" i="5"/>
  <c r="T253" i="5"/>
  <c r="T268" i="5"/>
  <c r="T290" i="5"/>
  <c r="U290" i="5" s="1"/>
  <c r="T305" i="5"/>
  <c r="T326" i="5"/>
  <c r="T354" i="5"/>
  <c r="T286" i="5"/>
  <c r="T337" i="5"/>
  <c r="T362" i="5"/>
  <c r="V362" i="5" s="1"/>
  <c r="T405" i="5"/>
  <c r="T424" i="5"/>
  <c r="T371" i="5"/>
  <c r="T340" i="5"/>
  <c r="T21" i="5"/>
  <c r="T45" i="5"/>
  <c r="T49" i="5"/>
  <c r="T23" i="5"/>
  <c r="T65" i="5"/>
  <c r="T71" i="5"/>
  <c r="T78" i="5"/>
  <c r="T97" i="5"/>
  <c r="T72" i="5"/>
  <c r="T110" i="5"/>
  <c r="T132" i="5"/>
  <c r="T129" i="5"/>
  <c r="T104" i="5"/>
  <c r="T167" i="5"/>
  <c r="T198" i="5"/>
  <c r="T202" i="5"/>
  <c r="T220" i="5"/>
  <c r="T144" i="5"/>
  <c r="T217" i="5"/>
  <c r="T168" i="5"/>
  <c r="T219" i="5"/>
  <c r="T153" i="5"/>
  <c r="T257" i="5"/>
  <c r="T278" i="5"/>
  <c r="T314" i="5"/>
  <c r="T244" i="5"/>
  <c r="T313" i="5"/>
  <c r="V313" i="5" s="1"/>
  <c r="T160" i="5"/>
  <c r="T269" i="5"/>
  <c r="T262" i="5"/>
  <c r="T309" i="5"/>
  <c r="T342" i="5"/>
  <c r="U342" i="5" s="1"/>
  <c r="T366" i="5"/>
  <c r="T390" i="5"/>
  <c r="T410" i="5"/>
  <c r="T433" i="5"/>
  <c r="T297" i="5"/>
  <c r="T372" i="5"/>
  <c r="U372" i="5" s="1"/>
  <c r="T389" i="5"/>
  <c r="T418" i="5"/>
  <c r="T275" i="5"/>
  <c r="U275" i="5" s="1"/>
  <c r="T373" i="5"/>
  <c r="T392" i="5"/>
  <c r="T53" i="5"/>
  <c r="T186" i="5"/>
  <c r="T166" i="5"/>
  <c r="T248" i="5"/>
  <c r="T258" i="5"/>
  <c r="T259" i="5"/>
  <c r="T343" i="5"/>
  <c r="T367" i="5"/>
  <c r="T317" i="5"/>
  <c r="T319" i="5"/>
  <c r="T388" i="5"/>
  <c r="T357" i="5"/>
  <c r="T441" i="5"/>
  <c r="T507" i="5"/>
  <c r="T533" i="5"/>
  <c r="T464" i="5"/>
  <c r="U464" i="5" s="1"/>
  <c r="T377" i="5"/>
  <c r="T416" i="5"/>
  <c r="T446" i="5"/>
  <c r="T463" i="5"/>
  <c r="T482" i="5"/>
  <c r="T495" i="5"/>
  <c r="U495" i="5" s="1"/>
  <c r="T538" i="5"/>
  <c r="T338" i="5"/>
  <c r="T484" i="5"/>
  <c r="U484" i="5" s="1"/>
  <c r="T540" i="5"/>
  <c r="T550" i="5"/>
  <c r="T412" i="5"/>
  <c r="U412" i="5" s="1"/>
  <c r="T551" i="5"/>
  <c r="T449" i="5"/>
  <c r="T445" i="5"/>
  <c r="T95" i="5"/>
  <c r="T112" i="5"/>
  <c r="T177" i="5"/>
  <c r="T206" i="5"/>
  <c r="T232" i="5"/>
  <c r="T265" i="5"/>
  <c r="T292" i="5"/>
  <c r="T281" i="5"/>
  <c r="T267" i="5"/>
  <c r="T393" i="5"/>
  <c r="T376" i="5"/>
  <c r="T355" i="5"/>
  <c r="T370" i="5"/>
  <c r="T447" i="5"/>
  <c r="T508" i="5"/>
  <c r="U508" i="5" s="1"/>
  <c r="T496" i="5"/>
  <c r="T517" i="5"/>
  <c r="T358" i="5"/>
  <c r="T395" i="5"/>
  <c r="T425" i="5"/>
  <c r="T452" i="5"/>
  <c r="T467" i="5"/>
  <c r="T487" i="5"/>
  <c r="T506" i="5"/>
  <c r="T556" i="5"/>
  <c r="T346" i="5"/>
  <c r="T529" i="5"/>
  <c r="T541" i="5"/>
  <c r="T426" i="5"/>
  <c r="T553" i="5"/>
  <c r="V553" i="5" s="1"/>
  <c r="T520" i="5"/>
  <c r="T27" i="5"/>
  <c r="T55" i="5"/>
  <c r="T88" i="5"/>
  <c r="T142" i="5"/>
  <c r="T140" i="5"/>
  <c r="T208" i="5"/>
  <c r="T191" i="5"/>
  <c r="T289" i="5"/>
  <c r="T323" i="5"/>
  <c r="T298" i="5"/>
  <c r="T312" i="5"/>
  <c r="U312" i="5" s="1"/>
  <c r="T391" i="5"/>
  <c r="T365" i="5"/>
  <c r="T384" i="5"/>
  <c r="U384" i="5" s="1"/>
  <c r="T351" i="5"/>
  <c r="T454" i="5"/>
  <c r="U454" i="5" s="1"/>
  <c r="T474" i="5"/>
  <c r="T501" i="5"/>
  <c r="T519" i="5"/>
  <c r="T360" i="5"/>
  <c r="T401" i="5"/>
  <c r="T434" i="5"/>
  <c r="T455" i="5"/>
  <c r="T473" i="5"/>
  <c r="U473" i="5" s="1"/>
  <c r="T489" i="5"/>
  <c r="T510" i="5"/>
  <c r="T352" i="5"/>
  <c r="T534" i="5"/>
  <c r="T544" i="5"/>
  <c r="T530" i="5"/>
  <c r="T397" i="5"/>
  <c r="T479" i="5"/>
  <c r="T523" i="5"/>
  <c r="T119" i="5"/>
  <c r="T327" i="5"/>
  <c r="T436" i="5"/>
  <c r="T432" i="5"/>
  <c r="T427" i="5"/>
  <c r="T521" i="5"/>
  <c r="T461" i="5"/>
  <c r="U461" i="5" s="1"/>
  <c r="T304" i="5"/>
  <c r="T547" i="5"/>
  <c r="T36" i="5"/>
  <c r="T226" i="5"/>
  <c r="T374" i="5"/>
  <c r="V374" i="5" s="1"/>
  <c r="T477" i="5"/>
  <c r="T444" i="5"/>
  <c r="T497" i="5"/>
  <c r="T423" i="5"/>
  <c r="T74" i="5"/>
  <c r="T227" i="5"/>
  <c r="T310" i="5"/>
  <c r="T379" i="5"/>
  <c r="T494" i="5"/>
  <c r="T483" i="5"/>
  <c r="T413" i="5"/>
  <c r="T539" i="5"/>
  <c r="V539" i="5" s="1"/>
  <c r="T543" i="5"/>
  <c r="T93" i="5"/>
  <c r="T503" i="5"/>
  <c r="T419" i="5"/>
  <c r="T350" i="5"/>
  <c r="T435" i="5"/>
  <c r="T531" i="5"/>
  <c r="B5" i="8"/>
  <c r="E28" i="2"/>
  <c r="B59" i="5"/>
  <c r="G126" i="2"/>
  <c r="B148" i="2"/>
  <c r="V146" i="5"/>
  <c r="U63" i="5"/>
  <c r="U134" i="5"/>
  <c r="B75" i="5"/>
  <c r="AJ56" i="5" s="1"/>
  <c r="R60" i="4"/>
  <c r="R56" i="4"/>
  <c r="R52" i="4"/>
  <c r="R48" i="4"/>
  <c r="R44" i="4"/>
  <c r="R36" i="4"/>
  <c r="R34" i="4"/>
  <c r="R32" i="4"/>
  <c r="R30" i="4"/>
  <c r="R13" i="4"/>
  <c r="R11" i="4"/>
  <c r="R9" i="4"/>
  <c r="R81" i="4"/>
  <c r="R77" i="4"/>
  <c r="R73" i="4"/>
  <c r="R69" i="4"/>
  <c r="R65" i="4"/>
  <c r="R61" i="4"/>
  <c r="R57" i="4"/>
  <c r="R53" i="4"/>
  <c r="R49" i="4"/>
  <c r="R45" i="4"/>
  <c r="R41" i="4"/>
  <c r="R39" i="4"/>
  <c r="R28" i="4"/>
  <c r="R26" i="4"/>
  <c r="R24" i="4"/>
  <c r="R22" i="4"/>
  <c r="R20" i="4"/>
  <c r="R18" i="4"/>
  <c r="R16" i="4"/>
  <c r="R14" i="4"/>
  <c r="B22" i="2"/>
  <c r="AS10" i="4"/>
  <c r="AS34" i="4"/>
  <c r="AS46" i="4"/>
  <c r="AS54" i="4"/>
  <c r="AS58" i="4"/>
  <c r="AS66" i="4"/>
  <c r="AS74" i="4"/>
  <c r="AS82" i="4"/>
  <c r="AS90" i="4"/>
  <c r="AS98" i="4"/>
  <c r="AS102" i="4"/>
  <c r="AS110" i="4"/>
  <c r="AS118" i="4"/>
  <c r="AS126" i="4"/>
  <c r="AS134" i="4"/>
  <c r="AS142" i="4"/>
  <c r="AS150" i="4"/>
  <c r="AS7" i="4"/>
  <c r="AS148" i="4"/>
  <c r="AS11" i="4"/>
  <c r="AS15" i="4"/>
  <c r="AS19" i="4"/>
  <c r="AS23" i="4"/>
  <c r="AS27" i="4"/>
  <c r="AS31" i="4"/>
  <c r="AS35" i="4"/>
  <c r="AS39" i="4"/>
  <c r="AS43" i="4"/>
  <c r="AS47" i="4"/>
  <c r="AS51" i="4"/>
  <c r="AS55" i="4"/>
  <c r="AS59" i="4"/>
  <c r="AS63" i="4"/>
  <c r="AS67" i="4"/>
  <c r="AS71" i="4"/>
  <c r="AS75" i="4"/>
  <c r="AS79" i="4"/>
  <c r="AS83" i="4"/>
  <c r="AS87" i="4"/>
  <c r="AS91" i="4"/>
  <c r="AS95" i="4"/>
  <c r="AS99" i="4"/>
  <c r="AS103" i="4"/>
  <c r="AS107" i="4"/>
  <c r="AS111" i="4"/>
  <c r="AS115" i="4"/>
  <c r="AS119" i="4"/>
  <c r="AS123" i="4"/>
  <c r="AS127" i="4"/>
  <c r="AS131" i="4"/>
  <c r="AS135" i="4"/>
  <c r="AS139" i="4"/>
  <c r="AS143" i="4"/>
  <c r="AS147" i="4"/>
  <c r="AS151" i="4"/>
  <c r="AS155" i="4"/>
  <c r="AS12" i="4"/>
  <c r="AS16" i="4"/>
  <c r="AS20" i="4"/>
  <c r="AS24" i="4"/>
  <c r="AS28" i="4"/>
  <c r="AS36" i="4"/>
  <c r="AS40" i="4"/>
  <c r="AS48" i="4"/>
  <c r="AS56" i="4"/>
  <c r="AS60" i="4"/>
  <c r="AS68" i="4"/>
  <c r="AS76" i="4"/>
  <c r="AS84" i="4"/>
  <c r="AS88" i="4"/>
  <c r="AS96" i="4"/>
  <c r="AS104" i="4"/>
  <c r="AS108" i="4"/>
  <c r="AS116" i="4"/>
  <c r="AS124" i="4"/>
  <c r="AS128" i="4"/>
  <c r="AS136" i="4"/>
  <c r="AS152" i="4"/>
  <c r="AS8" i="4"/>
  <c r="AS32" i="4"/>
  <c r="AS44" i="4"/>
  <c r="AS52" i="4"/>
  <c r="AS64" i="4"/>
  <c r="AS72" i="4"/>
  <c r="AS80" i="4"/>
  <c r="AS92" i="4"/>
  <c r="AS100" i="4"/>
  <c r="AS112" i="4"/>
  <c r="AS120" i="4"/>
  <c r="AS132" i="4"/>
  <c r="AS144" i="4"/>
  <c r="AS9" i="4"/>
  <c r="AS13" i="4"/>
  <c r="AS17" i="4"/>
  <c r="AS21" i="4"/>
  <c r="AS25" i="4"/>
  <c r="AS29" i="4"/>
  <c r="AS33" i="4"/>
  <c r="AS37" i="4"/>
  <c r="AS41" i="4"/>
  <c r="AS45" i="4"/>
  <c r="AS49" i="4"/>
  <c r="AS53" i="4"/>
  <c r="AS57" i="4"/>
  <c r="AS61" i="4"/>
  <c r="AS65" i="4"/>
  <c r="AS69" i="4"/>
  <c r="AS73" i="4"/>
  <c r="AS77" i="4"/>
  <c r="AS81" i="4"/>
  <c r="AS85" i="4"/>
  <c r="AS89" i="4"/>
  <c r="AS93" i="4"/>
  <c r="AS97" i="4"/>
  <c r="AS101" i="4"/>
  <c r="AS105" i="4"/>
  <c r="AS109" i="4"/>
  <c r="AS113" i="4"/>
  <c r="AS117" i="4"/>
  <c r="AS121" i="4"/>
  <c r="AS125" i="4"/>
  <c r="AS129" i="4"/>
  <c r="AS133" i="4"/>
  <c r="AS137" i="4"/>
  <c r="AS141" i="4"/>
  <c r="AS145" i="4"/>
  <c r="AS149" i="4"/>
  <c r="AS153" i="4"/>
  <c r="AS157" i="4"/>
  <c r="AS14" i="4"/>
  <c r="AS18" i="4"/>
  <c r="AS22" i="4"/>
  <c r="AS26" i="4"/>
  <c r="AS30" i="4"/>
  <c r="AS38" i="4"/>
  <c r="AS42" i="4"/>
  <c r="AS50" i="4"/>
  <c r="AS62" i="4"/>
  <c r="AS70" i="4"/>
  <c r="AS78" i="4"/>
  <c r="AS86" i="4"/>
  <c r="AS94" i="4"/>
  <c r="AS106" i="4"/>
  <c r="AS114" i="4"/>
  <c r="AS122" i="4"/>
  <c r="AS130" i="4"/>
  <c r="AS138" i="4"/>
  <c r="AS146" i="4"/>
  <c r="AS154" i="4"/>
  <c r="AS140" i="4"/>
  <c r="AS156" i="4"/>
  <c r="AT43" i="5" l="1"/>
  <c r="T7" i="5"/>
  <c r="T512" i="5"/>
  <c r="T437" i="5"/>
  <c r="T233" i="5"/>
  <c r="T77" i="5"/>
  <c r="V77" i="5" s="1"/>
  <c r="T428" i="5"/>
  <c r="T315" i="5"/>
  <c r="T263" i="5"/>
  <c r="T100" i="5"/>
  <c r="T69" i="5"/>
  <c r="T301" i="5"/>
  <c r="V301" i="5" s="1"/>
  <c r="T190" i="5"/>
  <c r="T91" i="5"/>
  <c r="B46" i="5"/>
  <c r="U539" i="5"/>
  <c r="U313" i="5"/>
  <c r="U183" i="5"/>
  <c r="T515" i="5"/>
  <c r="V515" i="5" s="1"/>
  <c r="T50" i="5"/>
  <c r="V50" i="5" s="1"/>
  <c r="T125" i="5"/>
  <c r="T330" i="5"/>
  <c r="T179" i="5"/>
  <c r="T272" i="5"/>
  <c r="T237" i="5"/>
  <c r="T127" i="5"/>
  <c r="T406" i="5"/>
  <c r="T462" i="5"/>
  <c r="U462" i="5" s="1"/>
  <c r="T378" i="5"/>
  <c r="T193" i="5"/>
  <c r="T54" i="5"/>
  <c r="T399" i="5"/>
  <c r="T335" i="5"/>
  <c r="V335" i="5" s="1"/>
  <c r="T236" i="5"/>
  <c r="T187" i="5"/>
  <c r="T61" i="5"/>
  <c r="T260" i="5"/>
  <c r="T79" i="5"/>
  <c r="T98" i="5"/>
  <c r="V98" i="5" s="1"/>
  <c r="T459" i="5"/>
  <c r="U459" i="5" s="1"/>
  <c r="T548" i="5"/>
  <c r="T460" i="5"/>
  <c r="T527" i="5"/>
  <c r="T491" i="5"/>
  <c r="T558" i="5"/>
  <c r="T453" i="5"/>
  <c r="V453" i="5" s="1"/>
  <c r="T28" i="5"/>
  <c r="T511" i="5"/>
  <c r="U511" i="5" s="1"/>
  <c r="T141" i="5"/>
  <c r="T307" i="5"/>
  <c r="T184" i="5"/>
  <c r="T409" i="5"/>
  <c r="T308" i="5"/>
  <c r="V308" i="5" s="1"/>
  <c r="T108" i="5"/>
  <c r="T554" i="5"/>
  <c r="U554" i="5" s="1"/>
  <c r="T442" i="5"/>
  <c r="T359" i="5"/>
  <c r="T234" i="5"/>
  <c r="T40" i="5"/>
  <c r="V40" i="5" s="1"/>
  <c r="T382" i="5"/>
  <c r="U382" i="5" s="1"/>
  <c r="T320" i="5"/>
  <c r="T225" i="5"/>
  <c r="T173" i="5"/>
  <c r="T80" i="5"/>
  <c r="T252" i="5"/>
  <c r="T169" i="5"/>
  <c r="T82" i="5"/>
  <c r="U82" i="5" s="1"/>
  <c r="T417" i="5"/>
  <c r="T230" i="5"/>
  <c r="T555" i="5"/>
  <c r="T476" i="5"/>
  <c r="T471" i="5"/>
  <c r="T333" i="5"/>
  <c r="U333" i="5" s="1"/>
  <c r="T525" i="5"/>
  <c r="T162" i="5"/>
  <c r="U162" i="5" s="1"/>
  <c r="T450" i="5"/>
  <c r="T451" i="5"/>
  <c r="T528" i="5"/>
  <c r="T537" i="5"/>
  <c r="U537" i="5" s="1"/>
  <c r="T509" i="5"/>
  <c r="T485" i="5"/>
  <c r="T25" i="5"/>
  <c r="T296" i="5"/>
  <c r="T111" i="5"/>
  <c r="T385" i="5"/>
  <c r="T277" i="5"/>
  <c r="T60" i="5"/>
  <c r="T545" i="5"/>
  <c r="U545" i="5" s="1"/>
  <c r="T339" i="5"/>
  <c r="T329" i="5"/>
  <c r="T209" i="5"/>
  <c r="T31" i="5"/>
  <c r="T363" i="5"/>
  <c r="U363" i="5" s="1"/>
  <c r="T303" i="5"/>
  <c r="T210" i="5"/>
  <c r="U210" i="5" s="1"/>
  <c r="T149" i="5"/>
  <c r="T66" i="5"/>
  <c r="T176" i="5"/>
  <c r="T118" i="5"/>
  <c r="U118" i="5" s="1"/>
  <c r="T89" i="5"/>
  <c r="V461" i="5"/>
  <c r="V231" i="5"/>
  <c r="V464" i="5"/>
  <c r="T488" i="5"/>
  <c r="T154" i="5"/>
  <c r="T546" i="5"/>
  <c r="T408" i="5"/>
  <c r="T518" i="5"/>
  <c r="V518" i="5" s="1"/>
  <c r="T481" i="5"/>
  <c r="T549" i="5"/>
  <c r="T431" i="5"/>
  <c r="T414" i="5"/>
  <c r="T256" i="5"/>
  <c r="V256" i="5" s="1"/>
  <c r="T145" i="5"/>
  <c r="T247" i="5"/>
  <c r="T240" i="5"/>
  <c r="T73" i="5"/>
  <c r="T465" i="5"/>
  <c r="T505" i="5"/>
  <c r="U505" i="5" s="1"/>
  <c r="T349" i="5"/>
  <c r="U349" i="5" s="1"/>
  <c r="T189" i="5"/>
  <c r="T504" i="5"/>
  <c r="T294" i="5"/>
  <c r="T271" i="5"/>
  <c r="T243" i="5"/>
  <c r="T138" i="5"/>
  <c r="T59" i="5"/>
  <c r="V59" i="5" s="1"/>
  <c r="T221" i="5"/>
  <c r="U221" i="5" s="1"/>
  <c r="T171" i="5"/>
  <c r="T76" i="5"/>
  <c r="U199" i="5"/>
  <c r="V473" i="5"/>
  <c r="U300" i="5"/>
  <c r="T492" i="5"/>
  <c r="T394" i="5"/>
  <c r="U394" i="5" s="1"/>
  <c r="T560" i="5"/>
  <c r="T420" i="5"/>
  <c r="T542" i="5"/>
  <c r="T402" i="5"/>
  <c r="U402" i="5" s="1"/>
  <c r="T514" i="5"/>
  <c r="V514" i="5" s="1"/>
  <c r="T466" i="5"/>
  <c r="T353" i="5"/>
  <c r="T291" i="5"/>
  <c r="T103" i="5"/>
  <c r="T387" i="5"/>
  <c r="T216" i="5"/>
  <c r="T20" i="5"/>
  <c r="T526" i="5"/>
  <c r="T430" i="5"/>
  <c r="T285" i="5"/>
  <c r="T178" i="5"/>
  <c r="T468" i="5"/>
  <c r="T386" i="5"/>
  <c r="T331" i="5"/>
  <c r="T159" i="5"/>
  <c r="T137" i="5"/>
  <c r="T52" i="5"/>
  <c r="T242" i="5"/>
  <c r="U242" i="5" s="1"/>
  <c r="T130" i="5"/>
  <c r="U130" i="5" s="1"/>
  <c r="AT93" i="5"/>
  <c r="AV93" i="5" s="1"/>
  <c r="AZ194" i="5"/>
  <c r="AT29" i="5"/>
  <c r="AT54" i="5"/>
  <c r="AT61" i="5"/>
  <c r="AZ211" i="5"/>
  <c r="AZ196" i="5"/>
  <c r="AT246" i="5"/>
  <c r="AT191" i="5"/>
  <c r="AV191" i="5" s="1"/>
  <c r="AT273" i="5"/>
  <c r="AT248" i="5"/>
  <c r="AU248" i="5" s="1"/>
  <c r="AT233" i="5"/>
  <c r="AU233" i="5" s="1"/>
  <c r="AT198" i="5"/>
  <c r="AU198" i="5" s="1"/>
  <c r="AZ173" i="5"/>
  <c r="AT7" i="5"/>
  <c r="AV7" i="5" s="1"/>
  <c r="AT218" i="5"/>
  <c r="AU218" i="5" s="1"/>
  <c r="AT183" i="5"/>
  <c r="AV183" i="5" s="1"/>
  <c r="AT175" i="5"/>
  <c r="AV175" i="5" s="1"/>
  <c r="AT84" i="5"/>
  <c r="AV84" i="5" s="1"/>
  <c r="AT165" i="5"/>
  <c r="AV165" i="5" s="1"/>
  <c r="AT156" i="5"/>
  <c r="AU156" i="5" s="1"/>
  <c r="AZ171" i="5"/>
  <c r="AT46" i="5"/>
  <c r="AV46" i="5" s="1"/>
  <c r="AZ190" i="5"/>
  <c r="AT153" i="5"/>
  <c r="AT115" i="5"/>
  <c r="AV115" i="5" s="1"/>
  <c r="AT39" i="5"/>
  <c r="AZ164" i="5"/>
  <c r="AT130" i="5"/>
  <c r="AU130" i="5" s="1"/>
  <c r="AT102" i="5"/>
  <c r="AT30" i="5"/>
  <c r="AV30" i="5" s="1"/>
  <c r="AT311" i="5"/>
  <c r="AT237" i="5"/>
  <c r="AU237" i="5" s="1"/>
  <c r="AT229" i="5"/>
  <c r="AU229" i="5" s="1"/>
  <c r="AT111" i="5"/>
  <c r="AV111" i="5" s="1"/>
  <c r="AT89" i="5"/>
  <c r="AU89" i="5" s="1"/>
  <c r="AT52" i="5"/>
  <c r="AU52" i="5" s="1"/>
  <c r="AZ152" i="5"/>
  <c r="BB152" i="5" s="1"/>
  <c r="AT271" i="5"/>
  <c r="AU271" i="5" s="1"/>
  <c r="AZ158" i="5"/>
  <c r="BA158" i="5" s="1"/>
  <c r="AT295" i="5"/>
  <c r="AV295" i="5" s="1"/>
  <c r="AT286" i="5"/>
  <c r="AT249" i="5"/>
  <c r="AT324" i="5"/>
  <c r="AT91" i="5"/>
  <c r="AV91" i="5" s="1"/>
  <c r="AT62" i="5"/>
  <c r="AZ116" i="5"/>
  <c r="AZ140" i="5"/>
  <c r="AZ59" i="5"/>
  <c r="AZ60" i="5"/>
  <c r="AZ50" i="5"/>
  <c r="AZ35" i="5"/>
  <c r="AZ27" i="5"/>
  <c r="AZ40" i="5"/>
  <c r="BB40" i="5" s="1"/>
  <c r="AZ22" i="5"/>
  <c r="AZ218" i="5"/>
  <c r="AZ324" i="5"/>
  <c r="AZ299" i="5"/>
  <c r="BA299" i="5" s="1"/>
  <c r="AZ312" i="5"/>
  <c r="BA312" i="5" s="1"/>
  <c r="AZ315" i="5"/>
  <c r="BB315" i="5" s="1"/>
  <c r="AZ265" i="5"/>
  <c r="AZ127" i="5"/>
  <c r="AZ126" i="5"/>
  <c r="BA126" i="5" s="1"/>
  <c r="AZ95" i="5"/>
  <c r="AZ24" i="5"/>
  <c r="AZ393" i="5"/>
  <c r="AZ255" i="5"/>
  <c r="AZ278" i="5"/>
  <c r="AZ290" i="5"/>
  <c r="AZ318" i="5"/>
  <c r="AZ148" i="5"/>
  <c r="AZ135" i="5"/>
  <c r="AZ110" i="5"/>
  <c r="AZ69" i="5"/>
  <c r="BA69" i="5" s="1"/>
  <c r="AZ66" i="5"/>
  <c r="AZ305" i="5"/>
  <c r="BA305" i="5" s="1"/>
  <c r="AZ296" i="5"/>
  <c r="AZ303" i="5"/>
  <c r="BA303" i="5" s="1"/>
  <c r="AZ264" i="5"/>
  <c r="BA264" i="5" s="1"/>
  <c r="AZ150" i="5"/>
  <c r="BA150" i="5" s="1"/>
  <c r="AZ123" i="5"/>
  <c r="AZ121" i="5"/>
  <c r="AZ23" i="5"/>
  <c r="BB23" i="5" s="1"/>
  <c r="AZ220" i="5"/>
  <c r="AZ246" i="5"/>
  <c r="AZ200" i="5"/>
  <c r="AZ139" i="5"/>
  <c r="AZ98" i="5"/>
  <c r="AZ91" i="5"/>
  <c r="AZ55" i="5"/>
  <c r="BA55" i="5" s="1"/>
  <c r="AZ249" i="5"/>
  <c r="AZ161" i="5"/>
  <c r="AZ184" i="5"/>
  <c r="AZ212" i="5"/>
  <c r="BB212" i="5" s="1"/>
  <c r="B130" i="2"/>
  <c r="H50" i="1"/>
  <c r="V454" i="5"/>
  <c r="U396" i="5"/>
  <c r="V279" i="5"/>
  <c r="V136" i="5"/>
  <c r="U32" i="5"/>
  <c r="V203" i="5"/>
  <c r="V495" i="5"/>
  <c r="U301" i="5"/>
  <c r="V342" i="5"/>
  <c r="V24" i="5"/>
  <c r="V290" i="5"/>
  <c r="B140" i="2"/>
  <c r="B141" i="2"/>
  <c r="B138" i="2"/>
  <c r="H56" i="1"/>
  <c r="AJ84" i="5"/>
  <c r="AJ147" i="5"/>
  <c r="AT38" i="5"/>
  <c r="AV38" i="5" s="1"/>
  <c r="AT44" i="5"/>
  <c r="AU44" i="5" s="1"/>
  <c r="AT32" i="5"/>
  <c r="AV32" i="5" s="1"/>
  <c r="AT328" i="5"/>
  <c r="AV328" i="5" s="1"/>
  <c r="AT276" i="5"/>
  <c r="AU276" i="5" s="1"/>
  <c r="AT314" i="5"/>
  <c r="AV314" i="5" s="1"/>
  <c r="AT257" i="5"/>
  <c r="AV257" i="5" s="1"/>
  <c r="AT221" i="5"/>
  <c r="AV221" i="5" s="1"/>
  <c r="AT211" i="5"/>
  <c r="AV211" i="5" s="1"/>
  <c r="AT176" i="5"/>
  <c r="AT160" i="5"/>
  <c r="AV160" i="5" s="1"/>
  <c r="AT131" i="5"/>
  <c r="AV131" i="5" s="1"/>
  <c r="AT135" i="5"/>
  <c r="AV135" i="5" s="1"/>
  <c r="AT118" i="5"/>
  <c r="AT141" i="5"/>
  <c r="AU141" i="5" s="1"/>
  <c r="AT79" i="5"/>
  <c r="AT78" i="5"/>
  <c r="AU78" i="5" s="1"/>
  <c r="AT23" i="5"/>
  <c r="AU23" i="5" s="1"/>
  <c r="AT25" i="5"/>
  <c r="AV25" i="5" s="1"/>
  <c r="AT335" i="5"/>
  <c r="AU335" i="5" s="1"/>
  <c r="AT259" i="5"/>
  <c r="AU259" i="5" s="1"/>
  <c r="AT297" i="5"/>
  <c r="AU297" i="5" s="1"/>
  <c r="AT205" i="5"/>
  <c r="AU205" i="5" s="1"/>
  <c r="AT280" i="5"/>
  <c r="AV280" i="5" s="1"/>
  <c r="AT238" i="5"/>
  <c r="AV238" i="5" s="1"/>
  <c r="AT243" i="5"/>
  <c r="AU243" i="5" s="1"/>
  <c r="AT234" i="5"/>
  <c r="AU234" i="5" s="1"/>
  <c r="AT189" i="5"/>
  <c r="AV189" i="5" s="1"/>
  <c r="AT181" i="5"/>
  <c r="AU181" i="5" s="1"/>
  <c r="AT173" i="5"/>
  <c r="AT138" i="5"/>
  <c r="AT126" i="5"/>
  <c r="AU126" i="5" s="1"/>
  <c r="AT83" i="5"/>
  <c r="AT87" i="5"/>
  <c r="AT22" i="5"/>
  <c r="AT64" i="5"/>
  <c r="AT31" i="5"/>
  <c r="AT36" i="5"/>
  <c r="AU36" i="5" s="1"/>
  <c r="AT24" i="5"/>
  <c r="AT28" i="5"/>
  <c r="AV28" i="5" s="1"/>
  <c r="AT316" i="5"/>
  <c r="AV316" i="5" s="1"/>
  <c r="AT250" i="5"/>
  <c r="AU250" i="5" s="1"/>
  <c r="AT301" i="5"/>
  <c r="AV301" i="5" s="1"/>
  <c r="AT251" i="5"/>
  <c r="AV251" i="5" s="1"/>
  <c r="AT195" i="5"/>
  <c r="AU195" i="5" s="1"/>
  <c r="AT164" i="5"/>
  <c r="AU164" i="5" s="1"/>
  <c r="AT199" i="5"/>
  <c r="AU199" i="5" s="1"/>
  <c r="AT133" i="5"/>
  <c r="AV133" i="5" s="1"/>
  <c r="AT187" i="5"/>
  <c r="AT110" i="5"/>
  <c r="AT92" i="5"/>
  <c r="AT121" i="5"/>
  <c r="AU121" i="5" s="1"/>
  <c r="AT103" i="5"/>
  <c r="AT55" i="5"/>
  <c r="AT65" i="5"/>
  <c r="AV65" i="5" s="1"/>
  <c r="AT47" i="5"/>
  <c r="AV47" i="5" s="1"/>
  <c r="AT307" i="5"/>
  <c r="AV307" i="5" s="1"/>
  <c r="AT200" i="5"/>
  <c r="AV200" i="5" s="1"/>
  <c r="AT282" i="5"/>
  <c r="AU282" i="5" s="1"/>
  <c r="AT322" i="5"/>
  <c r="AU322" i="5" s="1"/>
  <c r="AT265" i="5"/>
  <c r="AU265" i="5" s="1"/>
  <c r="AT230" i="5"/>
  <c r="AV230" i="5" s="1"/>
  <c r="AT224" i="5"/>
  <c r="AV224" i="5" s="1"/>
  <c r="AT215" i="5"/>
  <c r="AU215" i="5" s="1"/>
  <c r="AT172" i="5"/>
  <c r="AV172" i="5" s="1"/>
  <c r="AT163" i="5"/>
  <c r="AV163" i="5" s="1"/>
  <c r="AT150" i="5"/>
  <c r="AV150" i="5" s="1"/>
  <c r="AT122" i="5"/>
  <c r="AV122" i="5" s="1"/>
  <c r="AT71" i="5"/>
  <c r="AT88" i="5"/>
  <c r="AT90" i="5"/>
  <c r="AT63" i="5"/>
  <c r="AV63" i="5" s="1"/>
  <c r="AT53" i="5"/>
  <c r="AU53" i="5" s="1"/>
  <c r="AT21" i="5"/>
  <c r="AT37" i="5"/>
  <c r="AV37" i="5" s="1"/>
  <c r="AT42" i="5"/>
  <c r="AT33" i="5"/>
  <c r="AT299" i="5"/>
  <c r="AV299" i="5" s="1"/>
  <c r="AT210" i="5"/>
  <c r="AU210" i="5" s="1"/>
  <c r="AT283" i="5"/>
  <c r="AV283" i="5" s="1"/>
  <c r="AT240" i="5"/>
  <c r="AV240" i="5" s="1"/>
  <c r="AT159" i="5"/>
  <c r="AV159" i="5" s="1"/>
  <c r="AT239" i="5"/>
  <c r="AV239" i="5" s="1"/>
  <c r="AT190" i="5"/>
  <c r="AU190" i="5" s="1"/>
  <c r="AT182" i="5"/>
  <c r="AV182" i="5" s="1"/>
  <c r="AT177" i="5"/>
  <c r="AV177" i="5" s="1"/>
  <c r="AT139" i="5"/>
  <c r="AU139" i="5" s="1"/>
  <c r="AT142" i="5"/>
  <c r="AU142" i="5" s="1"/>
  <c r="AT100" i="5"/>
  <c r="AT96" i="5"/>
  <c r="AT69" i="5"/>
  <c r="AT41" i="5"/>
  <c r="AT34" i="5"/>
  <c r="AU34" i="5" s="1"/>
  <c r="AT291" i="5"/>
  <c r="AT327" i="5"/>
  <c r="AT270" i="5"/>
  <c r="AV270" i="5" s="1"/>
  <c r="AT312" i="5"/>
  <c r="AT255" i="5"/>
  <c r="AV255" i="5" s="1"/>
  <c r="AT217" i="5"/>
  <c r="AU217" i="5" s="1"/>
  <c r="AT209" i="5"/>
  <c r="AU209" i="5" s="1"/>
  <c r="AT154" i="5"/>
  <c r="AV154" i="5" s="1"/>
  <c r="AT157" i="5"/>
  <c r="AU157" i="5" s="1"/>
  <c r="AT128" i="5"/>
  <c r="AU128" i="5" s="1"/>
  <c r="AT129" i="5"/>
  <c r="AU129" i="5" s="1"/>
  <c r="AT109" i="5"/>
  <c r="AV109" i="5" s="1"/>
  <c r="AT136" i="5"/>
  <c r="AU136" i="5" s="1"/>
  <c r="AT75" i="5"/>
  <c r="AV75" i="5" s="1"/>
  <c r="AT77" i="5"/>
  <c r="AU77" i="5" s="1"/>
  <c r="AT20" i="5"/>
  <c r="AT51" i="5"/>
  <c r="AT8" i="5"/>
  <c r="AV8" i="5" s="1"/>
  <c r="AT49" i="5"/>
  <c r="AT27" i="5"/>
  <c r="AT45" i="5"/>
  <c r="AT57" i="5"/>
  <c r="AT58" i="5"/>
  <c r="AT70" i="5"/>
  <c r="AT81" i="5"/>
  <c r="AT97" i="5"/>
  <c r="AT82" i="5"/>
  <c r="AT113" i="5"/>
  <c r="AT143" i="5"/>
  <c r="AT148" i="5"/>
  <c r="AT119" i="5"/>
  <c r="AT146" i="5"/>
  <c r="AT144" i="5"/>
  <c r="AT178" i="5"/>
  <c r="AT149" i="5"/>
  <c r="AT184" i="5"/>
  <c r="AT162" i="5"/>
  <c r="AT194" i="5"/>
  <c r="AT193" i="5"/>
  <c r="AT245" i="5"/>
  <c r="AT216" i="5"/>
  <c r="AT166" i="5"/>
  <c r="AT222" i="5"/>
  <c r="AT214" i="5"/>
  <c r="AT260" i="5"/>
  <c r="AT287" i="5"/>
  <c r="AT315" i="5"/>
  <c r="AT219" i="5"/>
  <c r="AT278" i="5"/>
  <c r="AT304" i="5"/>
  <c r="AT117" i="5"/>
  <c r="AT261" i="5"/>
  <c r="AT285" i="5"/>
  <c r="AT303" i="5"/>
  <c r="AT336" i="5"/>
  <c r="AT345" i="5"/>
  <c r="AT356" i="5"/>
  <c r="AT284" i="5"/>
  <c r="AT341" i="5"/>
  <c r="AT378" i="5"/>
  <c r="AT397" i="5"/>
  <c r="AT403" i="5"/>
  <c r="AT421" i="5"/>
  <c r="AT436" i="5"/>
  <c r="AT262" i="5"/>
  <c r="AT321" i="5"/>
  <c r="AT340" i="5"/>
  <c r="AT368" i="5"/>
  <c r="AT386" i="5"/>
  <c r="AT396" i="5"/>
  <c r="AT410" i="5"/>
  <c r="AT347" i="5"/>
  <c r="AT360" i="5"/>
  <c r="AT375" i="5"/>
  <c r="AT402" i="5"/>
  <c r="AT417" i="5"/>
  <c r="AT275" i="5"/>
  <c r="AT346" i="5"/>
  <c r="AT412" i="5"/>
  <c r="AT438" i="5"/>
  <c r="AT451" i="5"/>
  <c r="AT487" i="5"/>
  <c r="AT494" i="5"/>
  <c r="AT510" i="5"/>
  <c r="AT530" i="5"/>
  <c r="AT370" i="5"/>
  <c r="AT425" i="5"/>
  <c r="AT447" i="5"/>
  <c r="AT460" i="5"/>
  <c r="AT483" i="5"/>
  <c r="AT496" i="5"/>
  <c r="AT516" i="5"/>
  <c r="AT337" i="5"/>
  <c r="AT439" i="5"/>
  <c r="AT459" i="5"/>
  <c r="AT474" i="5"/>
  <c r="AT486" i="5"/>
  <c r="AT507" i="5"/>
  <c r="AT525" i="5"/>
  <c r="AT548" i="5"/>
  <c r="AT553" i="5"/>
  <c r="AT380" i="5"/>
  <c r="AT473" i="5"/>
  <c r="AT492" i="5"/>
  <c r="AT40" i="5"/>
  <c r="AT60" i="5"/>
  <c r="AT59" i="5"/>
  <c r="AT73" i="5"/>
  <c r="AT86" i="5"/>
  <c r="AT98" i="5"/>
  <c r="AT85" i="5"/>
  <c r="AT114" i="5"/>
  <c r="AT145" i="5"/>
  <c r="AT151" i="5"/>
  <c r="AT120" i="5"/>
  <c r="AT152" i="5"/>
  <c r="AT147" i="5"/>
  <c r="AT179" i="5"/>
  <c r="AT161" i="5"/>
  <c r="AT95" i="5"/>
  <c r="AT167" i="5"/>
  <c r="AT197" i="5"/>
  <c r="AT208" i="5"/>
  <c r="AT247" i="5"/>
  <c r="AT220" i="5"/>
  <c r="AT188" i="5"/>
  <c r="AT225" i="5"/>
  <c r="AT228" i="5"/>
  <c r="AT263" i="5"/>
  <c r="AT293" i="5"/>
  <c r="AT320" i="5"/>
  <c r="AT241" i="5"/>
  <c r="AT279" i="5"/>
  <c r="AT308" i="5"/>
  <c r="AT196" i="5"/>
  <c r="AT264" i="5"/>
  <c r="AT288" i="5"/>
  <c r="AT313" i="5"/>
  <c r="AT338" i="5"/>
  <c r="AT348" i="5"/>
  <c r="AT359" i="5"/>
  <c r="AT290" i="5"/>
  <c r="AT364" i="5"/>
  <c r="AT382" i="5"/>
  <c r="AT398" i="5"/>
  <c r="AT406" i="5"/>
  <c r="AT424" i="5"/>
  <c r="AT437" i="5"/>
  <c r="AT267" i="5"/>
  <c r="AT326" i="5"/>
  <c r="AT355" i="5"/>
  <c r="AT372" i="5"/>
  <c r="AT387" i="5"/>
  <c r="AT405" i="5"/>
  <c r="AT202" i="5"/>
  <c r="AT351" i="5"/>
  <c r="AT361" i="5"/>
  <c r="AT383" i="5"/>
  <c r="AT404" i="5"/>
  <c r="AT418" i="5"/>
  <c r="AT305" i="5"/>
  <c r="AT350" i="5"/>
  <c r="AT419" i="5"/>
  <c r="AT443" i="5"/>
  <c r="AT466" i="5"/>
  <c r="AT488" i="5"/>
  <c r="AT499" i="5"/>
  <c r="AT513" i="5"/>
  <c r="AT294" i="5"/>
  <c r="AT384" i="5"/>
  <c r="AT48" i="5"/>
  <c r="AT67" i="5"/>
  <c r="AT26" i="5"/>
  <c r="AT72" i="5"/>
  <c r="AT94" i="5"/>
  <c r="AT105" i="5"/>
  <c r="AT101" i="5"/>
  <c r="AT127" i="5"/>
  <c r="AT104" i="5"/>
  <c r="AT99" i="5"/>
  <c r="AT134" i="5"/>
  <c r="AT116" i="5"/>
  <c r="AT158" i="5"/>
  <c r="AT112" i="5"/>
  <c r="AT169" i="5"/>
  <c r="AT140" i="5"/>
  <c r="AT185" i="5"/>
  <c r="AT201" i="5"/>
  <c r="AT223" i="5"/>
  <c r="AT192" i="5"/>
  <c r="AT232" i="5"/>
  <c r="AT212" i="5"/>
  <c r="AT235" i="5"/>
  <c r="AT252" i="5"/>
  <c r="AT274" i="5"/>
  <c r="AT306" i="5"/>
  <c r="AT332" i="5"/>
  <c r="AT258" i="5"/>
  <c r="AT289" i="5"/>
  <c r="AT319" i="5"/>
  <c r="AT244" i="5"/>
  <c r="AT269" i="5"/>
  <c r="AT296" i="5"/>
  <c r="AT318" i="5"/>
  <c r="AT342" i="5"/>
  <c r="AT349" i="5"/>
  <c r="AT174" i="5"/>
  <c r="AT310" i="5"/>
  <c r="AT366" i="5"/>
  <c r="AT388" i="5"/>
  <c r="AT400" i="5"/>
  <c r="AT415" i="5"/>
  <c r="AT429" i="5"/>
  <c r="AT180" i="5"/>
  <c r="AT268" i="5"/>
  <c r="AT329" i="5"/>
  <c r="AT362" i="5"/>
  <c r="AT376" i="5"/>
  <c r="AT391" i="5"/>
  <c r="AT407" i="5"/>
  <c r="AT317" i="5"/>
  <c r="AT352" i="5"/>
  <c r="AT369" i="5"/>
  <c r="AT385" i="5"/>
  <c r="AT411" i="5"/>
  <c r="AT168" i="5"/>
  <c r="AT334" i="5"/>
  <c r="AT371" i="5"/>
  <c r="AT427" i="5"/>
  <c r="AT445" i="5"/>
  <c r="AT469" i="5"/>
  <c r="AT489" i="5"/>
  <c r="AT502" i="5"/>
  <c r="AT518" i="5"/>
  <c r="AT331" i="5"/>
  <c r="AT408" i="5"/>
  <c r="AT435" i="5"/>
  <c r="AT456" i="5"/>
  <c r="AT472" i="5"/>
  <c r="AT490" i="5"/>
  <c r="AT501" i="5"/>
  <c r="AT272" i="5"/>
  <c r="AT399" i="5"/>
  <c r="AT453" i="5"/>
  <c r="AT468" i="5"/>
  <c r="AT478" i="5"/>
  <c r="AT504" i="5"/>
  <c r="AT514" i="5"/>
  <c r="AT543" i="5"/>
  <c r="AT550" i="5"/>
  <c r="AT559" i="5"/>
  <c r="AT416" i="5"/>
  <c r="AT479" i="5"/>
  <c r="AT509" i="5"/>
  <c r="AT50" i="5"/>
  <c r="AT74" i="5"/>
  <c r="AT124" i="5"/>
  <c r="AT171" i="5"/>
  <c r="AT186" i="5"/>
  <c r="AT242" i="5"/>
  <c r="AT277" i="5"/>
  <c r="AT292" i="5"/>
  <c r="AT300" i="5"/>
  <c r="AT231" i="5"/>
  <c r="AT401" i="5"/>
  <c r="AT298" i="5"/>
  <c r="AT393" i="5"/>
  <c r="AT373" i="5"/>
  <c r="AT344" i="5"/>
  <c r="AT481" i="5"/>
  <c r="AT357" i="5"/>
  <c r="AT448" i="5"/>
  <c r="AT485" i="5"/>
  <c r="AT517" i="5"/>
  <c r="AT452" i="5"/>
  <c r="AT477" i="5"/>
  <c r="AT512" i="5"/>
  <c r="AT549" i="5"/>
  <c r="AT392" i="5"/>
  <c r="AT506" i="5"/>
  <c r="AT539" i="5"/>
  <c r="AT554" i="5"/>
  <c r="AT465" i="5"/>
  <c r="AT526" i="5"/>
  <c r="AT555" i="5"/>
  <c r="AT358" i="5"/>
  <c r="AT395" i="5"/>
  <c r="AT430" i="5"/>
  <c r="AT467" i="5"/>
  <c r="AT537" i="5"/>
  <c r="AT440" i="5"/>
  <c r="AT500" i="5"/>
  <c r="AT534" i="5"/>
  <c r="AT68" i="5"/>
  <c r="AT107" i="5"/>
  <c r="AT106" i="5"/>
  <c r="AT125" i="5"/>
  <c r="AT206" i="5"/>
  <c r="AT213" i="5"/>
  <c r="AT309" i="5"/>
  <c r="AT325" i="5"/>
  <c r="AT323" i="5"/>
  <c r="AT330" i="5"/>
  <c r="AT420" i="5"/>
  <c r="AT333" i="5"/>
  <c r="AT409" i="5"/>
  <c r="AT390" i="5"/>
  <c r="AT379" i="5"/>
  <c r="AT493" i="5"/>
  <c r="AT422" i="5"/>
  <c r="AT458" i="5"/>
  <c r="AT491" i="5"/>
  <c r="AT302" i="5"/>
  <c r="AT457" i="5"/>
  <c r="AT480" i="5"/>
  <c r="AT524" i="5"/>
  <c r="AT551" i="5"/>
  <c r="AT463" i="5"/>
  <c r="AT520" i="5"/>
  <c r="AT541" i="5"/>
  <c r="AT441" i="5"/>
  <c r="AT484" i="5"/>
  <c r="AT533" i="5"/>
  <c r="AT532" i="5"/>
  <c r="AT365" i="5"/>
  <c r="AT413" i="5"/>
  <c r="AT432" i="5"/>
  <c r="AT511" i="5"/>
  <c r="AT556" i="5"/>
  <c r="AT446" i="5"/>
  <c r="AT503" i="5"/>
  <c r="AT538" i="5"/>
  <c r="AT80" i="5"/>
  <c r="AT108" i="5"/>
  <c r="AT137" i="5"/>
  <c r="AT170" i="5"/>
  <c r="AT227" i="5"/>
  <c r="AT236" i="5"/>
  <c r="AT203" i="5"/>
  <c r="AT253" i="5"/>
  <c r="AT343" i="5"/>
  <c r="AT374" i="5"/>
  <c r="AT433" i="5"/>
  <c r="AT367" i="5"/>
  <c r="AT339" i="5"/>
  <c r="AT414" i="5"/>
  <c r="AT431" i="5"/>
  <c r="AT508" i="5"/>
  <c r="AT434" i="5"/>
  <c r="AT464" i="5"/>
  <c r="AT497" i="5"/>
  <c r="AT363" i="5"/>
  <c r="AT462" i="5"/>
  <c r="AT498" i="5"/>
  <c r="AT531" i="5"/>
  <c r="AT557" i="5"/>
  <c r="AT476" i="5"/>
  <c r="AT528" i="5"/>
  <c r="AT542" i="5"/>
  <c r="AT444" i="5"/>
  <c r="AT495" i="5"/>
  <c r="AT545" i="5"/>
  <c r="AT536" i="5"/>
  <c r="AT377" i="5"/>
  <c r="AT426" i="5"/>
  <c r="AT454" i="5"/>
  <c r="AT523" i="5"/>
  <c r="AT558" i="5"/>
  <c r="AT449" i="5"/>
  <c r="AT521" i="5"/>
  <c r="AT544" i="5"/>
  <c r="AT76" i="5"/>
  <c r="AT207" i="5"/>
  <c r="AT354" i="5"/>
  <c r="AT353" i="5"/>
  <c r="AT442" i="5"/>
  <c r="AT471" i="5"/>
  <c r="AT482" i="5"/>
  <c r="AT519" i="5"/>
  <c r="AT428" i="5"/>
  <c r="AT470" i="5"/>
  <c r="AT35" i="5"/>
  <c r="AT281" i="5"/>
  <c r="AT522" i="5"/>
  <c r="AT204" i="5"/>
  <c r="AT389" i="5"/>
  <c r="AT132" i="5"/>
  <c r="AT254" i="5"/>
  <c r="AT394" i="5"/>
  <c r="AT256" i="5"/>
  <c r="AT475" i="5"/>
  <c r="AT505" i="5"/>
  <c r="AT535" i="5"/>
  <c r="AT552" i="5"/>
  <c r="AT461" i="5"/>
  <c r="AT527" i="5"/>
  <c r="AT123" i="5"/>
  <c r="AT266" i="5"/>
  <c r="AT226" i="5"/>
  <c r="AT450" i="5"/>
  <c r="AT515" i="5"/>
  <c r="AT546" i="5"/>
  <c r="AT547" i="5"/>
  <c r="AT540" i="5"/>
  <c r="AT529" i="5"/>
  <c r="AT19" i="5"/>
  <c r="AT155" i="5"/>
  <c r="AT381" i="5"/>
  <c r="AT423" i="5"/>
  <c r="AT455" i="5"/>
  <c r="AT560" i="5"/>
  <c r="AV56" i="5"/>
  <c r="AU56" i="5"/>
  <c r="AU46" i="5"/>
  <c r="AZ7" i="5"/>
  <c r="BB7" i="5" s="1"/>
  <c r="AZ344" i="5"/>
  <c r="AZ302" i="5"/>
  <c r="AZ227" i="5"/>
  <c r="BB227" i="5" s="1"/>
  <c r="AZ256" i="5"/>
  <c r="BB256" i="5" s="1"/>
  <c r="AZ282" i="5"/>
  <c r="AZ240" i="5"/>
  <c r="AZ235" i="5"/>
  <c r="BB235" i="5" s="1"/>
  <c r="AZ236" i="5"/>
  <c r="BB236" i="5" s="1"/>
  <c r="AZ118" i="5"/>
  <c r="BA118" i="5" s="1"/>
  <c r="AZ115" i="5"/>
  <c r="AZ169" i="5"/>
  <c r="BA169" i="5" s="1"/>
  <c r="AZ107" i="5"/>
  <c r="BB107" i="5" s="1"/>
  <c r="AZ111" i="5"/>
  <c r="AZ103" i="5"/>
  <c r="BA103" i="5" s="1"/>
  <c r="AZ83" i="5"/>
  <c r="BA83" i="5" s="1"/>
  <c r="AZ53" i="5"/>
  <c r="BA53" i="5" s="1"/>
  <c r="AZ39" i="5"/>
  <c r="BA39" i="5" s="1"/>
  <c r="AZ38" i="5"/>
  <c r="BB38" i="5" s="1"/>
  <c r="AZ8" i="5"/>
  <c r="BA8" i="5" s="1"/>
  <c r="AZ373" i="5"/>
  <c r="BB373" i="5" s="1"/>
  <c r="AZ351" i="5"/>
  <c r="AZ309" i="5"/>
  <c r="AZ241" i="5"/>
  <c r="BA241" i="5" s="1"/>
  <c r="AZ269" i="5"/>
  <c r="BA269" i="5" s="1"/>
  <c r="AZ288" i="5"/>
  <c r="AZ191" i="5"/>
  <c r="AZ242" i="5"/>
  <c r="BB242" i="5" s="1"/>
  <c r="AZ179" i="5"/>
  <c r="BA179" i="5" s="1"/>
  <c r="AZ136" i="5"/>
  <c r="BA136" i="5" s="1"/>
  <c r="AZ134" i="5"/>
  <c r="AZ177" i="5"/>
  <c r="BA177" i="5" s="1"/>
  <c r="AZ119" i="5"/>
  <c r="BB119" i="5" s="1"/>
  <c r="AZ117" i="5"/>
  <c r="BB117" i="5" s="1"/>
  <c r="AZ94" i="5"/>
  <c r="AZ89" i="5"/>
  <c r="BB89" i="5" s="1"/>
  <c r="AZ75" i="5"/>
  <c r="BB75" i="5" s="1"/>
  <c r="AZ52" i="5"/>
  <c r="BA52" i="5" s="1"/>
  <c r="AZ44" i="5"/>
  <c r="BB44" i="5" s="1"/>
  <c r="AZ34" i="5"/>
  <c r="BA34" i="5" s="1"/>
  <c r="AZ206" i="5"/>
  <c r="BB206" i="5" s="1"/>
  <c r="AZ314" i="5"/>
  <c r="AZ251" i="5"/>
  <c r="AZ284" i="5"/>
  <c r="BA284" i="5" s="1"/>
  <c r="AZ300" i="5"/>
  <c r="BB300" i="5" s="1"/>
  <c r="AZ223" i="5"/>
  <c r="AZ178" i="5"/>
  <c r="AZ195" i="5"/>
  <c r="BA195" i="5" s="1"/>
  <c r="AZ174" i="5"/>
  <c r="BB174" i="5" s="1"/>
  <c r="AZ156" i="5"/>
  <c r="BB156" i="5" s="1"/>
  <c r="AZ141" i="5"/>
  <c r="AZ137" i="5"/>
  <c r="BA137" i="5" s="1"/>
  <c r="AZ125" i="5"/>
  <c r="BB125" i="5" s="1"/>
  <c r="AZ114" i="5"/>
  <c r="AZ92" i="5"/>
  <c r="BA92" i="5" s="1"/>
  <c r="AZ47" i="5"/>
  <c r="BB47" i="5" s="1"/>
  <c r="AZ51" i="5"/>
  <c r="BB51" i="5" s="1"/>
  <c r="AZ32" i="5"/>
  <c r="BA32" i="5" s="1"/>
  <c r="AZ45" i="5"/>
  <c r="BB45" i="5" s="1"/>
  <c r="AZ326" i="5"/>
  <c r="BA326" i="5" s="1"/>
  <c r="AZ274" i="5"/>
  <c r="BB274" i="5" s="1"/>
  <c r="AZ219" i="5"/>
  <c r="AZ197" i="5"/>
  <c r="AZ132" i="5"/>
  <c r="BB132" i="5" s="1"/>
  <c r="AZ81" i="5"/>
  <c r="BB81" i="5" s="1"/>
  <c r="AZ80" i="5"/>
  <c r="AZ70" i="5"/>
  <c r="AZ68" i="5"/>
  <c r="BA68" i="5" s="1"/>
  <c r="AZ43" i="5"/>
  <c r="BA43" i="5" s="1"/>
  <c r="O12" i="5"/>
  <c r="AZ12" i="5" s="1"/>
  <c r="AZ352" i="5"/>
  <c r="AZ339" i="5"/>
  <c r="BB339" i="5" s="1"/>
  <c r="AZ295" i="5"/>
  <c r="BA295" i="5" s="1"/>
  <c r="AZ188" i="5"/>
  <c r="AZ247" i="5"/>
  <c r="BA247" i="5" s="1"/>
  <c r="AZ279" i="5"/>
  <c r="BB279" i="5" s="1"/>
  <c r="AZ237" i="5"/>
  <c r="BA237" i="5" s="1"/>
  <c r="AZ226" i="5"/>
  <c r="BB226" i="5" s="1"/>
  <c r="AZ230" i="5"/>
  <c r="BA230" i="5" s="1"/>
  <c r="AZ201" i="5"/>
  <c r="BA201" i="5" s="1"/>
  <c r="AZ180" i="5"/>
  <c r="BB180" i="5" s="1"/>
  <c r="AZ163" i="5"/>
  <c r="AZ154" i="5"/>
  <c r="AZ100" i="5"/>
  <c r="BA100" i="5" s="1"/>
  <c r="AZ86" i="5"/>
  <c r="BA86" i="5" s="1"/>
  <c r="AZ84" i="5"/>
  <c r="AZ78" i="5"/>
  <c r="AZ21" i="5"/>
  <c r="BA21" i="5" s="1"/>
  <c r="AZ30" i="5"/>
  <c r="BA30" i="5" s="1"/>
  <c r="AZ369" i="5"/>
  <c r="BA369" i="5" s="1"/>
  <c r="AZ346" i="5"/>
  <c r="AZ306" i="5"/>
  <c r="BA306" i="5" s="1"/>
  <c r="AZ232" i="5"/>
  <c r="BB232" i="5" s="1"/>
  <c r="AZ262" i="5"/>
  <c r="BA262" i="5" s="1"/>
  <c r="AZ285" i="5"/>
  <c r="BB285" i="5" s="1"/>
  <c r="AZ189" i="5"/>
  <c r="BA189" i="5" s="1"/>
  <c r="AZ238" i="5"/>
  <c r="BB238" i="5" s="1"/>
  <c r="AZ243" i="5"/>
  <c r="BB243" i="5" s="1"/>
  <c r="AZ130" i="5"/>
  <c r="BB130" i="5" s="1"/>
  <c r="AZ122" i="5"/>
  <c r="BB122" i="5" s="1"/>
  <c r="AZ175" i="5"/>
  <c r="BA175" i="5" s="1"/>
  <c r="AZ113" i="5"/>
  <c r="AZ112" i="5"/>
  <c r="AZ109" i="5"/>
  <c r="BA109" i="5" s="1"/>
  <c r="AZ88" i="5"/>
  <c r="BB88" i="5" s="1"/>
  <c r="AZ71" i="5"/>
  <c r="AZ48" i="5"/>
  <c r="AZ41" i="5"/>
  <c r="BB41" i="5" s="1"/>
  <c r="AZ29" i="5"/>
  <c r="BA29" i="5" s="1"/>
  <c r="AZ332" i="5"/>
  <c r="BA332" i="5" s="1"/>
  <c r="AZ283" i="5"/>
  <c r="AZ157" i="5"/>
  <c r="BB157" i="5" s="1"/>
  <c r="AZ231" i="5"/>
  <c r="BA231" i="5" s="1"/>
  <c r="AZ221" i="5"/>
  <c r="AZ172" i="5"/>
  <c r="BA172" i="5" s="1"/>
  <c r="AZ147" i="5"/>
  <c r="BA147" i="5" s="1"/>
  <c r="AZ105" i="5"/>
  <c r="BA105" i="5" s="1"/>
  <c r="AZ322" i="5"/>
  <c r="BA322" i="5" s="1"/>
  <c r="AZ263" i="5"/>
  <c r="BB263" i="5" s="1"/>
  <c r="AZ298" i="5"/>
  <c r="BA298" i="5" s="1"/>
  <c r="AZ313" i="5"/>
  <c r="BA313" i="5" s="1"/>
  <c r="AZ261" i="5"/>
  <c r="AZ199" i="5"/>
  <c r="AZ210" i="5"/>
  <c r="BA210" i="5" s="1"/>
  <c r="AZ208" i="5"/>
  <c r="BA208" i="5" s="1"/>
  <c r="AZ168" i="5"/>
  <c r="AZ159" i="5"/>
  <c r="AZ145" i="5"/>
  <c r="BA145" i="5" s="1"/>
  <c r="AZ133" i="5"/>
  <c r="BA133" i="5" s="1"/>
  <c r="AZ131" i="5"/>
  <c r="BA131" i="5" s="1"/>
  <c r="AZ97" i="5"/>
  <c r="AZ65" i="5"/>
  <c r="BB65" i="5" s="1"/>
  <c r="AZ61" i="5"/>
  <c r="BB61" i="5" s="1"/>
  <c r="AZ56" i="5"/>
  <c r="AZ26" i="5"/>
  <c r="BA26" i="5" s="1"/>
  <c r="AZ411" i="5"/>
  <c r="BB411" i="5" s="1"/>
  <c r="AZ316" i="5"/>
  <c r="BA316" i="5" s="1"/>
  <c r="AZ329" i="5"/>
  <c r="BB329" i="5" s="1"/>
  <c r="AZ268" i="5"/>
  <c r="BB268" i="5" s="1"/>
  <c r="AZ317" i="5"/>
  <c r="BB317" i="5" s="1"/>
  <c r="AZ323" i="5"/>
  <c r="BA323" i="5" s="1"/>
  <c r="AZ266" i="5"/>
  <c r="AZ202" i="5"/>
  <c r="AZ214" i="5"/>
  <c r="BB214" i="5" s="1"/>
  <c r="AZ213" i="5"/>
  <c r="BB213" i="5" s="1"/>
  <c r="AZ183" i="5"/>
  <c r="AZ166" i="5"/>
  <c r="AZ101" i="5"/>
  <c r="BA101" i="5" s="1"/>
  <c r="AZ138" i="5"/>
  <c r="BA138" i="5" s="1"/>
  <c r="AZ144" i="5"/>
  <c r="BB144" i="5" s="1"/>
  <c r="AZ74" i="5"/>
  <c r="AZ76" i="5"/>
  <c r="BB76" i="5" s="1"/>
  <c r="AZ54" i="5"/>
  <c r="BB54" i="5" s="1"/>
  <c r="AZ64" i="5"/>
  <c r="AZ31" i="5"/>
  <c r="BA31" i="5" s="1"/>
  <c r="AZ338" i="5"/>
  <c r="BA338" i="5" s="1"/>
  <c r="AZ337" i="5"/>
  <c r="BA337" i="5" s="1"/>
  <c r="AZ287" i="5"/>
  <c r="BA287" i="5" s="1"/>
  <c r="AZ331" i="5"/>
  <c r="BA331" i="5" s="1"/>
  <c r="AZ207" i="5"/>
  <c r="BA207" i="5" s="1"/>
  <c r="AZ276" i="5"/>
  <c r="BA276" i="5" s="1"/>
  <c r="AZ234" i="5"/>
  <c r="AZ222" i="5"/>
  <c r="AZ225" i="5"/>
  <c r="BA225" i="5" s="1"/>
  <c r="AZ198" i="5"/>
  <c r="BB198" i="5" s="1"/>
  <c r="AZ176" i="5"/>
  <c r="AZ160" i="5"/>
  <c r="AZ149" i="5"/>
  <c r="BB149" i="5" s="1"/>
  <c r="AZ85" i="5"/>
  <c r="BB85" i="5" s="1"/>
  <c r="AZ108" i="5"/>
  <c r="BA108" i="5" s="1"/>
  <c r="AZ82" i="5"/>
  <c r="AZ72" i="5"/>
  <c r="BA72" i="5" s="1"/>
  <c r="AZ73" i="5"/>
  <c r="BA73" i="5" s="1"/>
  <c r="U287" i="5"/>
  <c r="AU160" i="5"/>
  <c r="AV79" i="5"/>
  <c r="AU79" i="5"/>
  <c r="AU189" i="5"/>
  <c r="AV173" i="5"/>
  <c r="AU173" i="5"/>
  <c r="AV87" i="5"/>
  <c r="AU87" i="5"/>
  <c r="AU31" i="5"/>
  <c r="AV31" i="5"/>
  <c r="AJ172" i="5"/>
  <c r="AV250" i="5"/>
  <c r="AU187" i="5"/>
  <c r="AV187" i="5"/>
  <c r="AV110" i="5"/>
  <c r="AU110" i="5"/>
  <c r="AV92" i="5"/>
  <c r="AU92" i="5"/>
  <c r="AV121" i="5"/>
  <c r="AV103" i="5"/>
  <c r="AU103" i="5"/>
  <c r="AU55" i="5"/>
  <c r="AV55" i="5"/>
  <c r="AU65" i="5"/>
  <c r="AU307" i="5"/>
  <c r="AU71" i="5"/>
  <c r="AV71" i="5"/>
  <c r="AV88" i="5"/>
  <c r="AU88" i="5"/>
  <c r="AU90" i="5"/>
  <c r="AV90" i="5"/>
  <c r="AU63" i="5"/>
  <c r="AV53" i="5"/>
  <c r="AU21" i="5"/>
  <c r="AV21" i="5"/>
  <c r="B142" i="2"/>
  <c r="B62" i="5"/>
  <c r="AU176" i="5"/>
  <c r="AV176" i="5"/>
  <c r="AU131" i="5"/>
  <c r="AU135" i="5"/>
  <c r="AU118" i="5"/>
  <c r="AV118" i="5"/>
  <c r="AV141" i="5"/>
  <c r="AV23" i="5"/>
  <c r="AV138" i="5"/>
  <c r="AU138" i="5"/>
  <c r="AU83" i="5"/>
  <c r="AV83" i="5"/>
  <c r="AU22" i="5"/>
  <c r="AV22" i="5"/>
  <c r="AV64" i="5"/>
  <c r="AU64" i="5"/>
  <c r="AJ166" i="5"/>
  <c r="AJ7" i="5"/>
  <c r="AK7" i="5" s="1"/>
  <c r="AJ109" i="5"/>
  <c r="AL109" i="5" s="1"/>
  <c r="AJ121" i="5"/>
  <c r="AL121" i="5" s="1"/>
  <c r="V242" i="5"/>
  <c r="AU299" i="5"/>
  <c r="AV210" i="5"/>
  <c r="AU100" i="5"/>
  <c r="AV100" i="5"/>
  <c r="AV96" i="5"/>
  <c r="AU96" i="5"/>
  <c r="AU69" i="5"/>
  <c r="AV69" i="5"/>
  <c r="AV41" i="5"/>
  <c r="AU41" i="5"/>
  <c r="AV34" i="5"/>
  <c r="AU291" i="5"/>
  <c r="AV291" i="5"/>
  <c r="AU327" i="5"/>
  <c r="AV327" i="5"/>
  <c r="AV312" i="5"/>
  <c r="AU312" i="5"/>
  <c r="AU20" i="5"/>
  <c r="AV20" i="5"/>
  <c r="AV51" i="5"/>
  <c r="AU51" i="5"/>
  <c r="AU8" i="5"/>
  <c r="AJ43" i="5"/>
  <c r="V484" i="5"/>
  <c r="AU286" i="5"/>
  <c r="AV286" i="5"/>
  <c r="AV324" i="5"/>
  <c r="AU324" i="5"/>
  <c r="AV273" i="5"/>
  <c r="AU273" i="5"/>
  <c r="AV153" i="5"/>
  <c r="AU153" i="5"/>
  <c r="AV89" i="5"/>
  <c r="AU91" i="5"/>
  <c r="AV66" i="5"/>
  <c r="AU66" i="5"/>
  <c r="AU54" i="5"/>
  <c r="AV54" i="5"/>
  <c r="AU39" i="5"/>
  <c r="AV39" i="5"/>
  <c r="AU311" i="5"/>
  <c r="AV311" i="5"/>
  <c r="AU246" i="5"/>
  <c r="AV246" i="5"/>
  <c r="AU249" i="5"/>
  <c r="AV249" i="5"/>
  <c r="AV198" i="5"/>
  <c r="AV102" i="5"/>
  <c r="AU102" i="5"/>
  <c r="AU62" i="5"/>
  <c r="AV62" i="5"/>
  <c r="AU43" i="5"/>
  <c r="AV43" i="5"/>
  <c r="AV24" i="5"/>
  <c r="AU24" i="5"/>
  <c r="AV42" i="5"/>
  <c r="AU42" i="5"/>
  <c r="AV29" i="5"/>
  <c r="AU29" i="5"/>
  <c r="AZ25" i="5"/>
  <c r="AZ42" i="5"/>
  <c r="AZ58" i="5"/>
  <c r="AZ62" i="5"/>
  <c r="AZ96" i="5"/>
  <c r="AZ129" i="5"/>
  <c r="AZ128" i="5"/>
  <c r="AZ142" i="5"/>
  <c r="AZ153" i="5"/>
  <c r="AZ162" i="5"/>
  <c r="AZ205" i="5"/>
  <c r="AZ204" i="5"/>
  <c r="AZ186" i="5"/>
  <c r="AZ259" i="5"/>
  <c r="AZ307" i="5"/>
  <c r="AZ294" i="5"/>
  <c r="AZ257" i="5"/>
  <c r="AZ320" i="5"/>
  <c r="AZ358" i="5"/>
  <c r="AZ335" i="5"/>
  <c r="AZ383" i="5"/>
  <c r="AZ410" i="5"/>
  <c r="AZ428" i="5"/>
  <c r="AZ440" i="5"/>
  <c r="AZ277" i="5"/>
  <c r="AZ345" i="5"/>
  <c r="AZ361" i="5"/>
  <c r="AZ375" i="5"/>
  <c r="AZ386" i="5"/>
  <c r="AZ399" i="5"/>
  <c r="AZ417" i="5"/>
  <c r="AZ245" i="5"/>
  <c r="AZ280" i="5"/>
  <c r="AZ333" i="5"/>
  <c r="AZ342" i="5"/>
  <c r="AZ364" i="5"/>
  <c r="AZ378" i="5"/>
  <c r="AZ398" i="5"/>
  <c r="AZ416" i="5"/>
  <c r="AZ368" i="5"/>
  <c r="AZ452" i="5"/>
  <c r="AZ460" i="5"/>
  <c r="AZ478" i="5"/>
  <c r="AZ504" i="5"/>
  <c r="AZ531" i="5"/>
  <c r="AZ382" i="5"/>
  <c r="AZ403" i="5"/>
  <c r="AZ429" i="5"/>
  <c r="AZ461" i="5"/>
  <c r="AZ468" i="5"/>
  <c r="AZ480" i="5"/>
  <c r="AZ507" i="5"/>
  <c r="AZ516" i="5"/>
  <c r="AZ353" i="5"/>
  <c r="AZ405" i="5"/>
  <c r="AZ441" i="5"/>
  <c r="AZ453" i="5"/>
  <c r="AZ466" i="5"/>
  <c r="AZ479" i="5"/>
  <c r="AZ488" i="5"/>
  <c r="AZ494" i="5"/>
  <c r="AZ502" i="5"/>
  <c r="AZ509" i="5"/>
  <c r="AZ522" i="5"/>
  <c r="AZ545" i="5"/>
  <c r="AZ229" i="5"/>
  <c r="AZ425" i="5"/>
  <c r="AZ513" i="5"/>
  <c r="AZ529" i="5"/>
  <c r="AZ548" i="5"/>
  <c r="AZ558" i="5"/>
  <c r="AZ448" i="5"/>
  <c r="AZ544" i="5"/>
  <c r="AZ407" i="5"/>
  <c r="AZ501" i="5"/>
  <c r="AZ541" i="5"/>
  <c r="AZ559" i="5"/>
  <c r="AZ464" i="5"/>
  <c r="AZ19" i="5"/>
  <c r="AZ37" i="5"/>
  <c r="AZ67" i="5"/>
  <c r="AZ57" i="5"/>
  <c r="AZ77" i="5"/>
  <c r="AZ102" i="5"/>
  <c r="AZ151" i="5"/>
  <c r="AZ146" i="5"/>
  <c r="AZ104" i="5"/>
  <c r="AZ170" i="5"/>
  <c r="AZ187" i="5"/>
  <c r="AZ216" i="5"/>
  <c r="AZ217" i="5"/>
  <c r="AZ215" i="5"/>
  <c r="AZ271" i="5"/>
  <c r="AZ327" i="5"/>
  <c r="AZ321" i="5"/>
  <c r="AZ275" i="5"/>
  <c r="AZ330" i="5"/>
  <c r="AZ224" i="5"/>
  <c r="AZ360" i="5"/>
  <c r="AZ385" i="5"/>
  <c r="AZ414" i="5"/>
  <c r="AZ431" i="5"/>
  <c r="AZ250" i="5"/>
  <c r="AZ293" i="5"/>
  <c r="AZ350" i="5"/>
  <c r="AZ363" i="5"/>
  <c r="AZ377" i="5"/>
  <c r="AZ389" i="5"/>
  <c r="AZ402" i="5"/>
  <c r="AZ418" i="5"/>
  <c r="AZ254" i="5"/>
  <c r="AZ286" i="5"/>
  <c r="AZ336" i="5"/>
  <c r="AZ348" i="5"/>
  <c r="AZ366" i="5"/>
  <c r="AZ379" i="5"/>
  <c r="AZ400" i="5"/>
  <c r="AZ311" i="5"/>
  <c r="AZ401" i="5"/>
  <c r="AZ457" i="5"/>
  <c r="AZ471" i="5"/>
  <c r="AZ490" i="5"/>
  <c r="AZ515" i="5"/>
  <c r="AZ532" i="5"/>
  <c r="AZ391" i="5"/>
  <c r="AZ412" i="5"/>
  <c r="AZ439" i="5"/>
  <c r="AZ462" i="5"/>
  <c r="AZ470" i="5"/>
  <c r="AZ484" i="5"/>
  <c r="AZ511" i="5"/>
  <c r="AZ519" i="5"/>
  <c r="AZ381" i="5"/>
  <c r="AZ430" i="5"/>
  <c r="AZ443" i="5"/>
  <c r="AZ454" i="5"/>
  <c r="AZ469" i="5"/>
  <c r="AZ482" i="5"/>
  <c r="AZ489" i="5"/>
  <c r="AZ495" i="5"/>
  <c r="AZ503" i="5"/>
  <c r="AZ510" i="5"/>
  <c r="AZ523" i="5"/>
  <c r="AZ554" i="5"/>
  <c r="AZ297" i="5"/>
  <c r="AZ449" i="5"/>
  <c r="AZ517" i="5"/>
  <c r="AZ534" i="5"/>
  <c r="AZ553" i="5"/>
  <c r="AZ433" i="5"/>
  <c r="AZ524" i="5"/>
  <c r="AZ549" i="5"/>
  <c r="AZ424" i="5"/>
  <c r="AZ528" i="5"/>
  <c r="AZ542" i="5"/>
  <c r="AZ372" i="5"/>
  <c r="AZ483" i="5"/>
  <c r="AZ33" i="5"/>
  <c r="AZ28" i="5"/>
  <c r="AZ49" i="5"/>
  <c r="AZ93" i="5"/>
  <c r="AZ87" i="5"/>
  <c r="AZ106" i="5"/>
  <c r="AZ155" i="5"/>
  <c r="AZ167" i="5"/>
  <c r="AZ185" i="5"/>
  <c r="AZ203" i="5"/>
  <c r="AZ233" i="5"/>
  <c r="AZ228" i="5"/>
  <c r="AZ239" i="5"/>
  <c r="AZ281" i="5"/>
  <c r="AZ253" i="5"/>
  <c r="AZ192" i="5"/>
  <c r="AZ301" i="5"/>
  <c r="AZ343" i="5"/>
  <c r="AZ258" i="5"/>
  <c r="AZ367" i="5"/>
  <c r="AZ404" i="5"/>
  <c r="AZ420" i="5"/>
  <c r="AZ435" i="5"/>
  <c r="AZ252" i="5"/>
  <c r="AZ304" i="5"/>
  <c r="AZ356" i="5"/>
  <c r="AZ365" i="5"/>
  <c r="AZ380" i="5"/>
  <c r="AZ390" i="5"/>
  <c r="AZ408" i="5"/>
  <c r="AZ419" i="5"/>
  <c r="AZ267" i="5"/>
  <c r="AZ289" i="5"/>
  <c r="AZ340" i="5"/>
  <c r="AZ349" i="5"/>
  <c r="AZ371" i="5"/>
  <c r="AZ388" i="5"/>
  <c r="AZ406" i="5"/>
  <c r="AZ354" i="5"/>
  <c r="AZ422" i="5"/>
  <c r="AZ458" i="5"/>
  <c r="AZ472" i="5"/>
  <c r="AZ496" i="5"/>
  <c r="AZ525" i="5"/>
  <c r="AZ270" i="5"/>
  <c r="AZ394" i="5"/>
  <c r="AZ426" i="5"/>
  <c r="AZ446" i="5"/>
  <c r="AZ465" i="5"/>
  <c r="AZ474" i="5"/>
  <c r="AZ498" i="5"/>
  <c r="AZ512" i="5"/>
  <c r="AZ308" i="5"/>
  <c r="AZ387" i="5"/>
  <c r="AZ432" i="5"/>
  <c r="AZ444" i="5"/>
  <c r="AZ455" i="5"/>
  <c r="AZ473" i="5"/>
  <c r="AZ486" i="5"/>
  <c r="AZ492" i="5"/>
  <c r="AZ499" i="5"/>
  <c r="AZ505" i="5"/>
  <c r="AZ518" i="5"/>
  <c r="AZ530" i="5"/>
  <c r="AZ555" i="5"/>
  <c r="AZ328" i="5"/>
  <c r="AZ456" i="5"/>
  <c r="AZ521" i="5"/>
  <c r="AZ536" i="5"/>
  <c r="AZ557" i="5"/>
  <c r="AZ437" i="5"/>
  <c r="AZ538" i="5"/>
  <c r="AZ550" i="5"/>
  <c r="AZ481" i="5"/>
  <c r="AZ533" i="5"/>
  <c r="AZ547" i="5"/>
  <c r="AZ438" i="5"/>
  <c r="AZ537" i="5"/>
  <c r="AZ36" i="5"/>
  <c r="AZ46" i="5"/>
  <c r="AZ63" i="5"/>
  <c r="AZ79" i="5"/>
  <c r="AZ90" i="5"/>
  <c r="AZ99" i="5"/>
  <c r="AZ120" i="5"/>
  <c r="AZ124" i="5"/>
  <c r="AZ181" i="5"/>
  <c r="AZ143" i="5"/>
  <c r="AZ165" i="5"/>
  <c r="AZ182" i="5"/>
  <c r="AZ244" i="5"/>
  <c r="AZ193" i="5"/>
  <c r="AZ291" i="5"/>
  <c r="AZ272" i="5"/>
  <c r="AZ248" i="5"/>
  <c r="AZ310" i="5"/>
  <c r="AZ357" i="5"/>
  <c r="AZ319" i="5"/>
  <c r="AZ376" i="5"/>
  <c r="AZ409" i="5"/>
  <c r="AZ423" i="5"/>
  <c r="AZ436" i="5"/>
  <c r="AZ260" i="5"/>
  <c r="AZ334" i="5"/>
  <c r="AZ359" i="5"/>
  <c r="AZ370" i="5"/>
  <c r="AZ384" i="5"/>
  <c r="AZ392" i="5"/>
  <c r="AZ413" i="5"/>
  <c r="AZ209" i="5"/>
  <c r="AZ273" i="5"/>
  <c r="AZ292" i="5"/>
  <c r="AZ341" i="5"/>
  <c r="AZ355" i="5"/>
  <c r="AZ374" i="5"/>
  <c r="AZ395" i="5"/>
  <c r="AZ415" i="5"/>
  <c r="AZ362" i="5"/>
  <c r="AZ442" i="5"/>
  <c r="AZ459" i="5"/>
  <c r="AZ475" i="5"/>
  <c r="AZ497" i="5"/>
  <c r="AZ526" i="5"/>
  <c r="AZ325" i="5"/>
  <c r="AZ397" i="5"/>
  <c r="AZ427" i="5"/>
  <c r="AZ447" i="5"/>
  <c r="AZ467" i="5"/>
  <c r="AZ477" i="5"/>
  <c r="AZ506" i="5"/>
  <c r="AZ514" i="5"/>
  <c r="AZ347" i="5"/>
  <c r="AZ396" i="5"/>
  <c r="AZ434" i="5"/>
  <c r="AZ451" i="5"/>
  <c r="AZ463" i="5"/>
  <c r="AZ476" i="5"/>
  <c r="AZ487" i="5"/>
  <c r="AZ493" i="5"/>
  <c r="AZ500" i="5"/>
  <c r="AZ508" i="5"/>
  <c r="AZ520" i="5"/>
  <c r="AZ539" i="5"/>
  <c r="AZ556" i="5"/>
  <c r="AZ421" i="5"/>
  <c r="AZ485" i="5"/>
  <c r="AZ527" i="5"/>
  <c r="AZ540" i="5"/>
  <c r="AZ560" i="5"/>
  <c r="AZ445" i="5"/>
  <c r="AZ543" i="5"/>
  <c r="AZ551" i="5"/>
  <c r="AZ491" i="5"/>
  <c r="AZ535" i="5"/>
  <c r="AZ552" i="5"/>
  <c r="AZ450" i="5"/>
  <c r="AZ546" i="5"/>
  <c r="AW26" i="5"/>
  <c r="AW48" i="5"/>
  <c r="AW33" i="5"/>
  <c r="AW46" i="5"/>
  <c r="AW32" i="5"/>
  <c r="AW45" i="5"/>
  <c r="AW34" i="5"/>
  <c r="AW59" i="5"/>
  <c r="AW36" i="5"/>
  <c r="AW54" i="5"/>
  <c r="AW65" i="5"/>
  <c r="AW40" i="5"/>
  <c r="AW58" i="5"/>
  <c r="AW83" i="5"/>
  <c r="AW70" i="5"/>
  <c r="AW81" i="5"/>
  <c r="AW99" i="5"/>
  <c r="AW84" i="5"/>
  <c r="AW95" i="5"/>
  <c r="AW107" i="5"/>
  <c r="AW111" i="5"/>
  <c r="AW120" i="5"/>
  <c r="AW135" i="5"/>
  <c r="AW152" i="5"/>
  <c r="AW115" i="5"/>
  <c r="AW130" i="5"/>
  <c r="AW141" i="5"/>
  <c r="AW157" i="5"/>
  <c r="AW102" i="5"/>
  <c r="AW114" i="5"/>
  <c r="AW131" i="5"/>
  <c r="AW147" i="5"/>
  <c r="AW155" i="5"/>
  <c r="AW164" i="5"/>
  <c r="AW176" i="5"/>
  <c r="AW156" i="5"/>
  <c r="AW183" i="5"/>
  <c r="AW170" i="5"/>
  <c r="AW188" i="5"/>
  <c r="AW205" i="5"/>
  <c r="AW148" i="5"/>
  <c r="AW195" i="5"/>
  <c r="AW214" i="5"/>
  <c r="AW226" i="5"/>
  <c r="AW240" i="5"/>
  <c r="AW197" i="5"/>
  <c r="AW231" i="5"/>
  <c r="AW169" i="5"/>
  <c r="AW187" i="5"/>
  <c r="AW198" i="5"/>
  <c r="AW216" i="5"/>
  <c r="AW224" i="5"/>
  <c r="AW241" i="5"/>
  <c r="AW233" i="5"/>
  <c r="AW253" i="5"/>
  <c r="AW272" i="5"/>
  <c r="AW294" i="5"/>
  <c r="AW310" i="5"/>
  <c r="AW329" i="5"/>
  <c r="AW225" i="5"/>
  <c r="AW251" i="5"/>
  <c r="AW263" i="5"/>
  <c r="AW280" i="5"/>
  <c r="AW295" i="5"/>
  <c r="AW312" i="5"/>
  <c r="AW322" i="5"/>
  <c r="AW213" i="5"/>
  <c r="AW252" i="5"/>
  <c r="AW270" i="5"/>
  <c r="AW282" i="5"/>
  <c r="AW297" i="5"/>
  <c r="AW311" i="5"/>
  <c r="AW328" i="5"/>
  <c r="AW347" i="5"/>
  <c r="AW246" i="5"/>
  <c r="AW313" i="5"/>
  <c r="AW345" i="5"/>
  <c r="AW357" i="5"/>
  <c r="AW370" i="5"/>
  <c r="AW380" i="5"/>
  <c r="AW392" i="5"/>
  <c r="AW413" i="5"/>
  <c r="AW427" i="5"/>
  <c r="AW271" i="5"/>
  <c r="AW341" i="5"/>
  <c r="O13" i="5"/>
  <c r="AJ13" i="5" s="1"/>
  <c r="AW22" i="5"/>
  <c r="AW31" i="5"/>
  <c r="AW20" i="5"/>
  <c r="AW38" i="5"/>
  <c r="AW21" i="5"/>
  <c r="AW35" i="5"/>
  <c r="AW52" i="5"/>
  <c r="AW51" i="5"/>
  <c r="AW61" i="5"/>
  <c r="AW47" i="5"/>
  <c r="AW56" i="5"/>
  <c r="AW71" i="5"/>
  <c r="AW60" i="5"/>
  <c r="AW68" i="5"/>
  <c r="AW88" i="5"/>
  <c r="AW72" i="5"/>
  <c r="AW85" i="5"/>
  <c r="AW101" i="5"/>
  <c r="AW89" i="5"/>
  <c r="AW96" i="5"/>
  <c r="AW97" i="5"/>
  <c r="AW112" i="5"/>
  <c r="AW125" i="5"/>
  <c r="AW138" i="5"/>
  <c r="AW158" i="5"/>
  <c r="AW116" i="5"/>
  <c r="AW132" i="5"/>
  <c r="AW143" i="5"/>
  <c r="AW64" i="5"/>
  <c r="AW105" i="5"/>
  <c r="AW121" i="5"/>
  <c r="AW133" i="5"/>
  <c r="AW150" i="5"/>
  <c r="AW113" i="5"/>
  <c r="AW166" i="5"/>
  <c r="AW180" i="5"/>
  <c r="AW173" i="5"/>
  <c r="AW119" i="5"/>
  <c r="AW171" i="5"/>
  <c r="AW191" i="5"/>
  <c r="AW207" i="5"/>
  <c r="AW160" i="5"/>
  <c r="AW203" i="5"/>
  <c r="AW217" i="5"/>
  <c r="AW228" i="5"/>
  <c r="AW242" i="5"/>
  <c r="AW199" i="5"/>
  <c r="AW234" i="5"/>
  <c r="AW172" i="5"/>
  <c r="AW189" i="5"/>
  <c r="AW201" i="5"/>
  <c r="AW218" i="5"/>
  <c r="AW227" i="5"/>
  <c r="AW163" i="5"/>
  <c r="AW236" i="5"/>
  <c r="AW256" i="5"/>
  <c r="AW278" i="5"/>
  <c r="AW298" i="5"/>
  <c r="AW317" i="5"/>
  <c r="AW330" i="5"/>
  <c r="AW230" i="5"/>
  <c r="AW254" i="5"/>
  <c r="AW265" i="5"/>
  <c r="AW283" i="5"/>
  <c r="AW301" i="5"/>
  <c r="AW314" i="5"/>
  <c r="AW324" i="5"/>
  <c r="AW221" i="5"/>
  <c r="AW258" i="5"/>
  <c r="AW273" i="5"/>
  <c r="AW286" i="5"/>
  <c r="AW299" i="5"/>
  <c r="AW316" i="5"/>
  <c r="AW333" i="5"/>
  <c r="AW353" i="5"/>
  <c r="AW281" i="5"/>
  <c r="AW327" i="5"/>
  <c r="AW346" i="5"/>
  <c r="AW359" i="5"/>
  <c r="AW371" i="5"/>
  <c r="AW384" i="5"/>
  <c r="AW399" i="5"/>
  <c r="AW416" i="5"/>
  <c r="AW8" i="5"/>
  <c r="AW23" i="5"/>
  <c r="AW37" i="5"/>
  <c r="AW29" i="5"/>
  <c r="AW41" i="5"/>
  <c r="AW24" i="5"/>
  <c r="AW39" i="5"/>
  <c r="AW63" i="5"/>
  <c r="AW53" i="5"/>
  <c r="AW66" i="5"/>
  <c r="AW49" i="5"/>
  <c r="AW57" i="5"/>
  <c r="AW75" i="5"/>
  <c r="AW76" i="5"/>
  <c r="AW73" i="5"/>
  <c r="AW91" i="5"/>
  <c r="AW82" i="5"/>
  <c r="AW93" i="5"/>
  <c r="AW104" i="5"/>
  <c r="AW90" i="5"/>
  <c r="AW98" i="5"/>
  <c r="AW103" i="5"/>
  <c r="AW117" i="5"/>
  <c r="AW126" i="5"/>
  <c r="AW146" i="5"/>
  <c r="AW161" i="5"/>
  <c r="AW122" i="5"/>
  <c r="AW134" i="5"/>
  <c r="AW145" i="5"/>
  <c r="AW80" i="5"/>
  <c r="AW108" i="5"/>
  <c r="AW123" i="5"/>
  <c r="AW140" i="5"/>
  <c r="AW151" i="5"/>
  <c r="AW139" i="5"/>
  <c r="AW168" i="5"/>
  <c r="AW185" i="5"/>
  <c r="AW178" i="5"/>
  <c r="AW137" i="5"/>
  <c r="AW182" i="5"/>
  <c r="AW196" i="5"/>
  <c r="AW124" i="5"/>
  <c r="AW162" i="5"/>
  <c r="AW204" i="5"/>
  <c r="AW219" i="5"/>
  <c r="AW235" i="5"/>
  <c r="AW244" i="5"/>
  <c r="AW202" i="5"/>
  <c r="AW237" i="5"/>
  <c r="AW175" i="5"/>
  <c r="AW192" i="5"/>
  <c r="AW206" i="5"/>
  <c r="AW220" i="5"/>
  <c r="AW229" i="5"/>
  <c r="AW208" i="5"/>
  <c r="AW243" i="5"/>
  <c r="AW262" i="5"/>
  <c r="AW284" i="5"/>
  <c r="AW302" i="5"/>
  <c r="AW321" i="5"/>
  <c r="AW331" i="5"/>
  <c r="AW248" i="5"/>
  <c r="AW255" i="5"/>
  <c r="AW268" i="5"/>
  <c r="AW287" i="5"/>
  <c r="AW306" i="5"/>
  <c r="AW315" i="5"/>
  <c r="AW332" i="5"/>
  <c r="AW245" i="5"/>
  <c r="AW260" i="5"/>
  <c r="AW276" i="5"/>
  <c r="AW289" i="5"/>
  <c r="AW304" i="5"/>
  <c r="AW319" i="5"/>
  <c r="AW334" i="5"/>
  <c r="AW355" i="5"/>
  <c r="AW296" i="5"/>
  <c r="AW337" i="5"/>
  <c r="AW350" i="5"/>
  <c r="AW363" i="5"/>
  <c r="AW377" i="5"/>
  <c r="AW389" i="5"/>
  <c r="AW408" i="5"/>
  <c r="AW419" i="5"/>
  <c r="AW434" i="5"/>
  <c r="AW25" i="5"/>
  <c r="AW43" i="5"/>
  <c r="AW30" i="5"/>
  <c r="AW44" i="5"/>
  <c r="AW28" i="5"/>
  <c r="AW42" i="5"/>
  <c r="AW69" i="5"/>
  <c r="AW55" i="5"/>
  <c r="AW27" i="5"/>
  <c r="AW50" i="5"/>
  <c r="AW62" i="5"/>
  <c r="AW79" i="5"/>
  <c r="AW77" i="5"/>
  <c r="AW74" i="5"/>
  <c r="AW67" i="5"/>
  <c r="AW78" i="5"/>
  <c r="AW94" i="5"/>
  <c r="AW109" i="5"/>
  <c r="AW92" i="5"/>
  <c r="AW100" i="5"/>
  <c r="AW106" i="5"/>
  <c r="AW118" i="5"/>
  <c r="AW128" i="5"/>
  <c r="AW149" i="5"/>
  <c r="AW87" i="5"/>
  <c r="AW127" i="5"/>
  <c r="AW136" i="5"/>
  <c r="AW153" i="5"/>
  <c r="AW86" i="5"/>
  <c r="AW110" i="5"/>
  <c r="AW129" i="5"/>
  <c r="AW144" i="5"/>
  <c r="AW154" i="5"/>
  <c r="AW159" i="5"/>
  <c r="AW174" i="5"/>
  <c r="AW186" i="5"/>
  <c r="AW179" i="5"/>
  <c r="AW165" i="5"/>
  <c r="AW184" i="5"/>
  <c r="AW200" i="5"/>
  <c r="AW142" i="5"/>
  <c r="AW194" i="5"/>
  <c r="AW210" i="5"/>
  <c r="AW222" i="5"/>
  <c r="AW238" i="5"/>
  <c r="AW167" i="5"/>
  <c r="AW215" i="5"/>
  <c r="AW239" i="5"/>
  <c r="AW181" i="5"/>
  <c r="AW193" i="5"/>
  <c r="AW209" i="5"/>
  <c r="AW223" i="5"/>
  <c r="AW232" i="5"/>
  <c r="AW211" i="5"/>
  <c r="AW247" i="5"/>
  <c r="AW269" i="5"/>
  <c r="AW290" i="5"/>
  <c r="AW305" i="5"/>
  <c r="AW326" i="5"/>
  <c r="AW177" i="5"/>
  <c r="AW249" i="5"/>
  <c r="AW257" i="5"/>
  <c r="AW275" i="5"/>
  <c r="AW293" i="5"/>
  <c r="AW309" i="5"/>
  <c r="AW320" i="5"/>
  <c r="AW190" i="5"/>
  <c r="AW250" i="5"/>
  <c r="AW267" i="5"/>
  <c r="AW277" i="5"/>
  <c r="AW292" i="5"/>
  <c r="AW308" i="5"/>
  <c r="AW325" i="5"/>
  <c r="AW340" i="5"/>
  <c r="AW212" i="5"/>
  <c r="AW307" i="5"/>
  <c r="AW344" i="5"/>
  <c r="AW356" i="5"/>
  <c r="AW365" i="5"/>
  <c r="AW379" i="5"/>
  <c r="AW390" i="5"/>
  <c r="AW412" i="5"/>
  <c r="AW426" i="5"/>
  <c r="AW318" i="5"/>
  <c r="AW349" i="5"/>
  <c r="AW366" i="5"/>
  <c r="AW394" i="5"/>
  <c r="AW406" i="5"/>
  <c r="AW264" i="5"/>
  <c r="AW343" i="5"/>
  <c r="AW376" i="5"/>
  <c r="AW387" i="5"/>
  <c r="AW401" i="5"/>
  <c r="AW409" i="5"/>
  <c r="AW385" i="5"/>
  <c r="AW440" i="5"/>
  <c r="AW461" i="5"/>
  <c r="AW476" i="5"/>
  <c r="AW482" i="5"/>
  <c r="AW500" i="5"/>
  <c r="AW512" i="5"/>
  <c r="AW288" i="5"/>
  <c r="AW418" i="5"/>
  <c r="AW441" i="5"/>
  <c r="AW451" i="5"/>
  <c r="AW466" i="5"/>
  <c r="AW487" i="5"/>
  <c r="AW494" i="5"/>
  <c r="AW508" i="5"/>
  <c r="AW518" i="5"/>
  <c r="AW335" i="5"/>
  <c r="AW393" i="5"/>
  <c r="AW417" i="5"/>
  <c r="AW425" i="5"/>
  <c r="AW442" i="5"/>
  <c r="AW458" i="5"/>
  <c r="AW483" i="5"/>
  <c r="AW496" i="5"/>
  <c r="AW527" i="5"/>
  <c r="AW538" i="5"/>
  <c r="AW547" i="5"/>
  <c r="AW279" i="5"/>
  <c r="AW423" i="5"/>
  <c r="AW532" i="5"/>
  <c r="AW556" i="5"/>
  <c r="AW516" i="5"/>
  <c r="AW535" i="5"/>
  <c r="AW551" i="5"/>
  <c r="AW383" i="5"/>
  <c r="AW475" i="5"/>
  <c r="AW504" i="5"/>
  <c r="AW555" i="5"/>
  <c r="AW497" i="5"/>
  <c r="AW543" i="5"/>
  <c r="AW432" i="5"/>
  <c r="AW336" i="5"/>
  <c r="AW354" i="5"/>
  <c r="AW374" i="5"/>
  <c r="AW395" i="5"/>
  <c r="AW415" i="5"/>
  <c r="AW300" i="5"/>
  <c r="AW362" i="5"/>
  <c r="AW381" i="5"/>
  <c r="AW391" i="5"/>
  <c r="AW403" i="5"/>
  <c r="AW410" i="5"/>
  <c r="AW428" i="5"/>
  <c r="AW444" i="5"/>
  <c r="AW465" i="5"/>
  <c r="AW477" i="5"/>
  <c r="AW484" i="5"/>
  <c r="AW505" i="5"/>
  <c r="AW519" i="5"/>
  <c r="AW361" i="5"/>
  <c r="AW431" i="5"/>
  <c r="AW443" i="5"/>
  <c r="AW454" i="5"/>
  <c r="AW469" i="5"/>
  <c r="AW488" i="5"/>
  <c r="AW499" i="5"/>
  <c r="AW509" i="5"/>
  <c r="AW520" i="5"/>
  <c r="AW339" i="5"/>
  <c r="AW402" i="5"/>
  <c r="AW421" i="5"/>
  <c r="AW433" i="5"/>
  <c r="AW445" i="5"/>
  <c r="AW460" i="5"/>
  <c r="AW485" i="5"/>
  <c r="AW501" i="5"/>
  <c r="AW533" i="5"/>
  <c r="AW540" i="5"/>
  <c r="AW552" i="5"/>
  <c r="AW285" i="5"/>
  <c r="AW452" i="5"/>
  <c r="AW549" i="5"/>
  <c r="AW369" i="5"/>
  <c r="AW522" i="5"/>
  <c r="AW539" i="5"/>
  <c r="AW554" i="5"/>
  <c r="AW447" i="5"/>
  <c r="AW478" i="5"/>
  <c r="AW515" i="5"/>
  <c r="AW557" i="5"/>
  <c r="AW507" i="5"/>
  <c r="AW545" i="5"/>
  <c r="AW439" i="5"/>
  <c r="AW342" i="5"/>
  <c r="AW358" i="5"/>
  <c r="AW378" i="5"/>
  <c r="AW398" i="5"/>
  <c r="AW420" i="5"/>
  <c r="AW303" i="5"/>
  <c r="AW368" i="5"/>
  <c r="AW382" i="5"/>
  <c r="AW396" i="5"/>
  <c r="AW405" i="5"/>
  <c r="AW338" i="5"/>
  <c r="AW429" i="5"/>
  <c r="AW446" i="5"/>
  <c r="AW467" i="5"/>
  <c r="AW479" i="5"/>
  <c r="AW492" i="5"/>
  <c r="AW506" i="5"/>
  <c r="AW523" i="5"/>
  <c r="AW367" i="5"/>
  <c r="AW436" i="5"/>
  <c r="AW449" i="5"/>
  <c r="AW455" i="5"/>
  <c r="AW473" i="5"/>
  <c r="AW489" i="5"/>
  <c r="AW502" i="5"/>
  <c r="AW510" i="5"/>
  <c r="AW521" i="5"/>
  <c r="AW351" i="5"/>
  <c r="AW411" i="5"/>
  <c r="AW422" i="5"/>
  <c r="AW435" i="5"/>
  <c r="AW448" i="5"/>
  <c r="AW464" i="5"/>
  <c r="AW490" i="5"/>
  <c r="AW517" i="5"/>
  <c r="AW534" i="5"/>
  <c r="AW542" i="5"/>
  <c r="AW558" i="5"/>
  <c r="AW291" i="5"/>
  <c r="AW459" i="5"/>
  <c r="AW550" i="5"/>
  <c r="AW462" i="5"/>
  <c r="AW528" i="5"/>
  <c r="AW541" i="5"/>
  <c r="AW548" i="5"/>
  <c r="AW457" i="5"/>
  <c r="AW486" i="5"/>
  <c r="AW525" i="5"/>
  <c r="AW360" i="5"/>
  <c r="AW514" i="5"/>
  <c r="AW553" i="5"/>
  <c r="AW388" i="5"/>
  <c r="AW372" i="5"/>
  <c r="AW352" i="5"/>
  <c r="AW480" i="5"/>
  <c r="AW373" i="5"/>
  <c r="AW481" i="5"/>
  <c r="AW266" i="5"/>
  <c r="AW437" i="5"/>
  <c r="AW526" i="5"/>
  <c r="AW404" i="5"/>
  <c r="AW530" i="5"/>
  <c r="AW498" i="5"/>
  <c r="AW19" i="5"/>
  <c r="AW274" i="5"/>
  <c r="AW400" i="5"/>
  <c r="AW386" i="5"/>
  <c r="AW430" i="5"/>
  <c r="AW495" i="5"/>
  <c r="AW438" i="5"/>
  <c r="AW493" i="5"/>
  <c r="AW375" i="5"/>
  <c r="AW456" i="5"/>
  <c r="AW536" i="5"/>
  <c r="AW524" i="5"/>
  <c r="AW546" i="5"/>
  <c r="AW531" i="5"/>
  <c r="AW348" i="5"/>
  <c r="AW259" i="5"/>
  <c r="AW397" i="5"/>
  <c r="AW453" i="5"/>
  <c r="AW511" i="5"/>
  <c r="AW450" i="5"/>
  <c r="AW503" i="5"/>
  <c r="AW414" i="5"/>
  <c r="AW472" i="5"/>
  <c r="AW544" i="5"/>
  <c r="AW559" i="5"/>
  <c r="AW560" i="5"/>
  <c r="AW474" i="5"/>
  <c r="AW470" i="5"/>
  <c r="AW424" i="5"/>
  <c r="AW471" i="5"/>
  <c r="AW364" i="5"/>
  <c r="AW537" i="5"/>
  <c r="AW491" i="5"/>
  <c r="AW529" i="5"/>
  <c r="AW323" i="5"/>
  <c r="AW463" i="5"/>
  <c r="AW261" i="5"/>
  <c r="AW407" i="5"/>
  <c r="AW513" i="5"/>
  <c r="AW468" i="5"/>
  <c r="V162" i="5"/>
  <c r="V508" i="5"/>
  <c r="V56" i="5"/>
  <c r="U374" i="5"/>
  <c r="V235" i="5"/>
  <c r="V372" i="5"/>
  <c r="V475" i="5"/>
  <c r="U553" i="5"/>
  <c r="V384" i="5"/>
  <c r="U181" i="5"/>
  <c r="V7" i="5"/>
  <c r="U7" i="5"/>
  <c r="BA240" i="5"/>
  <c r="BB240" i="5"/>
  <c r="BB309" i="5"/>
  <c r="BA309" i="5"/>
  <c r="BA242" i="5"/>
  <c r="BA134" i="5"/>
  <c r="BB134" i="5"/>
  <c r="BA89" i="5"/>
  <c r="BB284" i="5"/>
  <c r="BA125" i="5"/>
  <c r="U488" i="5"/>
  <c r="V488" i="5"/>
  <c r="U497" i="5"/>
  <c r="V497" i="5"/>
  <c r="V523" i="5"/>
  <c r="U523" i="5"/>
  <c r="U510" i="5"/>
  <c r="V510" i="5"/>
  <c r="V529" i="5"/>
  <c r="U529" i="5"/>
  <c r="V471" i="5"/>
  <c r="U471" i="5"/>
  <c r="V338" i="5"/>
  <c r="U338" i="5"/>
  <c r="V441" i="5"/>
  <c r="U441" i="5"/>
  <c r="U256" i="5"/>
  <c r="U145" i="5"/>
  <c r="V145" i="5"/>
  <c r="U49" i="5"/>
  <c r="V49" i="5"/>
  <c r="U253" i="5"/>
  <c r="V253" i="5"/>
  <c r="U120" i="5"/>
  <c r="V120" i="5"/>
  <c r="U48" i="5"/>
  <c r="V48" i="5"/>
  <c r="U465" i="5"/>
  <c r="V465" i="5"/>
  <c r="V369" i="5"/>
  <c r="U369" i="5"/>
  <c r="V266" i="5"/>
  <c r="U266" i="5"/>
  <c r="U128" i="5"/>
  <c r="V128" i="5"/>
  <c r="U504" i="5"/>
  <c r="V504" i="5"/>
  <c r="U399" i="5"/>
  <c r="V399" i="5"/>
  <c r="U335" i="5"/>
  <c r="U135" i="5"/>
  <c r="V135" i="5"/>
  <c r="V196" i="5"/>
  <c r="U196" i="5"/>
  <c r="U138" i="5"/>
  <c r="V138" i="5"/>
  <c r="V107" i="5"/>
  <c r="U107" i="5"/>
  <c r="U8" i="5"/>
  <c r="V8" i="5"/>
  <c r="V312" i="5"/>
  <c r="U318" i="5"/>
  <c r="BB283" i="5"/>
  <c r="BA283" i="5"/>
  <c r="BA274" i="5"/>
  <c r="BA219" i="5"/>
  <c r="BB219" i="5"/>
  <c r="BB221" i="5"/>
  <c r="BA221" i="5"/>
  <c r="BB197" i="5"/>
  <c r="BA197" i="5"/>
  <c r="BA81" i="5"/>
  <c r="BB80" i="5"/>
  <c r="BA80" i="5"/>
  <c r="BB70" i="5"/>
  <c r="BA70" i="5"/>
  <c r="BB68" i="5"/>
  <c r="BB43" i="5"/>
  <c r="BA352" i="5"/>
  <c r="BB352" i="5"/>
  <c r="BB295" i="5"/>
  <c r="BB188" i="5"/>
  <c r="BA188" i="5"/>
  <c r="BB247" i="5"/>
  <c r="BA180" i="5"/>
  <c r="BA163" i="5"/>
  <c r="BB163" i="5"/>
  <c r="BB154" i="5"/>
  <c r="BA154" i="5"/>
  <c r="BB86" i="5"/>
  <c r="BA84" i="5"/>
  <c r="BB84" i="5"/>
  <c r="BA78" i="5"/>
  <c r="BB78" i="5"/>
  <c r="BA346" i="5"/>
  <c r="BB346" i="5"/>
  <c r="BA232" i="5"/>
  <c r="BB262" i="5"/>
  <c r="BA285" i="5"/>
  <c r="BB175" i="5"/>
  <c r="BA113" i="5"/>
  <c r="BB113" i="5"/>
  <c r="BB112" i="5"/>
  <c r="BA112" i="5"/>
  <c r="BA71" i="5"/>
  <c r="BB71" i="5"/>
  <c r="BB48" i="5"/>
  <c r="BA48" i="5"/>
  <c r="U419" i="5"/>
  <c r="V419" i="5"/>
  <c r="V548" i="5"/>
  <c r="U548" i="5"/>
  <c r="U543" i="5"/>
  <c r="V543" i="5"/>
  <c r="V483" i="5"/>
  <c r="U483" i="5"/>
  <c r="U227" i="5"/>
  <c r="V227" i="5"/>
  <c r="U444" i="5"/>
  <c r="V444" i="5"/>
  <c r="U460" i="5"/>
  <c r="V460" i="5"/>
  <c r="U36" i="5"/>
  <c r="V36" i="5"/>
  <c r="V436" i="5"/>
  <c r="U436" i="5"/>
  <c r="V479" i="5"/>
  <c r="U479" i="5"/>
  <c r="U527" i="5"/>
  <c r="V527" i="5"/>
  <c r="V534" i="5"/>
  <c r="U534" i="5"/>
  <c r="U489" i="5"/>
  <c r="V489" i="5"/>
  <c r="U401" i="5"/>
  <c r="V401" i="5"/>
  <c r="U474" i="5"/>
  <c r="V474" i="5"/>
  <c r="V491" i="5"/>
  <c r="U491" i="5"/>
  <c r="U365" i="5"/>
  <c r="V365" i="5"/>
  <c r="U298" i="5"/>
  <c r="V298" i="5"/>
  <c r="U208" i="5"/>
  <c r="V208" i="5"/>
  <c r="V55" i="5"/>
  <c r="U55" i="5"/>
  <c r="V558" i="5"/>
  <c r="U558" i="5"/>
  <c r="U426" i="5"/>
  <c r="V426" i="5"/>
  <c r="U346" i="5"/>
  <c r="V346" i="5"/>
  <c r="U467" i="5"/>
  <c r="V467" i="5"/>
  <c r="U358" i="5"/>
  <c r="V358" i="5"/>
  <c r="U453" i="5"/>
  <c r="U447" i="5"/>
  <c r="V447" i="5"/>
  <c r="V376" i="5"/>
  <c r="U376" i="5"/>
  <c r="V292" i="5"/>
  <c r="U292" i="5"/>
  <c r="U177" i="5"/>
  <c r="V177" i="5"/>
  <c r="U28" i="5"/>
  <c r="V28" i="5"/>
  <c r="U449" i="5"/>
  <c r="V449" i="5"/>
  <c r="U550" i="5"/>
  <c r="V550" i="5"/>
  <c r="U538" i="5"/>
  <c r="V538" i="5"/>
  <c r="U446" i="5"/>
  <c r="V446" i="5"/>
  <c r="U533" i="5"/>
  <c r="V533" i="5"/>
  <c r="U357" i="5"/>
  <c r="V357" i="5"/>
  <c r="U367" i="5"/>
  <c r="V367" i="5"/>
  <c r="U248" i="5"/>
  <c r="V248" i="5"/>
  <c r="U141" i="5"/>
  <c r="V141" i="5"/>
  <c r="U392" i="5"/>
  <c r="V392" i="5"/>
  <c r="V418" i="5"/>
  <c r="U418" i="5"/>
  <c r="U433" i="5"/>
  <c r="V433" i="5"/>
  <c r="U307" i="5"/>
  <c r="V307" i="5"/>
  <c r="U160" i="5"/>
  <c r="V160" i="5"/>
  <c r="U314" i="5"/>
  <c r="V314" i="5"/>
  <c r="U219" i="5"/>
  <c r="V219" i="5"/>
  <c r="U220" i="5"/>
  <c r="V220" i="5"/>
  <c r="U184" i="5"/>
  <c r="V184" i="5"/>
  <c r="V104" i="5"/>
  <c r="U104" i="5"/>
  <c r="U110" i="5"/>
  <c r="V110" i="5"/>
  <c r="U71" i="5"/>
  <c r="V71" i="5"/>
  <c r="U45" i="5"/>
  <c r="V45" i="5"/>
  <c r="U409" i="5"/>
  <c r="V409" i="5"/>
  <c r="U424" i="5"/>
  <c r="V424" i="5"/>
  <c r="U337" i="5"/>
  <c r="V337" i="5"/>
  <c r="V305" i="5"/>
  <c r="U305" i="5"/>
  <c r="U328" i="5"/>
  <c r="V328" i="5"/>
  <c r="U213" i="5"/>
  <c r="V213" i="5"/>
  <c r="U218" i="5"/>
  <c r="V218" i="5"/>
  <c r="U182" i="5"/>
  <c r="V182" i="5"/>
  <c r="U75" i="5"/>
  <c r="V75" i="5"/>
  <c r="U108" i="5"/>
  <c r="V108" i="5"/>
  <c r="U68" i="5"/>
  <c r="V68" i="5"/>
  <c r="U42" i="5"/>
  <c r="V42" i="5"/>
  <c r="U469" i="5"/>
  <c r="V469" i="5"/>
  <c r="V552" i="5"/>
  <c r="U552" i="5"/>
  <c r="V344" i="5"/>
  <c r="U344" i="5"/>
  <c r="V486" i="5"/>
  <c r="U486" i="5"/>
  <c r="U422" i="5"/>
  <c r="V422" i="5"/>
  <c r="V512" i="5"/>
  <c r="U512" i="5"/>
  <c r="V442" i="5"/>
  <c r="U442" i="5"/>
  <c r="V472" i="5"/>
  <c r="U472" i="5"/>
  <c r="U404" i="5"/>
  <c r="V404" i="5"/>
  <c r="V228" i="5"/>
  <c r="U228" i="5"/>
  <c r="U437" i="5"/>
  <c r="V437" i="5"/>
  <c r="U359" i="5"/>
  <c r="V359" i="5"/>
  <c r="U321" i="5"/>
  <c r="V321" i="5"/>
  <c r="U332" i="5"/>
  <c r="V332" i="5"/>
  <c r="V233" i="5"/>
  <c r="U233" i="5"/>
  <c r="V234" i="5"/>
  <c r="U234" i="5"/>
  <c r="V158" i="5"/>
  <c r="U158" i="5"/>
  <c r="V122" i="5"/>
  <c r="U122" i="5"/>
  <c r="V113" i="5"/>
  <c r="U113" i="5"/>
  <c r="U77" i="5"/>
  <c r="U40" i="5"/>
  <c r="V498" i="5"/>
  <c r="U498" i="5"/>
  <c r="V438" i="5"/>
  <c r="U438" i="5"/>
  <c r="U499" i="5"/>
  <c r="V499" i="5"/>
  <c r="U428" i="5"/>
  <c r="V428" i="5"/>
  <c r="V195" i="5"/>
  <c r="U195" i="5"/>
  <c r="V341" i="5"/>
  <c r="U341" i="5"/>
  <c r="V400" i="5"/>
  <c r="U400" i="5"/>
  <c r="U315" i="5"/>
  <c r="V315" i="5"/>
  <c r="U320" i="5"/>
  <c r="V320" i="5"/>
  <c r="V261" i="5"/>
  <c r="U261" i="5"/>
  <c r="U299" i="5"/>
  <c r="V299" i="5"/>
  <c r="U322" i="5"/>
  <c r="V322" i="5"/>
  <c r="U263" i="5"/>
  <c r="V263" i="5"/>
  <c r="V225" i="5"/>
  <c r="U225" i="5"/>
  <c r="V229" i="5"/>
  <c r="U229" i="5"/>
  <c r="V224" i="5"/>
  <c r="U224" i="5"/>
  <c r="V204" i="5"/>
  <c r="U204" i="5"/>
  <c r="V100" i="5"/>
  <c r="U100" i="5"/>
  <c r="U173" i="5"/>
  <c r="V173" i="5"/>
  <c r="V115" i="5"/>
  <c r="U115" i="5"/>
  <c r="V109" i="5"/>
  <c r="U109" i="5"/>
  <c r="V87" i="5"/>
  <c r="U87" i="5"/>
  <c r="V69" i="5"/>
  <c r="U69" i="5"/>
  <c r="V80" i="5"/>
  <c r="U80" i="5"/>
  <c r="V33" i="5"/>
  <c r="U33" i="5"/>
  <c r="V34" i="5"/>
  <c r="U34" i="5"/>
  <c r="U276" i="5"/>
  <c r="V276" i="5"/>
  <c r="U252" i="5"/>
  <c r="V252" i="5"/>
  <c r="U207" i="5"/>
  <c r="V207" i="5"/>
  <c r="U211" i="5"/>
  <c r="V211" i="5"/>
  <c r="U190" i="5"/>
  <c r="V190" i="5"/>
  <c r="V169" i="5"/>
  <c r="U169" i="5"/>
  <c r="V151" i="5"/>
  <c r="U151" i="5"/>
  <c r="U155" i="5"/>
  <c r="V155" i="5"/>
  <c r="U64" i="5"/>
  <c r="V64" i="5"/>
  <c r="BA344" i="5"/>
  <c r="BB344" i="5"/>
  <c r="BA256" i="5"/>
  <c r="BA111" i="5"/>
  <c r="BB111" i="5"/>
  <c r="BB351" i="5"/>
  <c r="BA351" i="5"/>
  <c r="BB269" i="5"/>
  <c r="BB191" i="5"/>
  <c r="BA191" i="5"/>
  <c r="BA119" i="5"/>
  <c r="BB94" i="5"/>
  <c r="BA94" i="5"/>
  <c r="BA206" i="5"/>
  <c r="BA251" i="5"/>
  <c r="BB251" i="5"/>
  <c r="BA223" i="5"/>
  <c r="BB223" i="5"/>
  <c r="BB141" i="5"/>
  <c r="BA141" i="5"/>
  <c r="BB114" i="5"/>
  <c r="BA114" i="5"/>
  <c r="U350" i="5"/>
  <c r="V350" i="5"/>
  <c r="V413" i="5"/>
  <c r="U413" i="5"/>
  <c r="U304" i="5"/>
  <c r="V304" i="5"/>
  <c r="U555" i="5"/>
  <c r="V555" i="5"/>
  <c r="V434" i="5"/>
  <c r="U434" i="5"/>
  <c r="U515" i="5"/>
  <c r="U191" i="5"/>
  <c r="V191" i="5"/>
  <c r="U395" i="5"/>
  <c r="V395" i="5"/>
  <c r="V355" i="5"/>
  <c r="U355" i="5"/>
  <c r="V206" i="5"/>
  <c r="U206" i="5"/>
  <c r="V333" i="5"/>
  <c r="V317" i="5"/>
  <c r="U317" i="5"/>
  <c r="U125" i="5"/>
  <c r="V125" i="5"/>
  <c r="V297" i="5"/>
  <c r="U297" i="5"/>
  <c r="U330" i="5"/>
  <c r="V330" i="5"/>
  <c r="V153" i="5"/>
  <c r="U153" i="5"/>
  <c r="V179" i="5"/>
  <c r="U179" i="5"/>
  <c r="U78" i="5"/>
  <c r="V78" i="5"/>
  <c r="U247" i="5"/>
  <c r="V247" i="5"/>
  <c r="V326" i="5"/>
  <c r="U326" i="5"/>
  <c r="U240" i="5"/>
  <c r="V240" i="5"/>
  <c r="V143" i="5"/>
  <c r="U143" i="5"/>
  <c r="V73" i="5"/>
  <c r="U73" i="5"/>
  <c r="U440" i="5"/>
  <c r="V440" i="5"/>
  <c r="U493" i="5"/>
  <c r="V493" i="5"/>
  <c r="V522" i="5"/>
  <c r="U522" i="5"/>
  <c r="V378" i="5"/>
  <c r="U378" i="5"/>
  <c r="V264" i="5"/>
  <c r="U264" i="5"/>
  <c r="V193" i="5"/>
  <c r="U193" i="5"/>
  <c r="V147" i="5"/>
  <c r="U147" i="5"/>
  <c r="V54" i="5"/>
  <c r="U54" i="5"/>
  <c r="V513" i="5"/>
  <c r="U513" i="5"/>
  <c r="U294" i="5"/>
  <c r="V294" i="5"/>
  <c r="U415" i="5"/>
  <c r="V415" i="5"/>
  <c r="U271" i="5"/>
  <c r="V271" i="5"/>
  <c r="V274" i="5"/>
  <c r="U274" i="5"/>
  <c r="V243" i="5"/>
  <c r="U243" i="5"/>
  <c r="U172" i="5"/>
  <c r="V172" i="5"/>
  <c r="V123" i="5"/>
  <c r="U123" i="5"/>
  <c r="U59" i="5"/>
  <c r="U44" i="5"/>
  <c r="V44" i="5"/>
  <c r="V221" i="5"/>
  <c r="U223" i="5"/>
  <c r="V223" i="5"/>
  <c r="V171" i="5"/>
  <c r="U171" i="5"/>
  <c r="V106" i="5"/>
  <c r="U106" i="5"/>
  <c r="U76" i="5"/>
  <c r="V76" i="5"/>
  <c r="U30" i="5"/>
  <c r="V30" i="5"/>
  <c r="AJ93" i="5"/>
  <c r="AJ49" i="5"/>
  <c r="AL49" i="5" s="1"/>
  <c r="AJ105" i="5"/>
  <c r="AK105" i="5" s="1"/>
  <c r="AJ75" i="5"/>
  <c r="AL75" i="5" s="1"/>
  <c r="AJ188" i="5"/>
  <c r="AK188" i="5" s="1"/>
  <c r="AJ146" i="5"/>
  <c r="AJ77" i="5"/>
  <c r="AJ169" i="5"/>
  <c r="AJ195" i="5"/>
  <c r="AL195" i="5" s="1"/>
  <c r="AJ156" i="5"/>
  <c r="AL156" i="5" s="1"/>
  <c r="AJ87" i="5"/>
  <c r="AJ24" i="5"/>
  <c r="AL24" i="5" s="1"/>
  <c r="AJ44" i="5"/>
  <c r="AK44" i="5" s="1"/>
  <c r="V201" i="5"/>
  <c r="V275" i="5"/>
  <c r="BA261" i="5"/>
  <c r="BB261" i="5"/>
  <c r="BB199" i="5"/>
  <c r="BA199" i="5"/>
  <c r="BB208" i="5"/>
  <c r="BA168" i="5"/>
  <c r="BB168" i="5"/>
  <c r="BA159" i="5"/>
  <c r="BB159" i="5"/>
  <c r="BA97" i="5"/>
  <c r="BB97" i="5"/>
  <c r="BA61" i="5"/>
  <c r="BA56" i="5"/>
  <c r="BB56" i="5"/>
  <c r="BB26" i="5"/>
  <c r="BB323" i="5"/>
  <c r="BB266" i="5"/>
  <c r="BA266" i="5"/>
  <c r="BB202" i="5"/>
  <c r="BA202" i="5"/>
  <c r="BB183" i="5"/>
  <c r="BA183" i="5"/>
  <c r="BB166" i="5"/>
  <c r="BA166" i="5"/>
  <c r="BB138" i="5"/>
  <c r="BA74" i="5"/>
  <c r="BB74" i="5"/>
  <c r="BB64" i="5"/>
  <c r="BA64" i="5"/>
  <c r="BB234" i="5"/>
  <c r="BA234" i="5"/>
  <c r="BA222" i="5"/>
  <c r="BB222" i="5"/>
  <c r="BA198" i="5"/>
  <c r="BA176" i="5"/>
  <c r="BB176" i="5"/>
  <c r="BA160" i="5"/>
  <c r="BB160" i="5"/>
  <c r="BA82" i="5"/>
  <c r="BB82" i="5"/>
  <c r="BB73" i="5"/>
  <c r="BA20" i="5"/>
  <c r="BB20" i="5"/>
  <c r="U503" i="5"/>
  <c r="V503" i="5"/>
  <c r="V525" i="5"/>
  <c r="U525" i="5"/>
  <c r="V494" i="5"/>
  <c r="U494" i="5"/>
  <c r="U74" i="5"/>
  <c r="V74" i="5"/>
  <c r="U477" i="5"/>
  <c r="V477" i="5"/>
  <c r="V547" i="5"/>
  <c r="U547" i="5"/>
  <c r="U521" i="5"/>
  <c r="V521" i="5"/>
  <c r="U327" i="5"/>
  <c r="V327" i="5"/>
  <c r="U397" i="5"/>
  <c r="V397" i="5"/>
  <c r="U450" i="5"/>
  <c r="V450" i="5"/>
  <c r="V352" i="5"/>
  <c r="U352" i="5"/>
  <c r="U360" i="5"/>
  <c r="V360" i="5"/>
  <c r="V391" i="5"/>
  <c r="U391" i="5"/>
  <c r="U323" i="5"/>
  <c r="V323" i="5"/>
  <c r="U140" i="5"/>
  <c r="V140" i="5"/>
  <c r="V27" i="5"/>
  <c r="U27" i="5"/>
  <c r="U528" i="5"/>
  <c r="V528" i="5"/>
  <c r="U541" i="5"/>
  <c r="V541" i="5"/>
  <c r="V556" i="5"/>
  <c r="U556" i="5"/>
  <c r="U452" i="5"/>
  <c r="V452" i="5"/>
  <c r="V517" i="5"/>
  <c r="U517" i="5"/>
  <c r="V370" i="5"/>
  <c r="U370" i="5"/>
  <c r="U393" i="5"/>
  <c r="V393" i="5"/>
  <c r="V265" i="5"/>
  <c r="U265" i="5"/>
  <c r="U112" i="5"/>
  <c r="V112" i="5"/>
  <c r="V551" i="5"/>
  <c r="U551" i="5"/>
  <c r="U540" i="5"/>
  <c r="V540" i="5"/>
  <c r="V416" i="5"/>
  <c r="U416" i="5"/>
  <c r="U485" i="5"/>
  <c r="V485" i="5"/>
  <c r="U507" i="5"/>
  <c r="V507" i="5"/>
  <c r="V388" i="5"/>
  <c r="U388" i="5"/>
  <c r="V343" i="5"/>
  <c r="U343" i="5"/>
  <c r="U166" i="5"/>
  <c r="V166" i="5"/>
  <c r="U25" i="5"/>
  <c r="V25" i="5"/>
  <c r="U373" i="5"/>
  <c r="V373" i="5"/>
  <c r="V389" i="5"/>
  <c r="U389" i="5"/>
  <c r="V410" i="5"/>
  <c r="U410" i="5"/>
  <c r="V309" i="5"/>
  <c r="U309" i="5"/>
  <c r="V296" i="5"/>
  <c r="U296" i="5"/>
  <c r="U278" i="5"/>
  <c r="V278" i="5"/>
  <c r="U168" i="5"/>
  <c r="V168" i="5"/>
  <c r="U202" i="5"/>
  <c r="V202" i="5"/>
  <c r="V111" i="5"/>
  <c r="U111" i="5"/>
  <c r="U129" i="5"/>
  <c r="V129" i="5"/>
  <c r="U72" i="5"/>
  <c r="V72" i="5"/>
  <c r="U65" i="5"/>
  <c r="V65" i="5"/>
  <c r="U21" i="5"/>
  <c r="V21" i="5"/>
  <c r="U385" i="5"/>
  <c r="V385" i="5"/>
  <c r="V405" i="5"/>
  <c r="U405" i="5"/>
  <c r="U286" i="5"/>
  <c r="V286" i="5"/>
  <c r="U311" i="5"/>
  <c r="V311" i="5"/>
  <c r="U277" i="5"/>
  <c r="V277" i="5"/>
  <c r="V157" i="5"/>
  <c r="U157" i="5"/>
  <c r="U200" i="5"/>
  <c r="V200" i="5"/>
  <c r="V86" i="5"/>
  <c r="U86" i="5"/>
  <c r="U124" i="5"/>
  <c r="V124" i="5"/>
  <c r="U60" i="5"/>
  <c r="V60" i="5"/>
  <c r="U62" i="5"/>
  <c r="V62" i="5"/>
  <c r="U46" i="5"/>
  <c r="V46" i="5"/>
  <c r="U559" i="5"/>
  <c r="V559" i="5"/>
  <c r="U524" i="5"/>
  <c r="V524" i="5"/>
  <c r="V545" i="5"/>
  <c r="V557" i="5"/>
  <c r="U557" i="5"/>
  <c r="V470" i="5"/>
  <c r="U470" i="5"/>
  <c r="U398" i="5"/>
  <c r="V398" i="5"/>
  <c r="V500" i="5"/>
  <c r="U500" i="5"/>
  <c r="V339" i="5"/>
  <c r="U339" i="5"/>
  <c r="V448" i="5"/>
  <c r="U448" i="5"/>
  <c r="U383" i="5"/>
  <c r="V383" i="5"/>
  <c r="U421" i="5"/>
  <c r="V421" i="5"/>
  <c r="U329" i="5"/>
  <c r="V329" i="5"/>
  <c r="U325" i="5"/>
  <c r="V325" i="5"/>
  <c r="V295" i="5"/>
  <c r="U295" i="5"/>
  <c r="V192" i="5"/>
  <c r="U192" i="5"/>
  <c r="V209" i="5"/>
  <c r="U209" i="5"/>
  <c r="V163" i="5"/>
  <c r="U163" i="5"/>
  <c r="V148" i="5"/>
  <c r="U148" i="5"/>
  <c r="V90" i="5"/>
  <c r="U90" i="5"/>
  <c r="U58" i="5"/>
  <c r="V58" i="5"/>
  <c r="V31" i="5"/>
  <c r="U31" i="5"/>
  <c r="U480" i="5"/>
  <c r="V480" i="5"/>
  <c r="U347" i="5"/>
  <c r="V347" i="5"/>
  <c r="U478" i="5"/>
  <c r="V478" i="5"/>
  <c r="U324" i="5"/>
  <c r="V324" i="5"/>
  <c r="V363" i="5"/>
  <c r="V407" i="5"/>
  <c r="U407" i="5"/>
  <c r="U214" i="5"/>
  <c r="V214" i="5"/>
  <c r="V381" i="5"/>
  <c r="U381" i="5"/>
  <c r="V283" i="5"/>
  <c r="U283" i="5"/>
  <c r="V303" i="5"/>
  <c r="U303" i="5"/>
  <c r="U246" i="5"/>
  <c r="V246" i="5"/>
  <c r="V284" i="5"/>
  <c r="U284" i="5"/>
  <c r="V306" i="5"/>
  <c r="U306" i="5"/>
  <c r="U254" i="5"/>
  <c r="V254" i="5"/>
  <c r="V210" i="5"/>
  <c r="U212" i="5"/>
  <c r="V212" i="5"/>
  <c r="V215" i="5"/>
  <c r="U215" i="5"/>
  <c r="U194" i="5"/>
  <c r="V194" i="5"/>
  <c r="U170" i="5"/>
  <c r="V170" i="5"/>
  <c r="V149" i="5"/>
  <c r="U149" i="5"/>
  <c r="V156" i="5"/>
  <c r="U156" i="5"/>
  <c r="U84" i="5"/>
  <c r="V84" i="5"/>
  <c r="U101" i="5"/>
  <c r="V101" i="5"/>
  <c r="U94" i="5"/>
  <c r="V94" i="5"/>
  <c r="U66" i="5"/>
  <c r="V66" i="5"/>
  <c r="U70" i="5"/>
  <c r="V70" i="5"/>
  <c r="U39" i="5"/>
  <c r="V39" i="5"/>
  <c r="V250" i="5"/>
  <c r="U250" i="5"/>
  <c r="V176" i="5"/>
  <c r="U176" i="5"/>
  <c r="V174" i="5"/>
  <c r="U174" i="5"/>
  <c r="U150" i="5"/>
  <c r="V150" i="5"/>
  <c r="U131" i="5"/>
  <c r="V131" i="5"/>
  <c r="V83" i="5"/>
  <c r="U83" i="5"/>
  <c r="U67" i="5"/>
  <c r="V67" i="5"/>
  <c r="U41" i="5"/>
  <c r="V41" i="5"/>
  <c r="BA302" i="5"/>
  <c r="BB302" i="5"/>
  <c r="BA282" i="5"/>
  <c r="BB282" i="5"/>
  <c r="BA236" i="5"/>
  <c r="BA115" i="5"/>
  <c r="BB115" i="5"/>
  <c r="BA107" i="5"/>
  <c r="BB83" i="5"/>
  <c r="BA373" i="5"/>
  <c r="BB288" i="5"/>
  <c r="BA288" i="5"/>
  <c r="BB179" i="5"/>
  <c r="BA117" i="5"/>
  <c r="BA314" i="5"/>
  <c r="BB314" i="5"/>
  <c r="BA300" i="5"/>
  <c r="BA178" i="5"/>
  <c r="BB178" i="5"/>
  <c r="BB137" i="5"/>
  <c r="V531" i="5"/>
  <c r="U531" i="5"/>
  <c r="V310" i="5"/>
  <c r="U310" i="5"/>
  <c r="V154" i="5"/>
  <c r="U154" i="5"/>
  <c r="V432" i="5"/>
  <c r="U432" i="5"/>
  <c r="V546" i="5"/>
  <c r="U546" i="5"/>
  <c r="U501" i="5"/>
  <c r="V501" i="5"/>
  <c r="U408" i="5"/>
  <c r="V408" i="5"/>
  <c r="U88" i="5"/>
  <c r="V88" i="5"/>
  <c r="V476" i="5"/>
  <c r="U476" i="5"/>
  <c r="V487" i="5"/>
  <c r="U487" i="5"/>
  <c r="V481" i="5"/>
  <c r="U481" i="5"/>
  <c r="V281" i="5"/>
  <c r="U281" i="5"/>
  <c r="U549" i="5"/>
  <c r="V549" i="5"/>
  <c r="V463" i="5"/>
  <c r="U463" i="5"/>
  <c r="U431" i="5"/>
  <c r="V431" i="5"/>
  <c r="U258" i="5"/>
  <c r="V258" i="5"/>
  <c r="U414" i="5"/>
  <c r="V414" i="5"/>
  <c r="U366" i="5"/>
  <c r="V366" i="5"/>
  <c r="U244" i="5"/>
  <c r="V244" i="5"/>
  <c r="U144" i="5"/>
  <c r="V144" i="5"/>
  <c r="U132" i="5"/>
  <c r="V132" i="5"/>
  <c r="V272" i="5"/>
  <c r="U272" i="5"/>
  <c r="U237" i="5"/>
  <c r="V237" i="5"/>
  <c r="V175" i="5"/>
  <c r="U175" i="5"/>
  <c r="V127" i="5"/>
  <c r="U127" i="5"/>
  <c r="U502" i="5"/>
  <c r="V502" i="5"/>
  <c r="U406" i="5"/>
  <c r="V406" i="5"/>
  <c r="V439" i="5"/>
  <c r="U439" i="5"/>
  <c r="V505" i="5"/>
  <c r="V336" i="5"/>
  <c r="U336" i="5"/>
  <c r="V249" i="5"/>
  <c r="U249" i="5"/>
  <c r="U189" i="5"/>
  <c r="V189" i="5"/>
  <c r="U81" i="5"/>
  <c r="V81" i="5"/>
  <c r="U456" i="5"/>
  <c r="V456" i="5"/>
  <c r="V443" i="5"/>
  <c r="U443" i="5"/>
  <c r="U375" i="5"/>
  <c r="V375" i="5"/>
  <c r="U345" i="5"/>
  <c r="V345" i="5"/>
  <c r="U316" i="5"/>
  <c r="V316" i="5"/>
  <c r="U236" i="5"/>
  <c r="V236" i="5"/>
  <c r="U245" i="5"/>
  <c r="V245" i="5"/>
  <c r="V187" i="5"/>
  <c r="U187" i="5"/>
  <c r="U126" i="5"/>
  <c r="V126" i="5"/>
  <c r="V61" i="5"/>
  <c r="U61" i="5"/>
  <c r="U47" i="5"/>
  <c r="V47" i="5"/>
  <c r="U260" i="5"/>
  <c r="V260" i="5"/>
  <c r="V79" i="5"/>
  <c r="U79" i="5"/>
  <c r="U114" i="5"/>
  <c r="V114" i="5"/>
  <c r="U98" i="5"/>
  <c r="AJ28" i="5"/>
  <c r="AL28" i="5" s="1"/>
  <c r="AJ158" i="5"/>
  <c r="AL158" i="5" s="1"/>
  <c r="AJ27" i="5"/>
  <c r="AK27" i="5" s="1"/>
  <c r="AJ164" i="5"/>
  <c r="AL164" i="5" s="1"/>
  <c r="AJ40" i="5"/>
  <c r="AL40" i="5" s="1"/>
  <c r="AJ174" i="5"/>
  <c r="AJ125" i="5"/>
  <c r="AJ61" i="5"/>
  <c r="AJ153" i="5"/>
  <c r="AK153" i="5" s="1"/>
  <c r="AJ184" i="5"/>
  <c r="AK184" i="5" s="1"/>
  <c r="AJ143" i="5"/>
  <c r="AL143" i="5" s="1"/>
  <c r="AJ71" i="5"/>
  <c r="AJ165" i="5"/>
  <c r="AK165" i="5" s="1"/>
  <c r="AJ138" i="5"/>
  <c r="V412" i="5"/>
  <c r="V222" i="5"/>
  <c r="U37" i="5"/>
  <c r="U362" i="5"/>
  <c r="V22" i="5"/>
  <c r="BB249" i="5"/>
  <c r="BA249" i="5"/>
  <c r="BA278" i="5"/>
  <c r="BB278" i="5"/>
  <c r="BB296" i="5"/>
  <c r="BA296" i="5"/>
  <c r="BB220" i="5"/>
  <c r="BA220" i="5"/>
  <c r="BB161" i="5"/>
  <c r="BA161" i="5"/>
  <c r="BB194" i="5"/>
  <c r="BA194" i="5"/>
  <c r="BA171" i="5"/>
  <c r="BB171" i="5"/>
  <c r="BA116" i="5"/>
  <c r="BB116" i="5"/>
  <c r="BA127" i="5"/>
  <c r="BB127" i="5"/>
  <c r="BA123" i="5"/>
  <c r="BB123" i="5"/>
  <c r="BA110" i="5"/>
  <c r="BB110" i="5"/>
  <c r="BB91" i="5"/>
  <c r="BA91" i="5"/>
  <c r="BA24" i="5"/>
  <c r="BB24" i="5"/>
  <c r="BB50" i="5"/>
  <c r="BA50" i="5"/>
  <c r="BA393" i="5"/>
  <c r="BB393" i="5"/>
  <c r="BA218" i="5"/>
  <c r="BB218" i="5"/>
  <c r="BA255" i="5"/>
  <c r="BB255" i="5"/>
  <c r="BA290" i="5"/>
  <c r="BB290" i="5"/>
  <c r="BB303" i="5"/>
  <c r="BA246" i="5"/>
  <c r="BB246" i="5"/>
  <c r="BA184" i="5"/>
  <c r="BB184" i="5"/>
  <c r="BA196" i="5"/>
  <c r="BB196" i="5"/>
  <c r="BA190" i="5"/>
  <c r="BB190" i="5"/>
  <c r="BA139" i="5"/>
  <c r="BB139" i="5"/>
  <c r="BB126" i="5"/>
  <c r="BB121" i="5"/>
  <c r="BA121" i="5"/>
  <c r="BA95" i="5"/>
  <c r="BB95" i="5"/>
  <c r="BB59" i="5"/>
  <c r="BA59" i="5"/>
  <c r="BA35" i="5"/>
  <c r="BB35" i="5"/>
  <c r="BB22" i="5"/>
  <c r="BA22" i="5"/>
  <c r="BB324" i="5"/>
  <c r="BA324" i="5"/>
  <c r="BB265" i="5"/>
  <c r="BA265" i="5"/>
  <c r="BB318" i="5"/>
  <c r="BA318" i="5"/>
  <c r="BB200" i="5"/>
  <c r="BA200" i="5"/>
  <c r="BB211" i="5"/>
  <c r="BA211" i="5"/>
  <c r="BA173" i="5"/>
  <c r="BB173" i="5"/>
  <c r="BA164" i="5"/>
  <c r="BB164" i="5"/>
  <c r="BA148" i="5"/>
  <c r="BB148" i="5"/>
  <c r="BB135" i="5"/>
  <c r="BA135" i="5"/>
  <c r="BB140" i="5"/>
  <c r="BA140" i="5"/>
  <c r="BB98" i="5"/>
  <c r="BA98" i="5"/>
  <c r="BA66" i="5"/>
  <c r="BB66" i="5"/>
  <c r="BB60" i="5"/>
  <c r="BA60" i="5"/>
  <c r="BA27" i="5"/>
  <c r="BB27" i="5"/>
  <c r="V435" i="5"/>
  <c r="U435" i="5"/>
  <c r="V230" i="5"/>
  <c r="U230" i="5"/>
  <c r="U93" i="5"/>
  <c r="V93" i="5"/>
  <c r="U492" i="5"/>
  <c r="V492" i="5"/>
  <c r="V379" i="5"/>
  <c r="U379" i="5"/>
  <c r="U423" i="5"/>
  <c r="V423" i="5"/>
  <c r="V226" i="5"/>
  <c r="U226" i="5"/>
  <c r="V427" i="5"/>
  <c r="U427" i="5"/>
  <c r="U119" i="5"/>
  <c r="V119" i="5"/>
  <c r="U530" i="5"/>
  <c r="V530" i="5"/>
  <c r="U544" i="5"/>
  <c r="V544" i="5"/>
  <c r="U560" i="5"/>
  <c r="V560" i="5"/>
  <c r="U455" i="5"/>
  <c r="V455" i="5"/>
  <c r="V519" i="5"/>
  <c r="U519" i="5"/>
  <c r="U351" i="5"/>
  <c r="V351" i="5"/>
  <c r="U420" i="5"/>
  <c r="V420" i="5"/>
  <c r="V289" i="5"/>
  <c r="U289" i="5"/>
  <c r="U142" i="5"/>
  <c r="V142" i="5"/>
  <c r="U520" i="5"/>
  <c r="V520" i="5"/>
  <c r="V542" i="5"/>
  <c r="U542" i="5"/>
  <c r="U506" i="5"/>
  <c r="V506" i="5"/>
  <c r="U425" i="5"/>
  <c r="V425" i="5"/>
  <c r="V496" i="5"/>
  <c r="U496" i="5"/>
  <c r="V267" i="5"/>
  <c r="U267" i="5"/>
  <c r="V232" i="5"/>
  <c r="U232" i="5"/>
  <c r="V95" i="5"/>
  <c r="U95" i="5"/>
  <c r="V445" i="5"/>
  <c r="U445" i="5"/>
  <c r="V482" i="5"/>
  <c r="U482" i="5"/>
  <c r="V377" i="5"/>
  <c r="U377" i="5"/>
  <c r="U466" i="5"/>
  <c r="V466" i="5"/>
  <c r="U319" i="5"/>
  <c r="V319" i="5"/>
  <c r="U259" i="5"/>
  <c r="V259" i="5"/>
  <c r="V186" i="5"/>
  <c r="U186" i="5"/>
  <c r="U53" i="5"/>
  <c r="V53" i="5"/>
  <c r="U353" i="5"/>
  <c r="V353" i="5"/>
  <c r="V390" i="5"/>
  <c r="U390" i="5"/>
  <c r="U262" i="5"/>
  <c r="V262" i="5"/>
  <c r="V269" i="5"/>
  <c r="U269" i="5"/>
  <c r="V291" i="5"/>
  <c r="U291" i="5"/>
  <c r="V257" i="5"/>
  <c r="U257" i="5"/>
  <c r="U217" i="5"/>
  <c r="V217" i="5"/>
  <c r="U198" i="5"/>
  <c r="V198" i="5"/>
  <c r="U167" i="5"/>
  <c r="V167" i="5"/>
  <c r="U103" i="5"/>
  <c r="V103" i="5"/>
  <c r="U97" i="5"/>
  <c r="V97" i="5"/>
  <c r="U23" i="5"/>
  <c r="V23" i="5"/>
  <c r="U340" i="5"/>
  <c r="V340" i="5"/>
  <c r="U371" i="5"/>
  <c r="V371" i="5"/>
  <c r="U387" i="5"/>
  <c r="V387" i="5"/>
  <c r="V354" i="5"/>
  <c r="U354" i="5"/>
  <c r="V268" i="5"/>
  <c r="U268" i="5"/>
  <c r="V288" i="5"/>
  <c r="U288" i="5"/>
  <c r="U255" i="5"/>
  <c r="V255" i="5"/>
  <c r="U216" i="5"/>
  <c r="V216" i="5"/>
  <c r="U197" i="5"/>
  <c r="V197" i="5"/>
  <c r="V165" i="5"/>
  <c r="U165" i="5"/>
  <c r="U99" i="5"/>
  <c r="V99" i="5"/>
  <c r="U96" i="5"/>
  <c r="V96" i="5"/>
  <c r="U20" i="5"/>
  <c r="V20" i="5"/>
  <c r="U19" i="5"/>
  <c r="V19" i="5"/>
  <c r="V535" i="5"/>
  <c r="U535" i="5"/>
  <c r="U490" i="5"/>
  <c r="V490" i="5"/>
  <c r="U536" i="5"/>
  <c r="V536" i="5"/>
  <c r="U526" i="5"/>
  <c r="V526" i="5"/>
  <c r="V457" i="5"/>
  <c r="U457" i="5"/>
  <c r="V368" i="5"/>
  <c r="U368" i="5"/>
  <c r="U516" i="5"/>
  <c r="V516" i="5"/>
  <c r="V430" i="5"/>
  <c r="U430" i="5"/>
  <c r="U361" i="5"/>
  <c r="V361" i="5"/>
  <c r="V380" i="5"/>
  <c r="U380" i="5"/>
  <c r="V403" i="5"/>
  <c r="U403" i="5"/>
  <c r="U280" i="5"/>
  <c r="V280" i="5"/>
  <c r="V285" i="5"/>
  <c r="U285" i="5"/>
  <c r="V302" i="5"/>
  <c r="U302" i="5"/>
  <c r="V270" i="5"/>
  <c r="U270" i="5"/>
  <c r="V238" i="5"/>
  <c r="U238" i="5"/>
  <c r="V164" i="5"/>
  <c r="U164" i="5"/>
  <c r="V178" i="5"/>
  <c r="U178" i="5"/>
  <c r="V116" i="5"/>
  <c r="U116" i="5"/>
  <c r="V102" i="5"/>
  <c r="U102" i="5"/>
  <c r="V51" i="5"/>
  <c r="U51" i="5"/>
  <c r="V29" i="5"/>
  <c r="U29" i="5"/>
  <c r="V468" i="5"/>
  <c r="U468" i="5"/>
  <c r="V532" i="5"/>
  <c r="U532" i="5"/>
  <c r="V458" i="5"/>
  <c r="U458" i="5"/>
  <c r="V411" i="5"/>
  <c r="U411" i="5"/>
  <c r="U348" i="5"/>
  <c r="V348" i="5"/>
  <c r="U386" i="5"/>
  <c r="V386" i="5"/>
  <c r="U429" i="5"/>
  <c r="V429" i="5"/>
  <c r="U364" i="5"/>
  <c r="V364" i="5"/>
  <c r="U356" i="5"/>
  <c r="V356" i="5"/>
  <c r="U293" i="5"/>
  <c r="V293" i="5"/>
  <c r="V331" i="5"/>
  <c r="U331" i="5"/>
  <c r="V251" i="5"/>
  <c r="U251" i="5"/>
  <c r="U282" i="5"/>
  <c r="V282" i="5"/>
  <c r="V241" i="5"/>
  <c r="U241" i="5"/>
  <c r="V180" i="5"/>
  <c r="U180" i="5"/>
  <c r="U159" i="5"/>
  <c r="V159" i="5"/>
  <c r="V205" i="5"/>
  <c r="U205" i="5"/>
  <c r="U185" i="5"/>
  <c r="V185" i="5"/>
  <c r="V133" i="5"/>
  <c r="U133" i="5"/>
  <c r="V152" i="5"/>
  <c r="U152" i="5"/>
  <c r="U137" i="5"/>
  <c r="V137" i="5"/>
  <c r="V139" i="5"/>
  <c r="U139" i="5"/>
  <c r="V85" i="5"/>
  <c r="U85" i="5"/>
  <c r="V92" i="5"/>
  <c r="U92" i="5"/>
  <c r="U35" i="5"/>
  <c r="V35" i="5"/>
  <c r="V52" i="5"/>
  <c r="U52" i="5"/>
  <c r="U26" i="5"/>
  <c r="V26" i="5"/>
  <c r="V334" i="5"/>
  <c r="U334" i="5"/>
  <c r="V273" i="5"/>
  <c r="U273" i="5"/>
  <c r="V239" i="5"/>
  <c r="U239" i="5"/>
  <c r="U188" i="5"/>
  <c r="V188" i="5"/>
  <c r="V161" i="5"/>
  <c r="U161" i="5"/>
  <c r="U117" i="5"/>
  <c r="V117" i="5"/>
  <c r="U121" i="5"/>
  <c r="V121" i="5"/>
  <c r="U105" i="5"/>
  <c r="V105" i="5"/>
  <c r="U57" i="5"/>
  <c r="V57" i="5"/>
  <c r="V43" i="5"/>
  <c r="U43" i="5"/>
  <c r="V38" i="5"/>
  <c r="U38" i="5"/>
  <c r="AJ33" i="5"/>
  <c r="AJ141" i="5"/>
  <c r="AJ29" i="5"/>
  <c r="AJ64" i="5"/>
  <c r="AJ97" i="5"/>
  <c r="AJ129" i="5"/>
  <c r="AJ160" i="5"/>
  <c r="AJ176" i="5"/>
  <c r="AJ62" i="5"/>
  <c r="AJ185" i="5"/>
  <c r="AJ203" i="5"/>
  <c r="AJ219" i="5"/>
  <c r="AJ233" i="5"/>
  <c r="AJ255" i="5"/>
  <c r="AJ270" i="5"/>
  <c r="AJ286" i="5"/>
  <c r="AJ302" i="5"/>
  <c r="AJ319" i="5"/>
  <c r="AJ55" i="5"/>
  <c r="AJ107" i="5"/>
  <c r="AJ139" i="5"/>
  <c r="AJ186" i="5"/>
  <c r="AJ202" i="5"/>
  <c r="AJ218" i="5"/>
  <c r="AJ235" i="5"/>
  <c r="AJ20" i="5"/>
  <c r="AJ67" i="5"/>
  <c r="AJ193" i="5"/>
  <c r="AJ212" i="5"/>
  <c r="AJ231" i="5"/>
  <c r="AJ244" i="5"/>
  <c r="AJ252" i="5"/>
  <c r="AJ260" i="5"/>
  <c r="AJ276" i="5"/>
  <c r="AJ292" i="5"/>
  <c r="AJ308" i="5"/>
  <c r="AJ324" i="5"/>
  <c r="AJ194" i="5"/>
  <c r="AJ264" i="5"/>
  <c r="AJ296" i="5"/>
  <c r="AJ321" i="5"/>
  <c r="AJ339" i="5"/>
  <c r="AJ355" i="5"/>
  <c r="AJ371" i="5"/>
  <c r="AJ383" i="5"/>
  <c r="AJ396" i="5"/>
  <c r="AJ462" i="5"/>
  <c r="AJ478" i="5"/>
  <c r="AJ494" i="5"/>
  <c r="AJ509" i="5"/>
  <c r="AJ519" i="5"/>
  <c r="AJ529" i="5"/>
  <c r="AJ543" i="5"/>
  <c r="AJ559" i="5"/>
  <c r="AJ127" i="5"/>
  <c r="AJ221" i="5"/>
  <c r="AJ269" i="5"/>
  <c r="AJ301" i="5"/>
  <c r="AJ318" i="5"/>
  <c r="AJ333" i="5"/>
  <c r="AJ349" i="5"/>
  <c r="AJ365" i="5"/>
  <c r="AJ385" i="5"/>
  <c r="AJ401" i="5"/>
  <c r="AJ417" i="5"/>
  <c r="AJ433" i="5"/>
  <c r="AJ253" i="5"/>
  <c r="AJ271" i="5"/>
  <c r="AJ303" i="5"/>
  <c r="AJ389" i="5"/>
  <c r="AJ403" i="5"/>
  <c r="AJ419" i="5"/>
  <c r="AJ435" i="5"/>
  <c r="AJ451" i="5"/>
  <c r="AJ467" i="5"/>
  <c r="AJ483" i="5"/>
  <c r="AJ499" i="5"/>
  <c r="AJ514" i="5"/>
  <c r="AJ530" i="5"/>
  <c r="AJ540" i="5"/>
  <c r="AJ548" i="5"/>
  <c r="AJ209" i="5"/>
  <c r="AJ344" i="5"/>
  <c r="AJ376" i="5"/>
  <c r="AJ59" i="5"/>
  <c r="AJ157" i="5"/>
  <c r="AJ34" i="5"/>
  <c r="AJ66" i="5"/>
  <c r="AJ101" i="5"/>
  <c r="AJ133" i="5"/>
  <c r="AJ162" i="5"/>
  <c r="AJ180" i="5"/>
  <c r="AJ89" i="5"/>
  <c r="AJ189" i="5"/>
  <c r="AJ207" i="5"/>
  <c r="AJ223" i="5"/>
  <c r="AJ239" i="5"/>
  <c r="AJ259" i="5"/>
  <c r="AJ275" i="5"/>
  <c r="AJ291" i="5"/>
  <c r="AJ307" i="5"/>
  <c r="AJ326" i="5"/>
  <c r="AJ73" i="5"/>
  <c r="AJ115" i="5"/>
  <c r="AJ148" i="5"/>
  <c r="AJ190" i="5"/>
  <c r="AJ206" i="5"/>
  <c r="AJ222" i="5"/>
  <c r="AJ238" i="5"/>
  <c r="AJ30" i="5"/>
  <c r="AJ76" i="5"/>
  <c r="AJ200" i="5"/>
  <c r="AJ216" i="5"/>
  <c r="AJ234" i="5"/>
  <c r="AJ246" i="5"/>
  <c r="AJ254" i="5"/>
  <c r="AJ262" i="5"/>
  <c r="AJ278" i="5"/>
  <c r="AJ294" i="5"/>
  <c r="AJ312" i="5"/>
  <c r="AJ119" i="5"/>
  <c r="AJ227" i="5"/>
  <c r="AJ277" i="5"/>
  <c r="AJ309" i="5"/>
  <c r="AJ325" i="5"/>
  <c r="AJ343" i="5"/>
  <c r="AJ359" i="5"/>
  <c r="AJ375" i="5"/>
  <c r="AJ388" i="5"/>
  <c r="AJ398" i="5"/>
  <c r="AJ464" i="5"/>
  <c r="AJ480" i="5"/>
  <c r="AJ496" i="5"/>
  <c r="AJ511" i="5"/>
  <c r="AJ523" i="5"/>
  <c r="AJ533" i="5"/>
  <c r="AJ547" i="5"/>
  <c r="AJ23" i="5"/>
  <c r="AJ196" i="5"/>
  <c r="AJ230" i="5"/>
  <c r="AJ274" i="5"/>
  <c r="AJ306" i="5"/>
  <c r="B76" i="5"/>
  <c r="AJ91" i="5"/>
  <c r="AJ173" i="5"/>
  <c r="AJ50" i="5"/>
  <c r="AJ82" i="5"/>
  <c r="AJ117" i="5"/>
  <c r="AJ154" i="5"/>
  <c r="AJ170" i="5"/>
  <c r="AJ52" i="5"/>
  <c r="AJ181" i="5"/>
  <c r="AJ199" i="5"/>
  <c r="AJ215" i="5"/>
  <c r="AJ228" i="5"/>
  <c r="AJ251" i="5"/>
  <c r="AJ268" i="5"/>
  <c r="AJ284" i="5"/>
  <c r="AJ300" i="5"/>
  <c r="AJ315" i="5"/>
  <c r="AJ46" i="5"/>
  <c r="AJ99" i="5"/>
  <c r="AJ131" i="5"/>
  <c r="AJ182" i="5"/>
  <c r="AJ198" i="5"/>
  <c r="AJ214" i="5"/>
  <c r="AJ229" i="5"/>
  <c r="AJ242" i="5"/>
  <c r="AJ57" i="5"/>
  <c r="AJ178" i="5"/>
  <c r="AJ208" i="5"/>
  <c r="AJ225" i="5"/>
  <c r="AJ241" i="5"/>
  <c r="AJ250" i="5"/>
  <c r="AJ258" i="5"/>
  <c r="AJ273" i="5"/>
  <c r="AJ289" i="5"/>
  <c r="AJ305" i="5"/>
  <c r="AJ320" i="5"/>
  <c r="AJ179" i="5"/>
  <c r="AJ247" i="5"/>
  <c r="AJ287" i="5"/>
  <c r="AJ317" i="5"/>
  <c r="AJ335" i="5"/>
  <c r="AJ351" i="5"/>
  <c r="AJ367" i="5"/>
  <c r="AJ379" i="5"/>
  <c r="AJ394" i="5"/>
  <c r="AJ459" i="5"/>
  <c r="AJ475" i="5"/>
  <c r="AJ491" i="5"/>
  <c r="AJ507" i="5"/>
  <c r="AJ517" i="5"/>
  <c r="AJ527" i="5"/>
  <c r="AJ539" i="5"/>
  <c r="AJ555" i="5"/>
  <c r="AJ95" i="5"/>
  <c r="AJ213" i="5"/>
  <c r="AJ249" i="5"/>
  <c r="AJ288" i="5"/>
  <c r="AJ314" i="5"/>
  <c r="AJ331" i="5"/>
  <c r="AJ345" i="5"/>
  <c r="AJ361" i="5"/>
  <c r="AJ381" i="5"/>
  <c r="AJ395" i="5"/>
  <c r="AJ413" i="5"/>
  <c r="AJ429" i="5"/>
  <c r="AJ232" i="5"/>
  <c r="AJ266" i="5"/>
  <c r="AJ298" i="5"/>
  <c r="AJ378" i="5"/>
  <c r="AJ399" i="5"/>
  <c r="AJ415" i="5"/>
  <c r="AJ431" i="5"/>
  <c r="AJ447" i="5"/>
  <c r="AJ461" i="5"/>
  <c r="AJ477" i="5"/>
  <c r="AJ493" i="5"/>
  <c r="AJ508" i="5"/>
  <c r="AJ524" i="5"/>
  <c r="AJ538" i="5"/>
  <c r="AJ546" i="5"/>
  <c r="AJ144" i="5"/>
  <c r="AJ336" i="5"/>
  <c r="AJ368" i="5"/>
  <c r="AJ408" i="5"/>
  <c r="AJ161" i="5"/>
  <c r="AJ150" i="5"/>
  <c r="AJ197" i="5"/>
  <c r="AJ265" i="5"/>
  <c r="AJ36" i="5"/>
  <c r="AJ192" i="5"/>
  <c r="AJ39" i="5"/>
  <c r="AJ236" i="5"/>
  <c r="AJ283" i="5"/>
  <c r="AJ237" i="5"/>
  <c r="AJ347" i="5"/>
  <c r="AJ453" i="5"/>
  <c r="AJ513" i="5"/>
  <c r="AJ60" i="5"/>
  <c r="AJ310" i="5"/>
  <c r="AJ341" i="5"/>
  <c r="AJ373" i="5"/>
  <c r="AJ409" i="5"/>
  <c r="AJ135" i="5"/>
  <c r="AJ293" i="5"/>
  <c r="AJ393" i="5"/>
  <c r="AJ427" i="5"/>
  <c r="AJ456" i="5"/>
  <c r="AJ488" i="5"/>
  <c r="AJ520" i="5"/>
  <c r="AJ544" i="5"/>
  <c r="AJ327" i="5"/>
  <c r="AJ400" i="5"/>
  <c r="AJ437" i="5"/>
  <c r="AJ458" i="5"/>
  <c r="AJ490" i="5"/>
  <c r="AJ560" i="5"/>
  <c r="AJ500" i="5"/>
  <c r="AJ541" i="5"/>
  <c r="AJ406" i="5"/>
  <c r="AJ466" i="5"/>
  <c r="AJ263" i="5"/>
  <c r="AJ354" i="5"/>
  <c r="AJ402" i="5"/>
  <c r="AJ434" i="5"/>
  <c r="AJ450" i="5"/>
  <c r="AJ528" i="5"/>
  <c r="AJ436" i="5"/>
  <c r="AJ78" i="5"/>
  <c r="AJ348" i="5"/>
  <c r="AJ380" i="5"/>
  <c r="AJ428" i="5"/>
  <c r="AJ474" i="5"/>
  <c r="AJ506" i="5"/>
  <c r="AJ526" i="5"/>
  <c r="AJ111" i="5"/>
  <c r="AJ334" i="5"/>
  <c r="AJ366" i="5"/>
  <c r="AJ444" i="5"/>
  <c r="AJ554" i="5"/>
  <c r="AJ175" i="5"/>
  <c r="AJ136" i="5"/>
  <c r="AJ31" i="5"/>
  <c r="AJ86" i="5"/>
  <c r="AJ22" i="5"/>
  <c r="AJ132" i="5"/>
  <c r="AJ124" i="5"/>
  <c r="AJ85" i="5"/>
  <c r="AJ163" i="5"/>
  <c r="AJ130" i="5"/>
  <c r="AJ191" i="5"/>
  <c r="AJ110" i="5"/>
  <c r="AJ42" i="5"/>
  <c r="AJ100" i="5"/>
  <c r="AJ79" i="5"/>
  <c r="AJ32" i="5"/>
  <c r="AJ53" i="5"/>
  <c r="AJ45" i="5"/>
  <c r="AJ168" i="5"/>
  <c r="AJ211" i="5"/>
  <c r="AJ281" i="5"/>
  <c r="AJ83" i="5"/>
  <c r="AJ210" i="5"/>
  <c r="AJ142" i="5"/>
  <c r="AJ248" i="5"/>
  <c r="AJ299" i="5"/>
  <c r="AJ282" i="5"/>
  <c r="AJ363" i="5"/>
  <c r="AJ469" i="5"/>
  <c r="AJ525" i="5"/>
  <c r="AJ205" i="5"/>
  <c r="AJ322" i="5"/>
  <c r="AJ353" i="5"/>
  <c r="AJ387" i="5"/>
  <c r="AJ421" i="5"/>
  <c r="AJ257" i="5"/>
  <c r="AJ323" i="5"/>
  <c r="AJ407" i="5"/>
  <c r="AJ439" i="5"/>
  <c r="AJ470" i="5"/>
  <c r="AJ502" i="5"/>
  <c r="AJ532" i="5"/>
  <c r="AJ550" i="5"/>
  <c r="AJ352" i="5"/>
  <c r="AJ416" i="5"/>
  <c r="AJ441" i="5"/>
  <c r="AJ471" i="5"/>
  <c r="AJ503" i="5"/>
  <c r="AJ463" i="5"/>
  <c r="AJ512" i="5"/>
  <c r="AJ549" i="5"/>
  <c r="AJ422" i="5"/>
  <c r="AJ479" i="5"/>
  <c r="AJ329" i="5"/>
  <c r="AJ362" i="5"/>
  <c r="AJ410" i="5"/>
  <c r="AJ438" i="5"/>
  <c r="AJ468" i="5"/>
  <c r="AJ545" i="5"/>
  <c r="AJ452" i="5"/>
  <c r="AJ285" i="5"/>
  <c r="AJ356" i="5"/>
  <c r="AJ404" i="5"/>
  <c r="AJ455" i="5"/>
  <c r="AJ487" i="5"/>
  <c r="AJ510" i="5"/>
  <c r="AJ534" i="5"/>
  <c r="AJ201" i="5"/>
  <c r="AJ342" i="5"/>
  <c r="AJ397" i="5"/>
  <c r="AJ457" i="5"/>
  <c r="AJ120" i="5"/>
  <c r="AJ81" i="5"/>
  <c r="AJ187" i="5"/>
  <c r="AJ70" i="5"/>
  <c r="AJ159" i="5"/>
  <c r="AJ116" i="5"/>
  <c r="AJ104" i="5"/>
  <c r="AJ106" i="5"/>
  <c r="AJ171" i="5"/>
  <c r="AJ134" i="5"/>
  <c r="AJ98" i="5"/>
  <c r="AJ80" i="5"/>
  <c r="AJ25" i="5"/>
  <c r="AJ226" i="5"/>
  <c r="AJ297" i="5"/>
  <c r="AJ123" i="5"/>
  <c r="AJ224" i="5"/>
  <c r="AJ204" i="5"/>
  <c r="AJ256" i="5"/>
  <c r="AJ316" i="5"/>
  <c r="AJ313" i="5"/>
  <c r="AJ377" i="5"/>
  <c r="AJ485" i="5"/>
  <c r="AJ535" i="5"/>
  <c r="AJ245" i="5"/>
  <c r="AJ328" i="5"/>
  <c r="AJ357" i="5"/>
  <c r="AJ392" i="5"/>
  <c r="AJ425" i="5"/>
  <c r="AJ261" i="5"/>
  <c r="AJ332" i="5"/>
  <c r="AJ411" i="5"/>
  <c r="AJ443" i="5"/>
  <c r="AJ472" i="5"/>
  <c r="AJ504" i="5"/>
  <c r="AJ536" i="5"/>
  <c r="AJ552" i="5"/>
  <c r="AJ360" i="5"/>
  <c r="AJ424" i="5"/>
  <c r="AJ445" i="5"/>
  <c r="AJ476" i="5"/>
  <c r="AJ515" i="5"/>
  <c r="AJ473" i="5"/>
  <c r="AJ521" i="5"/>
  <c r="AJ553" i="5"/>
  <c r="AJ440" i="5"/>
  <c r="AJ41" i="5"/>
  <c r="AJ338" i="5"/>
  <c r="AJ370" i="5"/>
  <c r="AJ418" i="5"/>
  <c r="AJ442" i="5"/>
  <c r="AJ482" i="5"/>
  <c r="AJ558" i="5"/>
  <c r="AJ489" i="5"/>
  <c r="AJ304" i="5"/>
  <c r="AJ364" i="5"/>
  <c r="AJ412" i="5"/>
  <c r="AJ460" i="5"/>
  <c r="AJ492" i="5"/>
  <c r="AJ518" i="5"/>
  <c r="AJ556" i="5"/>
  <c r="AJ272" i="5"/>
  <c r="AJ350" i="5"/>
  <c r="AJ414" i="5"/>
  <c r="AJ484" i="5"/>
  <c r="AJ65" i="5"/>
  <c r="AJ128" i="5"/>
  <c r="AJ54" i="5"/>
  <c r="AJ112" i="5"/>
  <c r="AJ149" i="5"/>
  <c r="AJ108" i="5"/>
  <c r="AJ8" i="5"/>
  <c r="AJ140" i="5"/>
  <c r="AJ122" i="5"/>
  <c r="AJ90" i="5"/>
  <c r="AJ126" i="5"/>
  <c r="AJ102" i="5"/>
  <c r="AJ74" i="5"/>
  <c r="AJ51" i="5"/>
  <c r="AJ35" i="5"/>
  <c r="AJ92" i="5"/>
  <c r="AJ26" i="5"/>
  <c r="AJ72" i="5"/>
  <c r="AJ113" i="5"/>
  <c r="AJ177" i="5"/>
  <c r="AJ152" i="5"/>
  <c r="AJ551" i="5"/>
  <c r="AJ405" i="5"/>
  <c r="AJ423" i="5"/>
  <c r="AJ542" i="5"/>
  <c r="AJ449" i="5"/>
  <c r="AJ537" i="5"/>
  <c r="AJ346" i="5"/>
  <c r="AJ505" i="5"/>
  <c r="AJ372" i="5"/>
  <c r="AJ522" i="5"/>
  <c r="AJ430" i="5"/>
  <c r="AJ151" i="5"/>
  <c r="AJ167" i="5"/>
  <c r="AJ118" i="5"/>
  <c r="AJ37" i="5"/>
  <c r="AJ137" i="5"/>
  <c r="AJ240" i="5"/>
  <c r="AJ330" i="5"/>
  <c r="AJ279" i="5"/>
  <c r="AJ103" i="5"/>
  <c r="AJ454" i="5"/>
  <c r="AJ295" i="5"/>
  <c r="AJ481" i="5"/>
  <c r="AJ374" i="5"/>
  <c r="AJ386" i="5"/>
  <c r="AJ382" i="5"/>
  <c r="AJ420" i="5"/>
  <c r="AJ19" i="5"/>
  <c r="AJ498" i="5"/>
  <c r="AJ47" i="5"/>
  <c r="AJ114" i="5"/>
  <c r="AJ69" i="5"/>
  <c r="AJ58" i="5"/>
  <c r="AJ96" i="5"/>
  <c r="AJ21" i="5"/>
  <c r="AJ243" i="5"/>
  <c r="AJ220" i="5"/>
  <c r="AJ390" i="5"/>
  <c r="AJ337" i="5"/>
  <c r="AJ280" i="5"/>
  <c r="AJ486" i="5"/>
  <c r="AJ384" i="5"/>
  <c r="AJ531" i="5"/>
  <c r="AJ448" i="5"/>
  <c r="AJ426" i="5"/>
  <c r="AJ557" i="5"/>
  <c r="AJ465" i="5"/>
  <c r="AJ290" i="5"/>
  <c r="AJ145" i="5"/>
  <c r="AJ94" i="5"/>
  <c r="AJ63" i="5"/>
  <c r="AJ88" i="5"/>
  <c r="AJ311" i="5"/>
  <c r="AJ391" i="5"/>
  <c r="AJ217" i="5"/>
  <c r="AJ358" i="5"/>
  <c r="AJ183" i="5"/>
  <c r="AJ48" i="5"/>
  <c r="AJ267" i="5"/>
  <c r="AJ516" i="5"/>
  <c r="AJ446" i="5"/>
  <c r="AJ155" i="5"/>
  <c r="AJ501" i="5"/>
  <c r="AJ432" i="5"/>
  <c r="AJ340" i="5"/>
  <c r="AJ369" i="5"/>
  <c r="AJ495" i="5"/>
  <c r="AJ38" i="5"/>
  <c r="AJ497" i="5"/>
  <c r="AJ68" i="5"/>
  <c r="B25" i="2"/>
  <c r="H17" i="1"/>
  <c r="AK77" i="5"/>
  <c r="AL77" i="5"/>
  <c r="AK158" i="5"/>
  <c r="AL27" i="5"/>
  <c r="AL105" i="5"/>
  <c r="AK75" i="5"/>
  <c r="AX7" i="5"/>
  <c r="AY7" i="5"/>
  <c r="AK195" i="5"/>
  <c r="AL44" i="5"/>
  <c r="AL188" i="5"/>
  <c r="AK169" i="5"/>
  <c r="AL169" i="5"/>
  <c r="AL87" i="5"/>
  <c r="AK87" i="5"/>
  <c r="AL174" i="5"/>
  <c r="AK174" i="5"/>
  <c r="AK125" i="5"/>
  <c r="AL125" i="5"/>
  <c r="AK138" i="5"/>
  <c r="AL138" i="5"/>
  <c r="AK166" i="5"/>
  <c r="AL166" i="5"/>
  <c r="AK109" i="5"/>
  <c r="AK43" i="5"/>
  <c r="AL43" i="5"/>
  <c r="AL84" i="5"/>
  <c r="AK84" i="5"/>
  <c r="AK172" i="5"/>
  <c r="AL172" i="5"/>
  <c r="AK121" i="5"/>
  <c r="AK56" i="5"/>
  <c r="AL56" i="5"/>
  <c r="AL147" i="5"/>
  <c r="AK147" i="5"/>
  <c r="AU221" i="5" l="1"/>
  <c r="AU115" i="5"/>
  <c r="AU93" i="5"/>
  <c r="AU133" i="5"/>
  <c r="AV77" i="5"/>
  <c r="AV142" i="5"/>
  <c r="AU122" i="5"/>
  <c r="AU191" i="5"/>
  <c r="AV130" i="5"/>
  <c r="AV282" i="5"/>
  <c r="AU47" i="5"/>
  <c r="AU270" i="5"/>
  <c r="AU295" i="5"/>
  <c r="AV233" i="5"/>
  <c r="AU182" i="5"/>
  <c r="AV276" i="5"/>
  <c r="AU175" i="5"/>
  <c r="AV199" i="5"/>
  <c r="AU150" i="5"/>
  <c r="BB264" i="5"/>
  <c r="AU211" i="5"/>
  <c r="BB337" i="5"/>
  <c r="BB230" i="5"/>
  <c r="AU257" i="5"/>
  <c r="BB312" i="5"/>
  <c r="BA130" i="5"/>
  <c r="AV181" i="5"/>
  <c r="BA44" i="5"/>
  <c r="BB55" i="5"/>
  <c r="BB131" i="5"/>
  <c r="BA144" i="5"/>
  <c r="BB108" i="5"/>
  <c r="BB136" i="5"/>
  <c r="BB150" i="5"/>
  <c r="BB326" i="5"/>
  <c r="BB158" i="5"/>
  <c r="BA156" i="5"/>
  <c r="AT12" i="5"/>
  <c r="BB332" i="5"/>
  <c r="AW12" i="5"/>
  <c r="AX12" i="5" s="1"/>
  <c r="BB369" i="5"/>
  <c r="BB118" i="5"/>
  <c r="T12" i="5"/>
  <c r="AJ12" i="5"/>
  <c r="AK12" i="5" s="1"/>
  <c r="BA7" i="5"/>
  <c r="U518" i="5"/>
  <c r="V511" i="5"/>
  <c r="U509" i="5"/>
  <c r="V509" i="5"/>
  <c r="V382" i="5"/>
  <c r="V451" i="5"/>
  <c r="U451" i="5"/>
  <c r="V130" i="5"/>
  <c r="U514" i="5"/>
  <c r="U91" i="5"/>
  <c r="V91" i="5"/>
  <c r="V118" i="5"/>
  <c r="V459" i="5"/>
  <c r="V89" i="5"/>
  <c r="U89" i="5"/>
  <c r="V394" i="5"/>
  <c r="V537" i="5"/>
  <c r="V554" i="5"/>
  <c r="U308" i="5"/>
  <c r="V462" i="5"/>
  <c r="U50" i="5"/>
  <c r="V417" i="5"/>
  <c r="U417" i="5"/>
  <c r="V349" i="5"/>
  <c r="V402" i="5"/>
  <c r="V82" i="5"/>
  <c r="AU251" i="5"/>
  <c r="BB31" i="5"/>
  <c r="BA45" i="5"/>
  <c r="AV126" i="5"/>
  <c r="BB92" i="5"/>
  <c r="AU280" i="5"/>
  <c r="BA38" i="5"/>
  <c r="AU177" i="5"/>
  <c r="AV190" i="5"/>
  <c r="BA315" i="5"/>
  <c r="BB305" i="5"/>
  <c r="BB172" i="5"/>
  <c r="BB103" i="5"/>
  <c r="BA238" i="5"/>
  <c r="BB237" i="5"/>
  <c r="BA152" i="5"/>
  <c r="BA51" i="5"/>
  <c r="BB299" i="5"/>
  <c r="BB53" i="5"/>
  <c r="BA75" i="5"/>
  <c r="AU7" i="5"/>
  <c r="AL7" i="5"/>
  <c r="AU301" i="5"/>
  <c r="AV243" i="5"/>
  <c r="AV52" i="5"/>
  <c r="AU159" i="5"/>
  <c r="AU239" i="5"/>
  <c r="AV218" i="5"/>
  <c r="AV297" i="5"/>
  <c r="AV271" i="5"/>
  <c r="AV136" i="5"/>
  <c r="AU283" i="5"/>
  <c r="AU109" i="5"/>
  <c r="AV259" i="5"/>
  <c r="AU163" i="5"/>
  <c r="AV44" i="5"/>
  <c r="AV129" i="5"/>
  <c r="AV335" i="5"/>
  <c r="AU328" i="5"/>
  <c r="AV215" i="5"/>
  <c r="AU84" i="5"/>
  <c r="AU224" i="5"/>
  <c r="AU30" i="5"/>
  <c r="AU183" i="5"/>
  <c r="AV128" i="5"/>
  <c r="AU25" i="5"/>
  <c r="AU230" i="5"/>
  <c r="AV157" i="5"/>
  <c r="AV248" i="5"/>
  <c r="AV209" i="5"/>
  <c r="AU28" i="5"/>
  <c r="AV237" i="5"/>
  <c r="AV217" i="5"/>
  <c r="AV78" i="5"/>
  <c r="AU200" i="5"/>
  <c r="AU255" i="5"/>
  <c r="AV164" i="5"/>
  <c r="AU172" i="5"/>
  <c r="AV195" i="5"/>
  <c r="AU38" i="5"/>
  <c r="AU154" i="5"/>
  <c r="AU240" i="5"/>
  <c r="BA132" i="5"/>
  <c r="BB169" i="5"/>
  <c r="AV156" i="5"/>
  <c r="AU165" i="5"/>
  <c r="AV234" i="5"/>
  <c r="BA227" i="5"/>
  <c r="AU238" i="5"/>
  <c r="AV265" i="5"/>
  <c r="AU316" i="5"/>
  <c r="AU111" i="5"/>
  <c r="AV229" i="5"/>
  <c r="AU37" i="5"/>
  <c r="AV61" i="5"/>
  <c r="AU61" i="5"/>
  <c r="AU75" i="5"/>
  <c r="AV139" i="5"/>
  <c r="AU32" i="5"/>
  <c r="AV205" i="5"/>
  <c r="AV322" i="5"/>
  <c r="AU314" i="5"/>
  <c r="AV36" i="5"/>
  <c r="BB177" i="5"/>
  <c r="BB52" i="5"/>
  <c r="BB32" i="5"/>
  <c r="BB39" i="5"/>
  <c r="BA243" i="5"/>
  <c r="BB331" i="5"/>
  <c r="BA40" i="5"/>
  <c r="BB287" i="5"/>
  <c r="BA268" i="5"/>
  <c r="BA226" i="5"/>
  <c r="BA212" i="5"/>
  <c r="BA329" i="5"/>
  <c r="BA263" i="5"/>
  <c r="BB322" i="5"/>
  <c r="BA174" i="5"/>
  <c r="BB29" i="5"/>
  <c r="BA23" i="5"/>
  <c r="BB69" i="5"/>
  <c r="BB30" i="5"/>
  <c r="BB8" i="5"/>
  <c r="AL184" i="5"/>
  <c r="AK164" i="5"/>
  <c r="AK143" i="5"/>
  <c r="AK24" i="5"/>
  <c r="B144" i="2"/>
  <c r="H58" i="1" s="1"/>
  <c r="AV33" i="5"/>
  <c r="AU33" i="5"/>
  <c r="AV49" i="5"/>
  <c r="AU49" i="5"/>
  <c r="AU560" i="5"/>
  <c r="AV560" i="5"/>
  <c r="AV475" i="5"/>
  <c r="AU475" i="5"/>
  <c r="AV431" i="5"/>
  <c r="AU431" i="5"/>
  <c r="AV119" i="5"/>
  <c r="AU119" i="5"/>
  <c r="AV455" i="5"/>
  <c r="AU455" i="5"/>
  <c r="AU19" i="5"/>
  <c r="AV19" i="5"/>
  <c r="AV546" i="5"/>
  <c r="AU546" i="5"/>
  <c r="AV266" i="5"/>
  <c r="AU266" i="5"/>
  <c r="AU552" i="5"/>
  <c r="AV552" i="5"/>
  <c r="AU256" i="5"/>
  <c r="AV256" i="5"/>
  <c r="AV389" i="5"/>
  <c r="AU389" i="5"/>
  <c r="AU35" i="5"/>
  <c r="AV35" i="5"/>
  <c r="AV482" i="5"/>
  <c r="AU482" i="5"/>
  <c r="AU354" i="5"/>
  <c r="AV354" i="5"/>
  <c r="AV521" i="5"/>
  <c r="AU521" i="5"/>
  <c r="AU454" i="5"/>
  <c r="AV454" i="5"/>
  <c r="AU545" i="5"/>
  <c r="AV545" i="5"/>
  <c r="AV528" i="5"/>
  <c r="AU528" i="5"/>
  <c r="AV498" i="5"/>
  <c r="AU498" i="5"/>
  <c r="AV464" i="5"/>
  <c r="AU464" i="5"/>
  <c r="AU414" i="5"/>
  <c r="AV414" i="5"/>
  <c r="AV374" i="5"/>
  <c r="AU374" i="5"/>
  <c r="AV236" i="5"/>
  <c r="AU236" i="5"/>
  <c r="AV108" i="5"/>
  <c r="AU108" i="5"/>
  <c r="AV446" i="5"/>
  <c r="AU446" i="5"/>
  <c r="AU413" i="5"/>
  <c r="AV413" i="5"/>
  <c r="AU484" i="5"/>
  <c r="AV484" i="5"/>
  <c r="AU463" i="5"/>
  <c r="AV463" i="5"/>
  <c r="AU457" i="5"/>
  <c r="AV457" i="5"/>
  <c r="AU422" i="5"/>
  <c r="AV422" i="5"/>
  <c r="AV409" i="5"/>
  <c r="AU409" i="5"/>
  <c r="AV323" i="5"/>
  <c r="AU323" i="5"/>
  <c r="AV206" i="5"/>
  <c r="AU206" i="5"/>
  <c r="AU68" i="5"/>
  <c r="AV68" i="5"/>
  <c r="AU537" i="5"/>
  <c r="AV537" i="5"/>
  <c r="AU358" i="5"/>
  <c r="AV358" i="5"/>
  <c r="AV554" i="5"/>
  <c r="AU554" i="5"/>
  <c r="AV549" i="5"/>
  <c r="AU549" i="5"/>
  <c r="AV517" i="5"/>
  <c r="AU517" i="5"/>
  <c r="AV481" i="5"/>
  <c r="AU481" i="5"/>
  <c r="AU298" i="5"/>
  <c r="AV298" i="5"/>
  <c r="AV292" i="5"/>
  <c r="AU292" i="5"/>
  <c r="AV171" i="5"/>
  <c r="AU171" i="5"/>
  <c r="AU509" i="5"/>
  <c r="AV509" i="5"/>
  <c r="AV550" i="5"/>
  <c r="AU550" i="5"/>
  <c r="AU478" i="5"/>
  <c r="AV478" i="5"/>
  <c r="AU272" i="5"/>
  <c r="AV272" i="5"/>
  <c r="AU456" i="5"/>
  <c r="AV456" i="5"/>
  <c r="AU518" i="5"/>
  <c r="AV518" i="5"/>
  <c r="AU445" i="5"/>
  <c r="AV445" i="5"/>
  <c r="AV168" i="5"/>
  <c r="AU168" i="5"/>
  <c r="AU352" i="5"/>
  <c r="AV352" i="5"/>
  <c r="AV376" i="5"/>
  <c r="AU376" i="5"/>
  <c r="AU180" i="5"/>
  <c r="AV180" i="5"/>
  <c r="AV388" i="5"/>
  <c r="AU388" i="5"/>
  <c r="AU349" i="5"/>
  <c r="AV349" i="5"/>
  <c r="AU269" i="5"/>
  <c r="AV269" i="5"/>
  <c r="AU258" i="5"/>
  <c r="AV258" i="5"/>
  <c r="AU252" i="5"/>
  <c r="AV252" i="5"/>
  <c r="AV192" i="5"/>
  <c r="AU192" i="5"/>
  <c r="AV140" i="5"/>
  <c r="AU140" i="5"/>
  <c r="AU116" i="5"/>
  <c r="AV116" i="5"/>
  <c r="AU127" i="5"/>
  <c r="AV127" i="5"/>
  <c r="AU72" i="5"/>
  <c r="AV72" i="5"/>
  <c r="AV384" i="5"/>
  <c r="AU384" i="5"/>
  <c r="AU488" i="5"/>
  <c r="AV488" i="5"/>
  <c r="AV350" i="5"/>
  <c r="AU350" i="5"/>
  <c r="AV383" i="5"/>
  <c r="AU383" i="5"/>
  <c r="AV405" i="5"/>
  <c r="AU405" i="5"/>
  <c r="AV326" i="5"/>
  <c r="AU326" i="5"/>
  <c r="AV406" i="5"/>
  <c r="AU406" i="5"/>
  <c r="AU290" i="5"/>
  <c r="AV290" i="5"/>
  <c r="AV313" i="5"/>
  <c r="AU313" i="5"/>
  <c r="AV308" i="5"/>
  <c r="AU308" i="5"/>
  <c r="AU293" i="5"/>
  <c r="AV293" i="5"/>
  <c r="AU188" i="5"/>
  <c r="AV188" i="5"/>
  <c r="AV197" i="5"/>
  <c r="AU197" i="5"/>
  <c r="AV179" i="5"/>
  <c r="AU179" i="5"/>
  <c r="AV151" i="5"/>
  <c r="AU151" i="5"/>
  <c r="AV98" i="5"/>
  <c r="AU98" i="5"/>
  <c r="AU60" i="5"/>
  <c r="AV60" i="5"/>
  <c r="AU380" i="5"/>
  <c r="AV380" i="5"/>
  <c r="AV507" i="5"/>
  <c r="AU507" i="5"/>
  <c r="AV439" i="5"/>
  <c r="AU439" i="5"/>
  <c r="AU483" i="5"/>
  <c r="AV483" i="5"/>
  <c r="AV370" i="5"/>
  <c r="AU370" i="5"/>
  <c r="AU487" i="5"/>
  <c r="AV487" i="5"/>
  <c r="AV346" i="5"/>
  <c r="AU346" i="5"/>
  <c r="AU375" i="5"/>
  <c r="AV375" i="5"/>
  <c r="AV396" i="5"/>
  <c r="AU396" i="5"/>
  <c r="AV321" i="5"/>
  <c r="AU321" i="5"/>
  <c r="AV403" i="5"/>
  <c r="AU403" i="5"/>
  <c r="AU284" i="5"/>
  <c r="AV284" i="5"/>
  <c r="AV303" i="5"/>
  <c r="AU303" i="5"/>
  <c r="AU304" i="5"/>
  <c r="AV304" i="5"/>
  <c r="AV287" i="5"/>
  <c r="AU287" i="5"/>
  <c r="AV166" i="5"/>
  <c r="AU166" i="5"/>
  <c r="AU194" i="5"/>
  <c r="AV194" i="5"/>
  <c r="AV178" i="5"/>
  <c r="AU178" i="5"/>
  <c r="AV148" i="5"/>
  <c r="AU148" i="5"/>
  <c r="AV97" i="5"/>
  <c r="AU97" i="5"/>
  <c r="AU57" i="5"/>
  <c r="AV57" i="5"/>
  <c r="AV155" i="5"/>
  <c r="AU155" i="5"/>
  <c r="AU226" i="5"/>
  <c r="AV226" i="5"/>
  <c r="AU132" i="5"/>
  <c r="AV132" i="5"/>
  <c r="AV519" i="5"/>
  <c r="AU519" i="5"/>
  <c r="AU544" i="5"/>
  <c r="AV544" i="5"/>
  <c r="AV536" i="5"/>
  <c r="AU536" i="5"/>
  <c r="AV531" i="5"/>
  <c r="AU531" i="5"/>
  <c r="AV433" i="5"/>
  <c r="AU433" i="5"/>
  <c r="AU137" i="5"/>
  <c r="AV137" i="5"/>
  <c r="AU432" i="5"/>
  <c r="AV432" i="5"/>
  <c r="AV520" i="5"/>
  <c r="AU520" i="5"/>
  <c r="AU458" i="5"/>
  <c r="AV458" i="5"/>
  <c r="AU330" i="5"/>
  <c r="AV330" i="5"/>
  <c r="AU107" i="5"/>
  <c r="AV107" i="5"/>
  <c r="AV395" i="5"/>
  <c r="AU395" i="5"/>
  <c r="AV392" i="5"/>
  <c r="AU392" i="5"/>
  <c r="AU357" i="5"/>
  <c r="AV357" i="5"/>
  <c r="AV300" i="5"/>
  <c r="AU300" i="5"/>
  <c r="AU50" i="5"/>
  <c r="AV50" i="5"/>
  <c r="AV504" i="5"/>
  <c r="AU504" i="5"/>
  <c r="AV472" i="5"/>
  <c r="AU472" i="5"/>
  <c r="AV469" i="5"/>
  <c r="AU469" i="5"/>
  <c r="AV369" i="5"/>
  <c r="AU369" i="5"/>
  <c r="AV268" i="5"/>
  <c r="AU268" i="5"/>
  <c r="AU174" i="5"/>
  <c r="AV174" i="5"/>
  <c r="AU289" i="5"/>
  <c r="AV289" i="5"/>
  <c r="AU232" i="5"/>
  <c r="AV232" i="5"/>
  <c r="AV158" i="5"/>
  <c r="AU158" i="5"/>
  <c r="AV94" i="5"/>
  <c r="AU94" i="5"/>
  <c r="AU499" i="5"/>
  <c r="AV499" i="5"/>
  <c r="AV404" i="5"/>
  <c r="AU404" i="5"/>
  <c r="AV355" i="5"/>
  <c r="AU355" i="5"/>
  <c r="AV364" i="5"/>
  <c r="AU364" i="5"/>
  <c r="AU196" i="5"/>
  <c r="AV196" i="5"/>
  <c r="AV225" i="5"/>
  <c r="AU225" i="5"/>
  <c r="AU161" i="5"/>
  <c r="AV161" i="5"/>
  <c r="AV85" i="5"/>
  <c r="AU85" i="5"/>
  <c r="AU473" i="5"/>
  <c r="AV473" i="5"/>
  <c r="AU459" i="5"/>
  <c r="AV459" i="5"/>
  <c r="AU425" i="5"/>
  <c r="AV425" i="5"/>
  <c r="AV412" i="5"/>
  <c r="AU412" i="5"/>
  <c r="AV410" i="5"/>
  <c r="AU410" i="5"/>
  <c r="AV421" i="5"/>
  <c r="AU421" i="5"/>
  <c r="AV117" i="5"/>
  <c r="AU117" i="5"/>
  <c r="AV315" i="5"/>
  <c r="AU315" i="5"/>
  <c r="AU193" i="5"/>
  <c r="AV193" i="5"/>
  <c r="AU82" i="5"/>
  <c r="AV82" i="5"/>
  <c r="AV423" i="5"/>
  <c r="AU423" i="5"/>
  <c r="AV529" i="5"/>
  <c r="AU529" i="5"/>
  <c r="AU515" i="5"/>
  <c r="AV515" i="5"/>
  <c r="AV123" i="5"/>
  <c r="AU123" i="5"/>
  <c r="AV535" i="5"/>
  <c r="AU535" i="5"/>
  <c r="AU394" i="5"/>
  <c r="AV394" i="5"/>
  <c r="AV204" i="5"/>
  <c r="AU204" i="5"/>
  <c r="AV470" i="5"/>
  <c r="AU470" i="5"/>
  <c r="AU471" i="5"/>
  <c r="AV471" i="5"/>
  <c r="AV207" i="5"/>
  <c r="AU207" i="5"/>
  <c r="AU449" i="5"/>
  <c r="AV449" i="5"/>
  <c r="AV426" i="5"/>
  <c r="AU426" i="5"/>
  <c r="AV495" i="5"/>
  <c r="AU495" i="5"/>
  <c r="AV476" i="5"/>
  <c r="AU476" i="5"/>
  <c r="AV462" i="5"/>
  <c r="AU462" i="5"/>
  <c r="AV434" i="5"/>
  <c r="AU434" i="5"/>
  <c r="AV339" i="5"/>
  <c r="AU339" i="5"/>
  <c r="AV343" i="5"/>
  <c r="AU343" i="5"/>
  <c r="AV227" i="5"/>
  <c r="AU227" i="5"/>
  <c r="AU80" i="5"/>
  <c r="AV80" i="5"/>
  <c r="AU556" i="5"/>
  <c r="AV556" i="5"/>
  <c r="AU365" i="5"/>
  <c r="AV365" i="5"/>
  <c r="AV441" i="5"/>
  <c r="AU441" i="5"/>
  <c r="AU551" i="5"/>
  <c r="AV551" i="5"/>
  <c r="AV302" i="5"/>
  <c r="AU302" i="5"/>
  <c r="AU493" i="5"/>
  <c r="AV493" i="5"/>
  <c r="AU333" i="5"/>
  <c r="AV333" i="5"/>
  <c r="AU325" i="5"/>
  <c r="AV325" i="5"/>
  <c r="AU125" i="5"/>
  <c r="AV125" i="5"/>
  <c r="AU534" i="5"/>
  <c r="AV534" i="5"/>
  <c r="AU467" i="5"/>
  <c r="AV467" i="5"/>
  <c r="AV555" i="5"/>
  <c r="AU555" i="5"/>
  <c r="AV539" i="5"/>
  <c r="AU539" i="5"/>
  <c r="AV512" i="5"/>
  <c r="AU512" i="5"/>
  <c r="AV485" i="5"/>
  <c r="AU485" i="5"/>
  <c r="AU344" i="5"/>
  <c r="AV344" i="5"/>
  <c r="AU401" i="5"/>
  <c r="AV401" i="5"/>
  <c r="AV277" i="5"/>
  <c r="AU277" i="5"/>
  <c r="AU124" i="5"/>
  <c r="AV124" i="5"/>
  <c r="AV479" i="5"/>
  <c r="AU479" i="5"/>
  <c r="AU543" i="5"/>
  <c r="AV543" i="5"/>
  <c r="AV468" i="5"/>
  <c r="AU468" i="5"/>
  <c r="AV501" i="5"/>
  <c r="AU501" i="5"/>
  <c r="AV435" i="5"/>
  <c r="AU435" i="5"/>
  <c r="AV502" i="5"/>
  <c r="AU502" i="5"/>
  <c r="AV427" i="5"/>
  <c r="AU427" i="5"/>
  <c r="AV411" i="5"/>
  <c r="AU411" i="5"/>
  <c r="AV317" i="5"/>
  <c r="AU317" i="5"/>
  <c r="AU362" i="5"/>
  <c r="AV362" i="5"/>
  <c r="AV429" i="5"/>
  <c r="AU429" i="5"/>
  <c r="AV366" i="5"/>
  <c r="AU366" i="5"/>
  <c r="AV342" i="5"/>
  <c r="AU342" i="5"/>
  <c r="AU244" i="5"/>
  <c r="AV244" i="5"/>
  <c r="AV332" i="5"/>
  <c r="AU332" i="5"/>
  <c r="AU235" i="5"/>
  <c r="AV235" i="5"/>
  <c r="AV223" i="5"/>
  <c r="AU223" i="5"/>
  <c r="AU169" i="5"/>
  <c r="AV169" i="5"/>
  <c r="AV134" i="5"/>
  <c r="AU134" i="5"/>
  <c r="AV101" i="5"/>
  <c r="AU101" i="5"/>
  <c r="AV26" i="5"/>
  <c r="AU26" i="5"/>
  <c r="AV294" i="5"/>
  <c r="AU294" i="5"/>
  <c r="AV466" i="5"/>
  <c r="AU466" i="5"/>
  <c r="AU305" i="5"/>
  <c r="AV305" i="5"/>
  <c r="AV361" i="5"/>
  <c r="AU361" i="5"/>
  <c r="AV387" i="5"/>
  <c r="AU387" i="5"/>
  <c r="AU267" i="5"/>
  <c r="AV267" i="5"/>
  <c r="AV398" i="5"/>
  <c r="AU398" i="5"/>
  <c r="AV359" i="5"/>
  <c r="AU359" i="5"/>
  <c r="AU288" i="5"/>
  <c r="AV288" i="5"/>
  <c r="AU279" i="5"/>
  <c r="AV279" i="5"/>
  <c r="AU263" i="5"/>
  <c r="AV263" i="5"/>
  <c r="AU220" i="5"/>
  <c r="AV220" i="5"/>
  <c r="AU167" i="5"/>
  <c r="AV167" i="5"/>
  <c r="AV147" i="5"/>
  <c r="AU147" i="5"/>
  <c r="AV145" i="5"/>
  <c r="AU145" i="5"/>
  <c r="AU86" i="5"/>
  <c r="AV86" i="5"/>
  <c r="AU40" i="5"/>
  <c r="AV40" i="5"/>
  <c r="AV553" i="5"/>
  <c r="AU553" i="5"/>
  <c r="AV486" i="5"/>
  <c r="AU486" i="5"/>
  <c r="AV337" i="5"/>
  <c r="AU337" i="5"/>
  <c r="AV460" i="5"/>
  <c r="AU460" i="5"/>
  <c r="AU530" i="5"/>
  <c r="AV530" i="5"/>
  <c r="AU451" i="5"/>
  <c r="AV451" i="5"/>
  <c r="AV275" i="5"/>
  <c r="AU275" i="5"/>
  <c r="AU360" i="5"/>
  <c r="AV360" i="5"/>
  <c r="AU386" i="5"/>
  <c r="AV386" i="5"/>
  <c r="AV262" i="5"/>
  <c r="AU262" i="5"/>
  <c r="AU397" i="5"/>
  <c r="AV397" i="5"/>
  <c r="AU356" i="5"/>
  <c r="AV356" i="5"/>
  <c r="AV285" i="5"/>
  <c r="AU285" i="5"/>
  <c r="AV278" i="5"/>
  <c r="AU278" i="5"/>
  <c r="AU260" i="5"/>
  <c r="AV260" i="5"/>
  <c r="AV216" i="5"/>
  <c r="AU216" i="5"/>
  <c r="AU162" i="5"/>
  <c r="AV162" i="5"/>
  <c r="AU144" i="5"/>
  <c r="AV144" i="5"/>
  <c r="AV143" i="5"/>
  <c r="AU143" i="5"/>
  <c r="AU81" i="5"/>
  <c r="AV81" i="5"/>
  <c r="AU45" i="5"/>
  <c r="AV45" i="5"/>
  <c r="AV547" i="5"/>
  <c r="AU547" i="5"/>
  <c r="AV461" i="5"/>
  <c r="AU461" i="5"/>
  <c r="AU281" i="5"/>
  <c r="AV281" i="5"/>
  <c r="AU353" i="5"/>
  <c r="AV353" i="5"/>
  <c r="AV523" i="5"/>
  <c r="AU523" i="5"/>
  <c r="AV542" i="5"/>
  <c r="AU542" i="5"/>
  <c r="AV497" i="5"/>
  <c r="AU497" i="5"/>
  <c r="AU203" i="5"/>
  <c r="AV203" i="5"/>
  <c r="AU503" i="5"/>
  <c r="AV503" i="5"/>
  <c r="AU533" i="5"/>
  <c r="AV533" i="5"/>
  <c r="AV480" i="5"/>
  <c r="AU480" i="5"/>
  <c r="AU390" i="5"/>
  <c r="AV390" i="5"/>
  <c r="AU213" i="5"/>
  <c r="AV213" i="5"/>
  <c r="AV440" i="5"/>
  <c r="AU440" i="5"/>
  <c r="AV465" i="5"/>
  <c r="AU465" i="5"/>
  <c r="AU452" i="5"/>
  <c r="AV452" i="5"/>
  <c r="AV393" i="5"/>
  <c r="AU393" i="5"/>
  <c r="AU186" i="5"/>
  <c r="AV186" i="5"/>
  <c r="AV559" i="5"/>
  <c r="AU559" i="5"/>
  <c r="AU399" i="5"/>
  <c r="AV399" i="5"/>
  <c r="AV331" i="5"/>
  <c r="AU331" i="5"/>
  <c r="AU334" i="5"/>
  <c r="AV334" i="5"/>
  <c r="AU391" i="5"/>
  <c r="AV391" i="5"/>
  <c r="AV400" i="5"/>
  <c r="AU400" i="5"/>
  <c r="AV296" i="5"/>
  <c r="AU296" i="5"/>
  <c r="AU274" i="5"/>
  <c r="AV274" i="5"/>
  <c r="AV185" i="5"/>
  <c r="AU185" i="5"/>
  <c r="AV104" i="5"/>
  <c r="AU104" i="5"/>
  <c r="AU48" i="5"/>
  <c r="AV48" i="5"/>
  <c r="AV419" i="5"/>
  <c r="AU419" i="5"/>
  <c r="AU202" i="5"/>
  <c r="AV202" i="5"/>
  <c r="AV424" i="5"/>
  <c r="AU424" i="5"/>
  <c r="AV338" i="5"/>
  <c r="AU338" i="5"/>
  <c r="AV320" i="5"/>
  <c r="AU320" i="5"/>
  <c r="AU208" i="5"/>
  <c r="AV208" i="5"/>
  <c r="AV120" i="5"/>
  <c r="AU120" i="5"/>
  <c r="AV59" i="5"/>
  <c r="AU59" i="5"/>
  <c r="AV525" i="5"/>
  <c r="AU525" i="5"/>
  <c r="AV496" i="5"/>
  <c r="AU496" i="5"/>
  <c r="AV494" i="5"/>
  <c r="AU494" i="5"/>
  <c r="AV402" i="5"/>
  <c r="AU402" i="5"/>
  <c r="AV340" i="5"/>
  <c r="AU340" i="5"/>
  <c r="AV341" i="5"/>
  <c r="AU341" i="5"/>
  <c r="AV336" i="5"/>
  <c r="AU336" i="5"/>
  <c r="AU222" i="5"/>
  <c r="AV222" i="5"/>
  <c r="AU149" i="5"/>
  <c r="AV149" i="5"/>
  <c r="AV58" i="5"/>
  <c r="AU58" i="5"/>
  <c r="AU381" i="5"/>
  <c r="AV381" i="5"/>
  <c r="AV540" i="5"/>
  <c r="AU540" i="5"/>
  <c r="AV450" i="5"/>
  <c r="AU450" i="5"/>
  <c r="AV527" i="5"/>
  <c r="AU527" i="5"/>
  <c r="AV505" i="5"/>
  <c r="AU505" i="5"/>
  <c r="AV254" i="5"/>
  <c r="AU254" i="5"/>
  <c r="AV522" i="5"/>
  <c r="AU522" i="5"/>
  <c r="AV428" i="5"/>
  <c r="AU428" i="5"/>
  <c r="AV442" i="5"/>
  <c r="AU442" i="5"/>
  <c r="AV76" i="5"/>
  <c r="AU76" i="5"/>
  <c r="AU558" i="5"/>
  <c r="AV558" i="5"/>
  <c r="AU377" i="5"/>
  <c r="AV377" i="5"/>
  <c r="AV444" i="5"/>
  <c r="AU444" i="5"/>
  <c r="AU557" i="5"/>
  <c r="AV557" i="5"/>
  <c r="AV363" i="5"/>
  <c r="AU363" i="5"/>
  <c r="AU508" i="5"/>
  <c r="AV508" i="5"/>
  <c r="AV367" i="5"/>
  <c r="AU367" i="5"/>
  <c r="AV253" i="5"/>
  <c r="AU253" i="5"/>
  <c r="AU170" i="5"/>
  <c r="AV170" i="5"/>
  <c r="AU538" i="5"/>
  <c r="AV538" i="5"/>
  <c r="AU511" i="5"/>
  <c r="AV511" i="5"/>
  <c r="AV532" i="5"/>
  <c r="AU532" i="5"/>
  <c r="AU541" i="5"/>
  <c r="AV541" i="5"/>
  <c r="AV524" i="5"/>
  <c r="AU524" i="5"/>
  <c r="AV491" i="5"/>
  <c r="AU491" i="5"/>
  <c r="AU379" i="5"/>
  <c r="AV379" i="5"/>
  <c r="AU420" i="5"/>
  <c r="AV420" i="5"/>
  <c r="AU309" i="5"/>
  <c r="AV309" i="5"/>
  <c r="AV106" i="5"/>
  <c r="AU106" i="5"/>
  <c r="AU500" i="5"/>
  <c r="AV500" i="5"/>
  <c r="AV430" i="5"/>
  <c r="AU430" i="5"/>
  <c r="AU526" i="5"/>
  <c r="AV526" i="5"/>
  <c r="AU506" i="5"/>
  <c r="AV506" i="5"/>
  <c r="AV477" i="5"/>
  <c r="AU477" i="5"/>
  <c r="AV448" i="5"/>
  <c r="AU448" i="5"/>
  <c r="AV373" i="5"/>
  <c r="AU373" i="5"/>
  <c r="AV231" i="5"/>
  <c r="AU231" i="5"/>
  <c r="AU242" i="5"/>
  <c r="AV242" i="5"/>
  <c r="AU74" i="5"/>
  <c r="AV74" i="5"/>
  <c r="AU416" i="5"/>
  <c r="AV416" i="5"/>
  <c r="AU514" i="5"/>
  <c r="AV514" i="5"/>
  <c r="AU453" i="5"/>
  <c r="AV453" i="5"/>
  <c r="AU490" i="5"/>
  <c r="AV490" i="5"/>
  <c r="AU408" i="5"/>
  <c r="AV408" i="5"/>
  <c r="AU489" i="5"/>
  <c r="AV489" i="5"/>
  <c r="AU371" i="5"/>
  <c r="AV371" i="5"/>
  <c r="AU385" i="5"/>
  <c r="AV385" i="5"/>
  <c r="AU407" i="5"/>
  <c r="AV407" i="5"/>
  <c r="AV329" i="5"/>
  <c r="AU329" i="5"/>
  <c r="AV415" i="5"/>
  <c r="AU415" i="5"/>
  <c r="AV310" i="5"/>
  <c r="AU310" i="5"/>
  <c r="AU318" i="5"/>
  <c r="AV318" i="5"/>
  <c r="AV319" i="5"/>
  <c r="AU319" i="5"/>
  <c r="AU306" i="5"/>
  <c r="AV306" i="5"/>
  <c r="AU212" i="5"/>
  <c r="AV212" i="5"/>
  <c r="AV201" i="5"/>
  <c r="AU201" i="5"/>
  <c r="AV112" i="5"/>
  <c r="AU112" i="5"/>
  <c r="AU99" i="5"/>
  <c r="AV99" i="5"/>
  <c r="AV105" i="5"/>
  <c r="AU105" i="5"/>
  <c r="AU67" i="5"/>
  <c r="AV67" i="5"/>
  <c r="AV513" i="5"/>
  <c r="AU513" i="5"/>
  <c r="AV443" i="5"/>
  <c r="AU443" i="5"/>
  <c r="AV418" i="5"/>
  <c r="AU418" i="5"/>
  <c r="AV351" i="5"/>
  <c r="AU351" i="5"/>
  <c r="AV372" i="5"/>
  <c r="AU372" i="5"/>
  <c r="AV437" i="5"/>
  <c r="AU437" i="5"/>
  <c r="AV382" i="5"/>
  <c r="AU382" i="5"/>
  <c r="AV348" i="5"/>
  <c r="AU348" i="5"/>
  <c r="AV264" i="5"/>
  <c r="AU264" i="5"/>
  <c r="AU241" i="5"/>
  <c r="AV241" i="5"/>
  <c r="AV228" i="5"/>
  <c r="AU228" i="5"/>
  <c r="AU247" i="5"/>
  <c r="AV247" i="5"/>
  <c r="AV95" i="5"/>
  <c r="AU95" i="5"/>
  <c r="AU152" i="5"/>
  <c r="AV152" i="5"/>
  <c r="AU114" i="5"/>
  <c r="AV114" i="5"/>
  <c r="AU73" i="5"/>
  <c r="AV73" i="5"/>
  <c r="AU492" i="5"/>
  <c r="AV492" i="5"/>
  <c r="AV548" i="5"/>
  <c r="AU548" i="5"/>
  <c r="AV474" i="5"/>
  <c r="AU474" i="5"/>
  <c r="AV516" i="5"/>
  <c r="AU516" i="5"/>
  <c r="AV447" i="5"/>
  <c r="AU447" i="5"/>
  <c r="AV510" i="5"/>
  <c r="AU510" i="5"/>
  <c r="AV438" i="5"/>
  <c r="AU438" i="5"/>
  <c r="AV417" i="5"/>
  <c r="AU417" i="5"/>
  <c r="AV347" i="5"/>
  <c r="AU347" i="5"/>
  <c r="AU368" i="5"/>
  <c r="AV368" i="5"/>
  <c r="AV436" i="5"/>
  <c r="AU436" i="5"/>
  <c r="AV378" i="5"/>
  <c r="AU378" i="5"/>
  <c r="AV345" i="5"/>
  <c r="AU345" i="5"/>
  <c r="AV261" i="5"/>
  <c r="AU261" i="5"/>
  <c r="AV219" i="5"/>
  <c r="AU219" i="5"/>
  <c r="AV214" i="5"/>
  <c r="AU214" i="5"/>
  <c r="AU245" i="5"/>
  <c r="AV245" i="5"/>
  <c r="AU184" i="5"/>
  <c r="AV184" i="5"/>
  <c r="AU146" i="5"/>
  <c r="AV146" i="5"/>
  <c r="AU113" i="5"/>
  <c r="AV113" i="5"/>
  <c r="AU70" i="5"/>
  <c r="AV70" i="5"/>
  <c r="AU27" i="5"/>
  <c r="AV27" i="5"/>
  <c r="BA85" i="5"/>
  <c r="BB276" i="5"/>
  <c r="BA54" i="5"/>
  <c r="BA213" i="5"/>
  <c r="BB316" i="5"/>
  <c r="BB133" i="5"/>
  <c r="BB313" i="5"/>
  <c r="BB105" i="5"/>
  <c r="BA88" i="5"/>
  <c r="BB231" i="5"/>
  <c r="BA235" i="5"/>
  <c r="BB109" i="5"/>
  <c r="BB21" i="5"/>
  <c r="BB201" i="5"/>
  <c r="BA339" i="5"/>
  <c r="BB195" i="5"/>
  <c r="BB34" i="5"/>
  <c r="BB241" i="5"/>
  <c r="BB72" i="5"/>
  <c r="BA149" i="5"/>
  <c r="BB225" i="5"/>
  <c r="BB207" i="5"/>
  <c r="BB338" i="5"/>
  <c r="BA76" i="5"/>
  <c r="BB101" i="5"/>
  <c r="BA214" i="5"/>
  <c r="BA317" i="5"/>
  <c r="BA411" i="5"/>
  <c r="BA65" i="5"/>
  <c r="BB145" i="5"/>
  <c r="BB210" i="5"/>
  <c r="BB298" i="5"/>
  <c r="BA41" i="5"/>
  <c r="BA122" i="5"/>
  <c r="BB189" i="5"/>
  <c r="BB306" i="5"/>
  <c r="BB100" i="5"/>
  <c r="BA279" i="5"/>
  <c r="BB147" i="5"/>
  <c r="BA157" i="5"/>
  <c r="BA47" i="5"/>
  <c r="AK71" i="5"/>
  <c r="AL71" i="5"/>
  <c r="AL61" i="5"/>
  <c r="AK61" i="5"/>
  <c r="AK40" i="5"/>
  <c r="AL146" i="5"/>
  <c r="AK146" i="5"/>
  <c r="AK93" i="5"/>
  <c r="AL93" i="5"/>
  <c r="H57" i="1"/>
  <c r="B146" i="2"/>
  <c r="H61" i="1" s="1"/>
  <c r="B143" i="2"/>
  <c r="H59" i="1" s="1"/>
  <c r="AS31" i="5"/>
  <c r="BC31" i="5" s="1"/>
  <c r="AS466" i="5"/>
  <c r="BC466" i="5" s="1"/>
  <c r="AS417" i="5"/>
  <c r="BC417" i="5" s="1"/>
  <c r="AS422" i="5"/>
  <c r="BC422" i="5" s="1"/>
  <c r="AS497" i="5"/>
  <c r="AS449" i="5"/>
  <c r="AS405" i="5"/>
  <c r="AS492" i="5"/>
  <c r="AS264" i="5"/>
  <c r="AS26" i="5"/>
  <c r="BC26" i="5" s="1"/>
  <c r="AS12" i="5"/>
  <c r="AS287" i="5"/>
  <c r="BC287" i="5" s="1"/>
  <c r="BE287" i="5" s="1"/>
  <c r="AS339" i="5"/>
  <c r="AS446" i="5"/>
  <c r="BC446" i="5" s="1"/>
  <c r="AS91" i="5"/>
  <c r="BC91" i="5" s="1"/>
  <c r="AS161" i="5"/>
  <c r="BC161" i="5" s="1"/>
  <c r="AS484" i="5"/>
  <c r="BC484" i="5" s="1"/>
  <c r="AS310" i="5"/>
  <c r="BC310" i="5" s="1"/>
  <c r="AS50" i="5"/>
  <c r="BC50" i="5" s="1"/>
  <c r="AS435" i="5"/>
  <c r="BC435" i="5" s="1"/>
  <c r="AS210" i="5"/>
  <c r="BC210" i="5" s="1"/>
  <c r="BE210" i="5" s="1"/>
  <c r="AS71" i="5"/>
  <c r="BC71" i="5" s="1"/>
  <c r="BE71" i="5" s="1"/>
  <c r="AS177" i="5"/>
  <c r="AS540" i="5"/>
  <c r="BC540" i="5" s="1"/>
  <c r="AS511" i="5"/>
  <c r="AS444" i="5"/>
  <c r="BC444" i="5" s="1"/>
  <c r="AS548" i="5"/>
  <c r="AS319" i="5"/>
  <c r="BC319" i="5" s="1"/>
  <c r="AS455" i="5"/>
  <c r="AS128" i="5"/>
  <c r="AS528" i="5"/>
  <c r="BC528" i="5" s="1"/>
  <c r="AS434" i="5"/>
  <c r="BC434" i="5" s="1"/>
  <c r="AS205" i="5"/>
  <c r="AS538" i="5"/>
  <c r="BC538" i="5" s="1"/>
  <c r="AS452" i="5"/>
  <c r="BC452" i="5" s="1"/>
  <c r="AS265" i="5"/>
  <c r="BC265" i="5" s="1"/>
  <c r="AS64" i="5"/>
  <c r="BC64" i="5" s="1"/>
  <c r="BE64" i="5" s="1"/>
  <c r="AS114" i="5"/>
  <c r="BC114" i="5" s="1"/>
  <c r="BD114" i="5" s="1"/>
  <c r="AS11" i="5"/>
  <c r="AS514" i="5"/>
  <c r="BC514" i="5" s="1"/>
  <c r="AS382" i="5"/>
  <c r="AS373" i="5"/>
  <c r="BC373" i="5" s="1"/>
  <c r="AS500" i="5"/>
  <c r="AS258" i="5"/>
  <c r="BC258" i="5" s="1"/>
  <c r="AS426" i="5"/>
  <c r="AS54" i="5"/>
  <c r="BC54" i="5" s="1"/>
  <c r="AS429" i="5"/>
  <c r="AS439" i="5"/>
  <c r="BC439" i="5" s="1"/>
  <c r="AS208" i="5"/>
  <c r="BC208" i="5" s="1"/>
  <c r="AS240" i="5"/>
  <c r="BC240" i="5" s="1"/>
  <c r="AS550" i="5"/>
  <c r="BC550" i="5" s="1"/>
  <c r="AS506" i="5"/>
  <c r="BC506" i="5" s="1"/>
  <c r="AS496" i="5"/>
  <c r="AS350" i="5"/>
  <c r="AS159" i="5"/>
  <c r="BC159" i="5" s="1"/>
  <c r="AS33" i="5"/>
  <c r="BC33" i="5" s="1"/>
  <c r="AS164" i="5"/>
  <c r="BC164" i="5" s="1"/>
  <c r="BE164" i="5" s="1"/>
  <c r="AS292" i="5"/>
  <c r="BC292" i="5" s="1"/>
  <c r="AS252" i="5"/>
  <c r="BC252" i="5" s="1"/>
  <c r="AS418" i="5"/>
  <c r="BC418" i="5" s="1"/>
  <c r="AS43" i="5"/>
  <c r="BC43" i="5" s="1"/>
  <c r="BD43" i="5" s="1"/>
  <c r="AS120" i="5"/>
  <c r="BC120" i="5" s="1"/>
  <c r="AS219" i="5"/>
  <c r="BC219" i="5" s="1"/>
  <c r="BD219" i="5" s="1"/>
  <c r="AS290" i="5"/>
  <c r="BC290" i="5" s="1"/>
  <c r="AS315" i="5"/>
  <c r="BC315" i="5" s="1"/>
  <c r="BE315" i="5" s="1"/>
  <c r="AS442" i="5"/>
  <c r="BC442" i="5" s="1"/>
  <c r="AS156" i="5"/>
  <c r="BC156" i="5" s="1"/>
  <c r="AS21" i="5"/>
  <c r="AS154" i="5"/>
  <c r="BC154" i="5" s="1"/>
  <c r="AS505" i="5"/>
  <c r="BC505" i="5" s="1"/>
  <c r="AS197" i="5"/>
  <c r="BC197" i="5" s="1"/>
  <c r="AS524" i="5"/>
  <c r="AS390" i="5"/>
  <c r="AS359" i="5"/>
  <c r="BC359" i="5" s="1"/>
  <c r="AS101" i="5"/>
  <c r="BC101" i="5" s="1"/>
  <c r="AS200" i="5"/>
  <c r="BC200" i="5" s="1"/>
  <c r="AS199" i="5"/>
  <c r="BC199" i="5" s="1"/>
  <c r="AS146" i="5"/>
  <c r="BC146" i="5" s="1"/>
  <c r="AS212" i="5"/>
  <c r="BC212" i="5" s="1"/>
  <c r="AS55" i="5"/>
  <c r="BC55" i="5" s="1"/>
  <c r="BD55" i="5" s="1"/>
  <c r="AS460" i="5"/>
  <c r="AS109" i="5"/>
  <c r="BC109" i="5" s="1"/>
  <c r="AS365" i="5"/>
  <c r="BC365" i="5" s="1"/>
  <c r="AS28" i="5"/>
  <c r="BC28" i="5" s="1"/>
  <c r="AS179" i="5"/>
  <c r="AS467" i="5"/>
  <c r="BC467" i="5" s="1"/>
  <c r="AS180" i="5"/>
  <c r="BC180" i="5" s="1"/>
  <c r="BE180" i="5" s="1"/>
  <c r="AS398" i="5"/>
  <c r="BC398" i="5" s="1"/>
  <c r="AS207" i="5"/>
  <c r="BC207" i="5" s="1"/>
  <c r="AS428" i="5"/>
  <c r="BC428" i="5" s="1"/>
  <c r="AS488" i="5"/>
  <c r="BC488" i="5" s="1"/>
  <c r="AS306" i="5"/>
  <c r="BC306" i="5" s="1"/>
  <c r="BD306" i="5" s="1"/>
  <c r="AS98" i="5"/>
  <c r="BC98" i="5" s="1"/>
  <c r="BE98" i="5" s="1"/>
  <c r="AS512" i="5"/>
  <c r="BC512" i="5" s="1"/>
  <c r="AS304" i="5"/>
  <c r="BC304" i="5" s="1"/>
  <c r="AS46" i="5"/>
  <c r="BC46" i="5" s="1"/>
  <c r="AS202" i="5"/>
  <c r="BC202" i="5" s="1"/>
  <c r="AS337" i="5"/>
  <c r="BC337" i="5" s="1"/>
  <c r="BD337" i="5" s="1"/>
  <c r="AS228" i="5"/>
  <c r="BC228" i="5" s="1"/>
  <c r="AS552" i="5"/>
  <c r="BC552" i="5" s="1"/>
  <c r="AS157" i="5"/>
  <c r="BC157" i="5" s="1"/>
  <c r="AS355" i="5"/>
  <c r="AS508" i="5"/>
  <c r="AS515" i="5"/>
  <c r="BC515" i="5" s="1"/>
  <c r="AS215" i="5"/>
  <c r="AS29" i="5"/>
  <c r="BC29" i="5" s="1"/>
  <c r="AS454" i="5"/>
  <c r="AS402" i="5"/>
  <c r="BC402" i="5" s="1"/>
  <c r="AS222" i="5"/>
  <c r="BC222" i="5" s="1"/>
  <c r="BE222" i="5" s="1"/>
  <c r="AS84" i="5"/>
  <c r="BC84" i="5" s="1"/>
  <c r="BE84" i="5" s="1"/>
  <c r="AS225" i="5"/>
  <c r="BC225" i="5" s="1"/>
  <c r="AS302" i="5"/>
  <c r="BC302" i="5" s="1"/>
  <c r="AS380" i="5"/>
  <c r="AS86" i="5"/>
  <c r="AS230" i="5"/>
  <c r="AS358" i="5"/>
  <c r="BC358" i="5" s="1"/>
  <c r="AS371" i="5"/>
  <c r="BC371" i="5" s="1"/>
  <c r="AS149" i="5"/>
  <c r="BC149" i="5" s="1"/>
  <c r="AS192" i="5"/>
  <c r="BC192" i="5" s="1"/>
  <c r="AS85" i="5"/>
  <c r="BC85" i="5" s="1"/>
  <c r="AS22" i="5"/>
  <c r="AS234" i="5"/>
  <c r="BC234" i="5" s="1"/>
  <c r="BD234" i="5" s="1"/>
  <c r="AS254" i="5"/>
  <c r="BC254" i="5" s="1"/>
  <c r="AS403" i="5"/>
  <c r="BC403" i="5" s="1"/>
  <c r="AS106" i="5"/>
  <c r="AS178" i="5"/>
  <c r="BC178" i="5" s="1"/>
  <c r="AS259" i="5"/>
  <c r="AS368" i="5"/>
  <c r="BC368" i="5" s="1"/>
  <c r="AS384" i="5"/>
  <c r="AS143" i="5"/>
  <c r="BC143" i="5" s="1"/>
  <c r="AS66" i="5"/>
  <c r="BC66" i="5" s="1"/>
  <c r="BE66" i="5" s="1"/>
  <c r="AS122" i="5"/>
  <c r="BC122" i="5" s="1"/>
  <c r="BD122" i="5" s="1"/>
  <c r="AS99" i="5"/>
  <c r="AS36" i="5"/>
  <c r="BC36" i="5" s="1"/>
  <c r="AS267" i="5"/>
  <c r="BC267" i="5" s="1"/>
  <c r="AS283" i="5"/>
  <c r="BC283" i="5" s="1"/>
  <c r="BD283" i="5" s="1"/>
  <c r="AS425" i="5"/>
  <c r="BC425" i="5" s="1"/>
  <c r="AS148" i="5"/>
  <c r="BC148" i="5" s="1"/>
  <c r="AS195" i="5"/>
  <c r="BC195" i="5" s="1"/>
  <c r="BD195" i="5" s="1"/>
  <c r="AS271" i="5"/>
  <c r="BC271" i="5" s="1"/>
  <c r="AS386" i="5"/>
  <c r="BC386" i="5" s="1"/>
  <c r="AS399" i="5"/>
  <c r="BC399" i="5" s="1"/>
  <c r="AS115" i="5"/>
  <c r="BC115" i="5" s="1"/>
  <c r="BE115" i="5" s="1"/>
  <c r="AS47" i="5"/>
  <c r="BC47" i="5" s="1"/>
  <c r="AS184" i="5"/>
  <c r="BC184" i="5" s="1"/>
  <c r="AS100" i="5"/>
  <c r="BC100" i="5" s="1"/>
  <c r="BE100" i="5" s="1"/>
  <c r="AS45" i="5"/>
  <c r="BC45" i="5" s="1"/>
  <c r="BD45" i="5" s="1"/>
  <c r="AS303" i="5"/>
  <c r="AS409" i="5"/>
  <c r="BC409" i="5" s="1"/>
  <c r="AS336" i="5"/>
  <c r="BC336" i="5" s="1"/>
  <c r="AS96" i="5"/>
  <c r="BC96" i="5" s="1"/>
  <c r="AS216" i="5"/>
  <c r="BC216" i="5" s="1"/>
  <c r="AS327" i="5"/>
  <c r="AS324" i="5"/>
  <c r="BC324" i="5" s="1"/>
  <c r="AS357" i="5"/>
  <c r="BC357" i="5" s="1"/>
  <c r="AS182" i="5"/>
  <c r="BC182" i="5" s="1"/>
  <c r="AS78" i="5"/>
  <c r="BC78" i="5" s="1"/>
  <c r="BE78" i="5" s="1"/>
  <c r="AS172" i="5"/>
  <c r="BC172" i="5" s="1"/>
  <c r="AS142" i="5"/>
  <c r="BC142" i="5" s="1"/>
  <c r="AS37" i="5"/>
  <c r="BC37" i="5" s="1"/>
  <c r="AS522" i="5"/>
  <c r="BC522" i="5" s="1"/>
  <c r="AS366" i="5"/>
  <c r="BC366" i="5" s="1"/>
  <c r="AS165" i="5"/>
  <c r="BC165" i="5" s="1"/>
  <c r="AS322" i="5"/>
  <c r="AS110" i="5"/>
  <c r="BC110" i="5" s="1"/>
  <c r="AS464" i="5"/>
  <c r="AS51" i="5"/>
  <c r="BC51" i="5" s="1"/>
  <c r="BD51" i="5" s="1"/>
  <c r="AS471" i="5"/>
  <c r="AS438" i="5"/>
  <c r="AS556" i="5"/>
  <c r="BC556" i="5" s="1"/>
  <c r="AS479" i="5"/>
  <c r="BC479" i="5" s="1"/>
  <c r="AS489" i="5"/>
  <c r="BC489" i="5" s="1"/>
  <c r="AS389" i="5"/>
  <c r="AS558" i="5"/>
  <c r="BC558" i="5" s="1"/>
  <c r="AS342" i="5"/>
  <c r="BC342" i="5" s="1"/>
  <c r="AS56" i="5"/>
  <c r="BC56" i="5" s="1"/>
  <c r="AS13" i="5"/>
  <c r="AS256" i="5"/>
  <c r="BC256" i="5" s="1"/>
  <c r="AS547" i="5"/>
  <c r="BC547" i="5" s="1"/>
  <c r="AS223" i="5"/>
  <c r="BC223" i="5" s="1"/>
  <c r="BE223" i="5" s="1"/>
  <c r="AS81" i="5"/>
  <c r="BC81" i="5" s="1"/>
  <c r="AS313" i="5"/>
  <c r="BC313" i="5" s="1"/>
  <c r="AS473" i="5"/>
  <c r="BC473" i="5" s="1"/>
  <c r="AS340" i="5"/>
  <c r="BC340" i="5" s="1"/>
  <c r="AS27" i="5"/>
  <c r="AS516" i="5"/>
  <c r="BC516" i="5" s="1"/>
  <c r="AS139" i="5"/>
  <c r="BC139" i="5" s="1"/>
  <c r="AS93" i="5"/>
  <c r="BC93" i="5" s="1"/>
  <c r="AS430" i="5"/>
  <c r="AS494" i="5"/>
  <c r="BC494" i="5" s="1"/>
  <c r="AS551" i="5"/>
  <c r="BC551" i="5" s="1"/>
  <c r="AS485" i="5"/>
  <c r="BC485" i="5" s="1"/>
  <c r="AS23" i="5"/>
  <c r="BC23" i="5" s="1"/>
  <c r="BE23" i="5" s="1"/>
  <c r="AS227" i="5"/>
  <c r="BC227" i="5" s="1"/>
  <c r="AS519" i="5"/>
  <c r="BC519" i="5" s="1"/>
  <c r="AS397" i="5"/>
  <c r="BC397" i="5" s="1"/>
  <c r="AS299" i="5"/>
  <c r="BC299" i="5" s="1"/>
  <c r="BD299" i="5" s="1"/>
  <c r="AS443" i="5"/>
  <c r="BC443" i="5" s="1"/>
  <c r="AS498" i="5"/>
  <c r="BC498" i="5" s="1"/>
  <c r="AS407" i="5"/>
  <c r="BC407" i="5" s="1"/>
  <c r="AS111" i="5"/>
  <c r="BC111" i="5" s="1"/>
  <c r="AS116" i="5"/>
  <c r="BC116" i="5" s="1"/>
  <c r="AS231" i="5"/>
  <c r="BC231" i="5" s="1"/>
  <c r="BE231" i="5" s="1"/>
  <c r="AS367" i="5"/>
  <c r="BC367" i="5" s="1"/>
  <c r="AS388" i="5"/>
  <c r="BC388" i="5" s="1"/>
  <c r="AS123" i="5"/>
  <c r="AS282" i="5"/>
  <c r="AS354" i="5"/>
  <c r="BC354" i="5" s="1"/>
  <c r="AS348" i="5"/>
  <c r="BC348" i="5" s="1"/>
  <c r="AS57" i="5"/>
  <c r="BC57" i="5" s="1"/>
  <c r="AS152" i="5"/>
  <c r="BC152" i="5" s="1"/>
  <c r="AS97" i="5"/>
  <c r="BC97" i="5" s="1"/>
  <c r="BE97" i="5" s="1"/>
  <c r="AS201" i="5"/>
  <c r="BC201" i="5" s="1"/>
  <c r="AS321" i="5"/>
  <c r="BC321" i="5" s="1"/>
  <c r="AS361" i="5"/>
  <c r="AS472" i="5"/>
  <c r="BC472" i="5" s="1"/>
  <c r="AS140" i="5"/>
  <c r="BC140" i="5" s="1"/>
  <c r="AS238" i="5"/>
  <c r="BC238" i="5" s="1"/>
  <c r="AS198" i="5"/>
  <c r="BC198" i="5" s="1"/>
  <c r="BD198" i="5" s="1"/>
  <c r="AS193" i="5"/>
  <c r="BC193" i="5" s="1"/>
  <c r="AS394" i="5"/>
  <c r="AS131" i="5"/>
  <c r="BC131" i="5" s="1"/>
  <c r="AS25" i="5"/>
  <c r="BC25" i="5" s="1"/>
  <c r="AS141" i="5"/>
  <c r="BC141" i="5" s="1"/>
  <c r="BD141" i="5" s="1"/>
  <c r="AS48" i="5"/>
  <c r="BC48" i="5" s="1"/>
  <c r="BD48" i="5" s="1"/>
  <c r="AS266" i="5"/>
  <c r="BC266" i="5" s="1"/>
  <c r="AS331" i="5"/>
  <c r="AS383" i="5"/>
  <c r="BC383" i="5" s="1"/>
  <c r="AS490" i="5"/>
  <c r="AS155" i="5"/>
  <c r="BC155" i="5" s="1"/>
  <c r="AS194" i="5"/>
  <c r="BC194" i="5" s="1"/>
  <c r="AS247" i="5"/>
  <c r="BC247" i="5" s="1"/>
  <c r="AS257" i="5"/>
  <c r="AS406" i="5"/>
  <c r="AS117" i="5"/>
  <c r="BC117" i="5" s="1"/>
  <c r="AS40" i="5"/>
  <c r="BC40" i="5" s="1"/>
  <c r="AS121" i="5"/>
  <c r="BC121" i="5" s="1"/>
  <c r="AS75" i="5"/>
  <c r="BC75" i="5" s="1"/>
  <c r="BD75" i="5" s="1"/>
  <c r="AS214" i="5"/>
  <c r="BC214" i="5" s="1"/>
  <c r="BE214" i="5" s="1"/>
  <c r="AS284" i="5"/>
  <c r="BC284" i="5" s="1"/>
  <c r="AS312" i="5"/>
  <c r="AS436" i="5"/>
  <c r="BC436" i="5" s="1"/>
  <c r="AS102" i="5"/>
  <c r="BC102" i="5" s="1"/>
  <c r="AS217" i="5"/>
  <c r="BC217" i="5" s="1"/>
  <c r="AS291" i="5"/>
  <c r="BC291" i="5" s="1"/>
  <c r="AS396" i="5"/>
  <c r="BC396" i="5" s="1"/>
  <c r="AS416" i="5"/>
  <c r="AS88" i="5"/>
  <c r="BC88" i="5" s="1"/>
  <c r="AS65" i="5"/>
  <c r="AS169" i="5"/>
  <c r="BC169" i="5" s="1"/>
  <c r="AS83" i="5"/>
  <c r="BC83" i="5" s="1"/>
  <c r="BD83" i="5" s="1"/>
  <c r="AS445" i="5"/>
  <c r="BC445" i="5" s="1"/>
  <c r="AS504" i="5"/>
  <c r="AS493" i="5"/>
  <c r="BC493" i="5" s="1"/>
  <c r="AS135" i="5"/>
  <c r="BC135" i="5" s="1"/>
  <c r="AS235" i="5"/>
  <c r="BC235" i="5" s="1"/>
  <c r="AS468" i="5"/>
  <c r="BC468" i="5" s="1"/>
  <c r="AS241" i="5"/>
  <c r="BC241" i="5" s="1"/>
  <c r="AS333" i="5"/>
  <c r="BC333" i="5" s="1"/>
  <c r="AS539" i="5"/>
  <c r="BC539" i="5" s="1"/>
  <c r="AS408" i="5"/>
  <c r="BC408" i="5" s="1"/>
  <c r="AS502" i="5"/>
  <c r="BC502" i="5" s="1"/>
  <c r="AS459" i="5"/>
  <c r="BC459" i="5" s="1"/>
  <c r="AS431" i="5"/>
  <c r="BC431" i="5" s="1"/>
  <c r="AS173" i="5"/>
  <c r="BC173" i="5" s="1"/>
  <c r="AS534" i="5"/>
  <c r="BC534" i="5" s="1"/>
  <c r="AS250" i="5"/>
  <c r="AS535" i="5"/>
  <c r="BC535" i="5" s="1"/>
  <c r="AS463" i="5"/>
  <c r="AS82" i="5"/>
  <c r="BC82" i="5" s="1"/>
  <c r="BD82" i="5" s="1"/>
  <c r="AS423" i="5"/>
  <c r="BC423" i="5" s="1"/>
  <c r="AS63" i="5"/>
  <c r="BC63" i="5" s="1"/>
  <c r="AS253" i="5"/>
  <c r="AS456" i="5"/>
  <c r="BC456" i="5" s="1"/>
  <c r="AS183" i="5"/>
  <c r="BC183" i="5" s="1"/>
  <c r="AS118" i="5"/>
  <c r="BC118" i="5" s="1"/>
  <c r="AS138" i="5"/>
  <c r="BC138" i="5" s="1"/>
  <c r="AS308" i="5"/>
  <c r="BC308" i="5" s="1"/>
  <c r="AS334" i="5"/>
  <c r="BC334" i="5" s="1"/>
  <c r="AS181" i="5"/>
  <c r="BC181" i="5" s="1"/>
  <c r="AS305" i="5"/>
  <c r="BC305" i="5" s="1"/>
  <c r="BE305" i="5" s="1"/>
  <c r="AS458" i="5"/>
  <c r="BC458" i="5" s="1"/>
  <c r="AS211" i="5"/>
  <c r="BC211" i="5" s="1"/>
  <c r="AS53" i="5"/>
  <c r="BC53" i="5" s="1"/>
  <c r="BD53" i="5" s="1"/>
  <c r="AS301" i="5"/>
  <c r="BC301" i="5" s="1"/>
  <c r="AS60" i="5"/>
  <c r="BC60" i="5" s="1"/>
  <c r="AS246" i="5"/>
  <c r="AS369" i="5"/>
  <c r="BC369" i="5" s="1"/>
  <c r="BE369" i="5" s="1"/>
  <c r="AS104" i="5"/>
  <c r="AS133" i="5"/>
  <c r="BC133" i="5" s="1"/>
  <c r="BD133" i="5" s="1"/>
  <c r="AS279" i="5"/>
  <c r="BC279" i="5" s="1"/>
  <c r="AS404" i="5"/>
  <c r="BC404" i="5" s="1"/>
  <c r="AS127" i="5"/>
  <c r="BC127" i="5" s="1"/>
  <c r="BD127" i="5" s="1"/>
  <c r="AS268" i="5"/>
  <c r="BC268" i="5" s="1"/>
  <c r="AS433" i="5"/>
  <c r="BC433" i="5" s="1"/>
  <c r="AS42" i="5"/>
  <c r="BC42" i="5" s="1"/>
  <c r="AS35" i="5"/>
  <c r="BC35" i="5" s="1"/>
  <c r="BE35" i="5" s="1"/>
  <c r="AS320" i="5"/>
  <c r="BC320" i="5" s="1"/>
  <c r="AS410" i="5"/>
  <c r="BC410" i="5" s="1"/>
  <c r="AS124" i="5"/>
  <c r="BC124" i="5" s="1"/>
  <c r="AS326" i="5"/>
  <c r="BC326" i="5" s="1"/>
  <c r="AS39" i="5"/>
  <c r="BC39" i="5" s="1"/>
  <c r="AS103" i="5"/>
  <c r="AS391" i="5"/>
  <c r="BC391" i="5" s="1"/>
  <c r="AS220" i="5"/>
  <c r="AS518" i="5"/>
  <c r="AS343" i="5"/>
  <c r="AS381" i="5"/>
  <c r="AS105" i="5"/>
  <c r="BC105" i="5" s="1"/>
  <c r="AS134" i="5"/>
  <c r="BC134" i="5" s="1"/>
  <c r="AS349" i="5"/>
  <c r="BC349" i="5" s="1"/>
  <c r="AS125" i="5"/>
  <c r="BC125" i="5" s="1"/>
  <c r="AS196" i="5"/>
  <c r="AS176" i="5"/>
  <c r="BC176" i="5" s="1"/>
  <c r="AS542" i="5"/>
  <c r="BC542" i="5" s="1"/>
  <c r="AS170" i="5"/>
  <c r="BC170" i="5" s="1"/>
  <c r="AS483" i="5"/>
  <c r="BC483" i="5" s="1"/>
  <c r="AS332" i="5"/>
  <c r="BC332" i="5" s="1"/>
  <c r="AS187" i="5"/>
  <c r="AS224" i="5"/>
  <c r="BC224" i="5" s="1"/>
  <c r="AS448" i="5"/>
  <c r="BC448" i="5" s="1"/>
  <c r="AS24" i="5"/>
  <c r="BC24" i="5" s="1"/>
  <c r="AS364" i="5"/>
  <c r="BC364" i="5" s="1"/>
  <c r="AS527" i="5"/>
  <c r="BC527" i="5" s="1"/>
  <c r="AS520" i="5"/>
  <c r="AS32" i="5"/>
  <c r="BC32" i="5" s="1"/>
  <c r="AS531" i="5"/>
  <c r="AS513" i="5"/>
  <c r="BC513" i="5" s="1"/>
  <c r="AS377" i="5"/>
  <c r="AS507" i="5"/>
  <c r="BC507" i="5" s="1"/>
  <c r="AS144" i="5"/>
  <c r="BC144" i="5" s="1"/>
  <c r="BD144" i="5" s="1"/>
  <c r="AS263" i="5"/>
  <c r="BC263" i="5" s="1"/>
  <c r="BE263" i="5" s="1"/>
  <c r="AS34" i="5"/>
  <c r="BC34" i="5" s="1"/>
  <c r="BD34" i="5" s="1"/>
  <c r="AS323" i="5"/>
  <c r="BC323" i="5" s="1"/>
  <c r="AS38" i="5"/>
  <c r="BC38" i="5" s="1"/>
  <c r="BD38" i="5" s="1"/>
  <c r="AS307" i="5"/>
  <c r="BC307" i="5" s="1"/>
  <c r="AS163" i="5"/>
  <c r="BC163" i="5" s="1"/>
  <c r="BD163" i="5" s="1"/>
  <c r="AS112" i="5"/>
  <c r="BC112" i="5" s="1"/>
  <c r="BE112" i="5" s="1"/>
  <c r="AS269" i="5"/>
  <c r="BC269" i="5" s="1"/>
  <c r="BE269" i="5" s="1"/>
  <c r="AS395" i="5"/>
  <c r="BC395" i="5" s="1"/>
  <c r="AS204" i="5"/>
  <c r="BC204" i="5" s="1"/>
  <c r="AS255" i="5"/>
  <c r="BC255" i="5" s="1"/>
  <c r="AS162" i="5"/>
  <c r="BC162" i="5" s="1"/>
  <c r="AS168" i="5"/>
  <c r="BC168" i="5" s="1"/>
  <c r="BD168" i="5" s="1"/>
  <c r="AS62" i="5"/>
  <c r="BC62" i="5" s="1"/>
  <c r="AS393" i="5"/>
  <c r="BC393" i="5" s="1"/>
  <c r="BD393" i="5" s="1"/>
  <c r="AS79" i="5"/>
  <c r="AS311" i="5"/>
  <c r="BC311" i="5" s="1"/>
  <c r="AS335" i="5"/>
  <c r="AS74" i="5"/>
  <c r="BC74" i="5" s="1"/>
  <c r="AS160" i="5"/>
  <c r="BC160" i="5" s="1"/>
  <c r="AS171" i="5"/>
  <c r="BC171" i="5" s="1"/>
  <c r="AS370" i="5"/>
  <c r="BC370" i="5" s="1"/>
  <c r="AS175" i="5"/>
  <c r="BC175" i="5" s="1"/>
  <c r="BE175" i="5" s="1"/>
  <c r="AS341" i="5"/>
  <c r="BC341" i="5" s="1"/>
  <c r="AS174" i="5"/>
  <c r="BC174" i="5" s="1"/>
  <c r="AS158" i="5"/>
  <c r="BC158" i="5" s="1"/>
  <c r="BE158" i="5" s="1"/>
  <c r="AS58" i="5"/>
  <c r="BC58" i="5" s="1"/>
  <c r="AS206" i="5"/>
  <c r="BC206" i="5" s="1"/>
  <c r="AS486" i="5"/>
  <c r="BC486" i="5" s="1"/>
  <c r="AS376" i="5"/>
  <c r="BC376" i="5" s="1"/>
  <c r="AS378" i="5"/>
  <c r="BC378" i="5" s="1"/>
  <c r="AS530" i="5"/>
  <c r="BC530" i="5" s="1"/>
  <c r="AS153" i="5"/>
  <c r="BC153" i="5" s="1"/>
  <c r="AS526" i="5"/>
  <c r="BC526" i="5" s="1"/>
  <c r="AS328" i="5"/>
  <c r="BC328" i="5" s="1"/>
  <c r="AS461" i="5"/>
  <c r="AS20" i="5"/>
  <c r="BC20" i="5" s="1"/>
  <c r="AS451" i="5"/>
  <c r="AS145" i="5"/>
  <c r="BC145" i="5" s="1"/>
  <c r="AS441" i="5"/>
  <c r="BC441" i="5" s="1"/>
  <c r="AS69" i="5"/>
  <c r="BC69" i="5" s="1"/>
  <c r="AS274" i="5"/>
  <c r="BC274" i="5" s="1"/>
  <c r="AS237" i="5"/>
  <c r="BC237" i="5" s="1"/>
  <c r="BD237" i="5" s="1"/>
  <c r="AS147" i="5"/>
  <c r="BC147" i="5" s="1"/>
  <c r="AS346" i="5"/>
  <c r="BC346" i="5" s="1"/>
  <c r="AS475" i="5"/>
  <c r="BC475" i="5" s="1"/>
  <c r="AS30" i="5"/>
  <c r="BC30" i="5" s="1"/>
  <c r="AS203" i="5"/>
  <c r="BC203" i="5" s="1"/>
  <c r="AS107" i="5"/>
  <c r="AS457" i="5"/>
  <c r="AS419" i="5"/>
  <c r="BC419" i="5" s="1"/>
  <c r="AS517" i="5"/>
  <c r="BC517" i="5" s="1"/>
  <c r="AS420" i="5"/>
  <c r="BC420" i="5" s="1"/>
  <c r="AS248" i="5"/>
  <c r="BC248" i="5" s="1"/>
  <c r="AS544" i="5"/>
  <c r="BC544" i="5" s="1"/>
  <c r="AS213" i="5"/>
  <c r="BC213" i="5" s="1"/>
  <c r="AS330" i="5"/>
  <c r="BC330" i="5" s="1"/>
  <c r="AS374" i="5"/>
  <c r="BC374" i="5" s="1"/>
  <c r="AS229" i="5"/>
  <c r="BC229" i="5" s="1"/>
  <c r="AS411" i="5"/>
  <c r="BC411" i="5" s="1"/>
  <c r="AS72" i="5"/>
  <c r="BC72" i="5" s="1"/>
  <c r="AS297" i="5"/>
  <c r="AS61" i="5"/>
  <c r="BC61" i="5" s="1"/>
  <c r="BD61" i="5" s="1"/>
  <c r="AS413" i="5"/>
  <c r="BC413" i="5" s="1"/>
  <c r="AS277" i="5"/>
  <c r="BC277" i="5" s="1"/>
  <c r="AS44" i="5"/>
  <c r="BC44" i="5" s="1"/>
  <c r="BD44" i="5" s="1"/>
  <c r="AS270" i="5"/>
  <c r="BC270" i="5" s="1"/>
  <c r="AS95" i="5"/>
  <c r="BC95" i="5" s="1"/>
  <c r="AS482" i="5"/>
  <c r="BC482" i="5" s="1"/>
  <c r="AS529" i="5"/>
  <c r="BC529" i="5" s="1"/>
  <c r="AS151" i="5"/>
  <c r="BC151" i="5" s="1"/>
  <c r="AS67" i="5"/>
  <c r="BC67" i="5" s="1"/>
  <c r="AS167" i="5"/>
  <c r="BC167" i="5" s="1"/>
  <c r="AS375" i="5"/>
  <c r="BC375" i="5" s="1"/>
  <c r="AS314" i="5"/>
  <c r="BC314" i="5" s="1"/>
  <c r="AS300" i="5"/>
  <c r="AS166" i="5"/>
  <c r="BC166" i="5" s="1"/>
  <c r="BE166" i="5" s="1"/>
  <c r="AS76" i="5"/>
  <c r="BC76" i="5" s="1"/>
  <c r="AS41" i="5"/>
  <c r="BC41" i="5" s="1"/>
  <c r="BD41" i="5" s="1"/>
  <c r="AS347" i="5"/>
  <c r="BC347" i="5" s="1"/>
  <c r="AS325" i="5"/>
  <c r="BC325" i="5" s="1"/>
  <c r="AS137" i="5"/>
  <c r="BC137" i="5" s="1"/>
  <c r="AS189" i="5"/>
  <c r="BC189" i="5" s="1"/>
  <c r="AS352" i="5"/>
  <c r="BC352" i="5" s="1"/>
  <c r="BE352" i="5" s="1"/>
  <c r="AS295" i="5"/>
  <c r="BC295" i="5" s="1"/>
  <c r="AS244" i="5"/>
  <c r="BC244" i="5" s="1"/>
  <c r="AS474" i="5"/>
  <c r="BC474" i="5" s="1"/>
  <c r="AS119" i="5"/>
  <c r="BC119" i="5" s="1"/>
  <c r="BD119" i="5" s="1"/>
  <c r="AS338" i="5"/>
  <c r="BC338" i="5" s="1"/>
  <c r="BD338" i="5" s="1"/>
  <c r="AS239" i="5"/>
  <c r="AS89" i="5"/>
  <c r="BC89" i="5" s="1"/>
  <c r="AS260" i="5"/>
  <c r="BC260" i="5" s="1"/>
  <c r="AS278" i="5"/>
  <c r="BC278" i="5" s="1"/>
  <c r="BD278" i="5" s="1"/>
  <c r="AS232" i="5"/>
  <c r="BC232" i="5" s="1"/>
  <c r="AS52" i="5"/>
  <c r="BC52" i="5" s="1"/>
  <c r="AS77" i="5"/>
  <c r="AS249" i="5"/>
  <c r="BC249" i="5" s="1"/>
  <c r="AS288" i="5"/>
  <c r="BC288" i="5" s="1"/>
  <c r="AS186" i="5"/>
  <c r="BC186" i="5" s="1"/>
  <c r="AS130" i="5"/>
  <c r="BC130" i="5" s="1"/>
  <c r="BE130" i="5" s="1"/>
  <c r="AS49" i="5"/>
  <c r="BC49" i="5" s="1"/>
  <c r="AS385" i="5"/>
  <c r="AS480" i="5"/>
  <c r="BC480" i="5" s="1"/>
  <c r="AS316" i="5"/>
  <c r="BC316" i="5" s="1"/>
  <c r="BD316" i="5" s="1"/>
  <c r="AS87" i="5"/>
  <c r="BC87" i="5" s="1"/>
  <c r="AS465" i="5"/>
  <c r="BC465" i="5" s="1"/>
  <c r="AS363" i="5"/>
  <c r="BC363" i="5" s="1"/>
  <c r="AS424" i="5"/>
  <c r="BC424" i="5" s="1"/>
  <c r="AS281" i="5"/>
  <c r="BC281" i="5" s="1"/>
  <c r="AS537" i="5"/>
  <c r="AS275" i="5"/>
  <c r="BC275" i="5" s="1"/>
  <c r="AS372" i="5"/>
  <c r="BC372" i="5" s="1"/>
  <c r="AS129" i="5"/>
  <c r="BC129" i="5" s="1"/>
  <c r="AS427" i="5"/>
  <c r="BC427" i="5" s="1"/>
  <c r="AS108" i="5"/>
  <c r="BC108" i="5" s="1"/>
  <c r="AS421" i="5"/>
  <c r="AS543" i="5"/>
  <c r="BC543" i="5" s="1"/>
  <c r="BE543" i="5" s="1"/>
  <c r="AS7" i="5"/>
  <c r="BC7" i="5" s="1"/>
  <c r="BD7" i="5" s="1"/>
  <c r="AS555" i="5"/>
  <c r="BC555" i="5" s="1"/>
  <c r="BE555" i="5" s="1"/>
  <c r="AS509" i="5"/>
  <c r="BC509" i="5" s="1"/>
  <c r="AS491" i="5"/>
  <c r="BC491" i="5" s="1"/>
  <c r="AS440" i="5"/>
  <c r="AS94" i="5"/>
  <c r="BC94" i="5" s="1"/>
  <c r="BD94" i="5" s="1"/>
  <c r="AS437" i="5"/>
  <c r="BC437" i="5" s="1"/>
  <c r="AS285" i="5"/>
  <c r="BC285" i="5" s="1"/>
  <c r="AS545" i="5"/>
  <c r="BC545" i="5" s="1"/>
  <c r="AS549" i="5"/>
  <c r="BC549" i="5" s="1"/>
  <c r="BE549" i="5" s="1"/>
  <c r="AS136" i="5"/>
  <c r="BC136" i="5" s="1"/>
  <c r="AS296" i="5"/>
  <c r="BC296" i="5" s="1"/>
  <c r="BD296" i="5" s="1"/>
  <c r="AS262" i="5"/>
  <c r="BC262" i="5" s="1"/>
  <c r="BE262" i="5" s="1"/>
  <c r="AS245" i="5"/>
  <c r="BC245" i="5" s="1"/>
  <c r="BD245" i="5" s="1"/>
  <c r="AS289" i="5"/>
  <c r="BC289" i="5" s="1"/>
  <c r="AS280" i="5"/>
  <c r="BC280" i="5" s="1"/>
  <c r="AS59" i="5"/>
  <c r="BC59" i="5" s="1"/>
  <c r="BE59" i="5" s="1"/>
  <c r="AS190" i="5"/>
  <c r="BC190" i="5" s="1"/>
  <c r="AS559" i="5"/>
  <c r="BC559" i="5" s="1"/>
  <c r="AS226" i="5"/>
  <c r="BC226" i="5" s="1"/>
  <c r="AS309" i="5"/>
  <c r="BC309" i="5" s="1"/>
  <c r="AS185" i="5"/>
  <c r="BC185" i="5" s="1"/>
  <c r="AS379" i="5"/>
  <c r="AS242" i="5"/>
  <c r="BC242" i="5" s="1"/>
  <c r="AS553" i="5"/>
  <c r="BC553" i="5" s="1"/>
  <c r="AS362" i="5"/>
  <c r="BC362" i="5" s="1"/>
  <c r="AS150" i="5"/>
  <c r="BC150" i="5" s="1"/>
  <c r="AS525" i="5"/>
  <c r="BC525" i="5" s="1"/>
  <c r="AS345" i="5"/>
  <c r="BC345" i="5" s="1"/>
  <c r="AS92" i="5"/>
  <c r="BC92" i="5" s="1"/>
  <c r="AS298" i="5"/>
  <c r="BC298" i="5" s="1"/>
  <c r="AS191" i="5"/>
  <c r="BC191" i="5" s="1"/>
  <c r="BE191" i="5" s="1"/>
  <c r="AS462" i="5"/>
  <c r="AS432" i="5"/>
  <c r="BC432" i="5" s="1"/>
  <c r="AS412" i="5"/>
  <c r="BC412" i="5" s="1"/>
  <c r="AS521" i="5"/>
  <c r="BC521" i="5" s="1"/>
  <c r="BD521" i="5" s="1"/>
  <c r="AS353" i="5"/>
  <c r="BC353" i="5" s="1"/>
  <c r="AS401" i="5"/>
  <c r="BC401" i="5" s="1"/>
  <c r="AS90" i="5"/>
  <c r="AS453" i="5"/>
  <c r="BC453" i="5" s="1"/>
  <c r="BD453" i="5" s="1"/>
  <c r="AS450" i="5"/>
  <c r="BC450" i="5" s="1"/>
  <c r="AS360" i="5"/>
  <c r="BC360" i="5" s="1"/>
  <c r="AS344" i="5"/>
  <c r="BC344" i="5" s="1"/>
  <c r="BE344" i="5" s="1"/>
  <c r="AS392" i="5"/>
  <c r="BC392" i="5" s="1"/>
  <c r="AS251" i="5"/>
  <c r="BC251" i="5" s="1"/>
  <c r="AS510" i="5"/>
  <c r="BC510" i="5" s="1"/>
  <c r="AS560" i="5"/>
  <c r="BC560" i="5" s="1"/>
  <c r="BE560" i="5" s="1"/>
  <c r="AS536" i="5"/>
  <c r="BC536" i="5" s="1"/>
  <c r="BD536" i="5" s="1"/>
  <c r="AS476" i="5"/>
  <c r="BC476" i="5" s="1"/>
  <c r="AS477" i="5"/>
  <c r="BC477" i="5" s="1"/>
  <c r="AS503" i="5"/>
  <c r="BC503" i="5" s="1"/>
  <c r="AS469" i="5"/>
  <c r="BC469" i="5" s="1"/>
  <c r="BD469" i="5" s="1"/>
  <c r="AS10" i="5"/>
  <c r="AS70" i="5"/>
  <c r="BC70" i="5" s="1"/>
  <c r="BD70" i="5" s="1"/>
  <c r="AS209" i="5"/>
  <c r="BC209" i="5" s="1"/>
  <c r="AS400" i="5"/>
  <c r="BC400" i="5" s="1"/>
  <c r="AS233" i="5"/>
  <c r="BC233" i="5" s="1"/>
  <c r="AS415" i="5"/>
  <c r="BC415" i="5" s="1"/>
  <c r="AS80" i="5"/>
  <c r="BC80" i="5" s="1"/>
  <c r="AS294" i="5"/>
  <c r="BC294" i="5" s="1"/>
  <c r="AS73" i="5"/>
  <c r="BC73" i="5" s="1"/>
  <c r="AS113" i="5"/>
  <c r="BC113" i="5" s="1"/>
  <c r="BD113" i="5" s="1"/>
  <c r="AS533" i="5"/>
  <c r="BC533" i="5" s="1"/>
  <c r="BD533" i="5" s="1"/>
  <c r="AS478" i="5"/>
  <c r="BC478" i="5" s="1"/>
  <c r="AS9" i="5"/>
  <c r="AS218" i="5"/>
  <c r="BC218" i="5" s="1"/>
  <c r="AS132" i="5"/>
  <c r="BC132" i="5" s="1"/>
  <c r="AS557" i="5"/>
  <c r="BC557" i="5" s="1"/>
  <c r="AS293" i="5"/>
  <c r="BC293" i="5" s="1"/>
  <c r="AS501" i="5"/>
  <c r="BC501" i="5" s="1"/>
  <c r="AS126" i="5"/>
  <c r="BC126" i="5" s="1"/>
  <c r="AS499" i="5"/>
  <c r="BC499" i="5" s="1"/>
  <c r="AS541" i="5"/>
  <c r="AS481" i="5"/>
  <c r="BC481" i="5" s="1"/>
  <c r="BD481" i="5" s="1"/>
  <c r="AS236" i="5"/>
  <c r="BC236" i="5" s="1"/>
  <c r="BD236" i="5" s="1"/>
  <c r="AS554" i="5"/>
  <c r="BC554" i="5" s="1"/>
  <c r="AS286" i="5"/>
  <c r="BC286" i="5" s="1"/>
  <c r="AS273" i="5"/>
  <c r="BC273" i="5" s="1"/>
  <c r="AS487" i="5"/>
  <c r="BC487" i="5" s="1"/>
  <c r="AS470" i="5"/>
  <c r="BC470" i="5" s="1"/>
  <c r="BE470" i="5" s="1"/>
  <c r="AS68" i="5"/>
  <c r="BC68" i="5" s="1"/>
  <c r="AS221" i="5"/>
  <c r="BC221" i="5" s="1"/>
  <c r="BE221" i="5" s="1"/>
  <c r="AS317" i="5"/>
  <c r="BC317" i="5" s="1"/>
  <c r="AS8" i="5"/>
  <c r="BC8" i="5" s="1"/>
  <c r="BD8" i="5" s="1"/>
  <c r="AS329" i="5"/>
  <c r="BC329" i="5" s="1"/>
  <c r="BE329" i="5" s="1"/>
  <c r="AS447" i="5"/>
  <c r="BC447" i="5" s="1"/>
  <c r="AS351" i="5"/>
  <c r="BC351" i="5" s="1"/>
  <c r="AS532" i="5"/>
  <c r="BC532" i="5" s="1"/>
  <c r="AS546" i="5"/>
  <c r="BC546" i="5" s="1"/>
  <c r="AS414" i="5"/>
  <c r="BC414" i="5" s="1"/>
  <c r="AS387" i="5"/>
  <c r="BC387" i="5" s="1"/>
  <c r="AS318" i="5"/>
  <c r="BC318" i="5" s="1"/>
  <c r="AS272" i="5"/>
  <c r="BC272" i="5" s="1"/>
  <c r="AS523" i="5"/>
  <c r="BC523" i="5" s="1"/>
  <c r="AS188" i="5"/>
  <c r="BC188" i="5" s="1"/>
  <c r="BE188" i="5" s="1"/>
  <c r="AS495" i="5"/>
  <c r="BC495" i="5" s="1"/>
  <c r="BE495" i="5" s="1"/>
  <c r="AS276" i="5"/>
  <c r="BC276" i="5" s="1"/>
  <c r="AS356" i="5"/>
  <c r="BC356" i="5" s="1"/>
  <c r="BD356" i="5" s="1"/>
  <c r="AS243" i="5"/>
  <c r="BC243" i="5" s="1"/>
  <c r="AS261" i="5"/>
  <c r="BC261" i="5" s="1"/>
  <c r="AS19" i="5"/>
  <c r="BC19" i="5" s="1"/>
  <c r="BC537" i="5"/>
  <c r="BD537" i="5" s="1"/>
  <c r="AL12" i="5"/>
  <c r="BC462" i="5"/>
  <c r="BD462" i="5" s="1"/>
  <c r="BB552" i="5"/>
  <c r="BA552" i="5"/>
  <c r="BB539" i="5"/>
  <c r="BA539" i="5"/>
  <c r="BA514" i="5"/>
  <c r="BB514" i="5"/>
  <c r="BA273" i="5"/>
  <c r="BB273" i="5"/>
  <c r="BB376" i="5"/>
  <c r="BA376" i="5"/>
  <c r="BA90" i="5"/>
  <c r="BB90" i="5"/>
  <c r="BB456" i="5"/>
  <c r="BA456" i="5"/>
  <c r="BA498" i="5"/>
  <c r="BB498" i="5"/>
  <c r="BA349" i="5"/>
  <c r="BB349" i="5"/>
  <c r="BA258" i="5"/>
  <c r="BB258" i="5"/>
  <c r="BB155" i="5"/>
  <c r="BA155" i="5"/>
  <c r="BA534" i="5"/>
  <c r="BB534" i="5"/>
  <c r="BA519" i="5"/>
  <c r="BB519" i="5"/>
  <c r="BA379" i="5"/>
  <c r="BB379" i="5"/>
  <c r="BA385" i="5"/>
  <c r="BB385" i="5"/>
  <c r="BB170" i="5"/>
  <c r="BA170" i="5"/>
  <c r="BB513" i="5"/>
  <c r="BA513" i="5"/>
  <c r="BB441" i="5"/>
  <c r="BA441" i="5"/>
  <c r="BA204" i="5"/>
  <c r="BB204" i="5"/>
  <c r="BC379" i="5"/>
  <c r="BA535" i="5"/>
  <c r="BB535" i="5"/>
  <c r="BA445" i="5"/>
  <c r="BB445" i="5"/>
  <c r="BA485" i="5"/>
  <c r="BB485" i="5"/>
  <c r="BA520" i="5"/>
  <c r="BB520" i="5"/>
  <c r="BB487" i="5"/>
  <c r="BA487" i="5"/>
  <c r="BB434" i="5"/>
  <c r="BA434" i="5"/>
  <c r="BA506" i="5"/>
  <c r="BB506" i="5"/>
  <c r="BA427" i="5"/>
  <c r="BB427" i="5"/>
  <c r="BB497" i="5"/>
  <c r="BA497" i="5"/>
  <c r="BA362" i="5"/>
  <c r="BB362" i="5"/>
  <c r="BB355" i="5"/>
  <c r="BA355" i="5"/>
  <c r="BA209" i="5"/>
  <c r="BB209" i="5"/>
  <c r="BB370" i="5"/>
  <c r="BA370" i="5"/>
  <c r="BA436" i="5"/>
  <c r="BB436" i="5"/>
  <c r="BB319" i="5"/>
  <c r="BA319" i="5"/>
  <c r="BB272" i="5"/>
  <c r="BA272" i="5"/>
  <c r="BB182" i="5"/>
  <c r="BA182" i="5"/>
  <c r="BB124" i="5"/>
  <c r="BA124" i="5"/>
  <c r="BA79" i="5"/>
  <c r="BB79" i="5"/>
  <c r="BB537" i="5"/>
  <c r="BA537" i="5"/>
  <c r="BA481" i="5"/>
  <c r="BB481" i="5"/>
  <c r="BA557" i="5"/>
  <c r="BB557" i="5"/>
  <c r="BA328" i="5"/>
  <c r="BB328" i="5"/>
  <c r="BB505" i="5"/>
  <c r="BA505" i="5"/>
  <c r="BB473" i="5"/>
  <c r="BA473" i="5"/>
  <c r="BA387" i="5"/>
  <c r="BB387" i="5"/>
  <c r="BB474" i="5"/>
  <c r="BA474" i="5"/>
  <c r="BB394" i="5"/>
  <c r="BA394" i="5"/>
  <c r="BA472" i="5"/>
  <c r="BB472" i="5"/>
  <c r="BB406" i="5"/>
  <c r="BA406" i="5"/>
  <c r="BB340" i="5"/>
  <c r="BA340" i="5"/>
  <c r="BA408" i="5"/>
  <c r="BB408" i="5"/>
  <c r="BA356" i="5"/>
  <c r="BB356" i="5"/>
  <c r="BA420" i="5"/>
  <c r="BB420" i="5"/>
  <c r="BA343" i="5"/>
  <c r="BB343" i="5"/>
  <c r="BB281" i="5"/>
  <c r="BA281" i="5"/>
  <c r="BB203" i="5"/>
  <c r="BA203" i="5"/>
  <c r="BA106" i="5"/>
  <c r="BB106" i="5"/>
  <c r="BA28" i="5"/>
  <c r="BB28" i="5"/>
  <c r="BB542" i="5"/>
  <c r="BA542" i="5"/>
  <c r="BB524" i="5"/>
  <c r="BA524" i="5"/>
  <c r="BB517" i="5"/>
  <c r="BA517" i="5"/>
  <c r="BB523" i="5"/>
  <c r="BA523" i="5"/>
  <c r="BB489" i="5"/>
  <c r="BA489" i="5"/>
  <c r="BB443" i="5"/>
  <c r="BA443" i="5"/>
  <c r="BA511" i="5"/>
  <c r="BB511" i="5"/>
  <c r="BA439" i="5"/>
  <c r="BB439" i="5"/>
  <c r="BA515" i="5"/>
  <c r="BB515" i="5"/>
  <c r="BA401" i="5"/>
  <c r="BB401" i="5"/>
  <c r="BB366" i="5"/>
  <c r="BA366" i="5"/>
  <c r="BA254" i="5"/>
  <c r="BB254" i="5"/>
  <c r="BA377" i="5"/>
  <c r="BB377" i="5"/>
  <c r="BA250" i="5"/>
  <c r="BB250" i="5"/>
  <c r="BB360" i="5"/>
  <c r="BA360" i="5"/>
  <c r="BB321" i="5"/>
  <c r="BA321" i="5"/>
  <c r="BA217" i="5"/>
  <c r="BB217" i="5"/>
  <c r="BA104" i="5"/>
  <c r="BB104" i="5"/>
  <c r="BB77" i="5"/>
  <c r="BA77" i="5"/>
  <c r="BA19" i="5"/>
  <c r="BB19" i="5"/>
  <c r="BB501" i="5"/>
  <c r="BA501" i="5"/>
  <c r="BA558" i="5"/>
  <c r="BB558" i="5"/>
  <c r="BB425" i="5"/>
  <c r="BA425" i="5"/>
  <c r="BB509" i="5"/>
  <c r="BA509" i="5"/>
  <c r="BB479" i="5"/>
  <c r="BA479" i="5"/>
  <c r="BA405" i="5"/>
  <c r="BB405" i="5"/>
  <c r="BB480" i="5"/>
  <c r="BA480" i="5"/>
  <c r="BA403" i="5"/>
  <c r="BB403" i="5"/>
  <c r="BA478" i="5"/>
  <c r="BB478" i="5"/>
  <c r="BB416" i="5"/>
  <c r="BA416" i="5"/>
  <c r="BA342" i="5"/>
  <c r="BB342" i="5"/>
  <c r="BB417" i="5"/>
  <c r="BA417" i="5"/>
  <c r="BB361" i="5"/>
  <c r="BA361" i="5"/>
  <c r="BA428" i="5"/>
  <c r="BB428" i="5"/>
  <c r="BA358" i="5"/>
  <c r="BB358" i="5"/>
  <c r="BB307" i="5"/>
  <c r="BA307" i="5"/>
  <c r="BA205" i="5"/>
  <c r="BB205" i="5"/>
  <c r="BB128" i="5"/>
  <c r="BA128" i="5"/>
  <c r="BB58" i="5"/>
  <c r="BA58" i="5"/>
  <c r="BA543" i="5"/>
  <c r="BB543" i="5"/>
  <c r="BA493" i="5"/>
  <c r="BB493" i="5"/>
  <c r="BB447" i="5"/>
  <c r="BA447" i="5"/>
  <c r="BA442" i="5"/>
  <c r="BB442" i="5"/>
  <c r="BA260" i="5"/>
  <c r="BB260" i="5"/>
  <c r="BA244" i="5"/>
  <c r="BB244" i="5"/>
  <c r="BA36" i="5"/>
  <c r="BB36" i="5"/>
  <c r="BA437" i="5"/>
  <c r="BB437" i="5"/>
  <c r="BB486" i="5"/>
  <c r="BA486" i="5"/>
  <c r="BB426" i="5"/>
  <c r="BA426" i="5"/>
  <c r="BA354" i="5"/>
  <c r="BB354" i="5"/>
  <c r="BA365" i="5"/>
  <c r="BB365" i="5"/>
  <c r="BB253" i="5"/>
  <c r="BA253" i="5"/>
  <c r="BA49" i="5"/>
  <c r="BB49" i="5"/>
  <c r="BA549" i="5"/>
  <c r="BB549" i="5"/>
  <c r="BA495" i="5"/>
  <c r="BB495" i="5"/>
  <c r="BB462" i="5"/>
  <c r="BA462" i="5"/>
  <c r="BB457" i="5"/>
  <c r="BA457" i="5"/>
  <c r="BA389" i="5"/>
  <c r="BB389" i="5"/>
  <c r="BA275" i="5"/>
  <c r="BB275" i="5"/>
  <c r="BB102" i="5"/>
  <c r="BA102" i="5"/>
  <c r="BB541" i="5"/>
  <c r="BA541" i="5"/>
  <c r="BA522" i="5"/>
  <c r="BB522" i="5"/>
  <c r="BA507" i="5"/>
  <c r="BB507" i="5"/>
  <c r="BB504" i="5"/>
  <c r="BA504" i="5"/>
  <c r="BA364" i="5"/>
  <c r="BB364" i="5"/>
  <c r="BB375" i="5"/>
  <c r="BA375" i="5"/>
  <c r="BB294" i="5"/>
  <c r="BA294" i="5"/>
  <c r="BB142" i="5"/>
  <c r="BA142" i="5"/>
  <c r="BC90" i="5"/>
  <c r="BA546" i="5"/>
  <c r="BB546" i="5"/>
  <c r="BB491" i="5"/>
  <c r="BA491" i="5"/>
  <c r="BA560" i="5"/>
  <c r="BB560" i="5"/>
  <c r="BA421" i="5"/>
  <c r="BB421" i="5"/>
  <c r="BA508" i="5"/>
  <c r="BB508" i="5"/>
  <c r="BB476" i="5"/>
  <c r="BA476" i="5"/>
  <c r="BA396" i="5"/>
  <c r="BB396" i="5"/>
  <c r="BB477" i="5"/>
  <c r="BA477" i="5"/>
  <c r="BA397" i="5"/>
  <c r="BB397" i="5"/>
  <c r="BA475" i="5"/>
  <c r="BB475" i="5"/>
  <c r="BA415" i="5"/>
  <c r="BB415" i="5"/>
  <c r="BA341" i="5"/>
  <c r="BB341" i="5"/>
  <c r="BB413" i="5"/>
  <c r="BA413" i="5"/>
  <c r="BA359" i="5"/>
  <c r="BB359" i="5"/>
  <c r="BB423" i="5"/>
  <c r="BA423" i="5"/>
  <c r="BA357" i="5"/>
  <c r="BB357" i="5"/>
  <c r="BB291" i="5"/>
  <c r="BA291" i="5"/>
  <c r="BB165" i="5"/>
  <c r="BA165" i="5"/>
  <c r="BA120" i="5"/>
  <c r="BB120" i="5"/>
  <c r="BA63" i="5"/>
  <c r="BB63" i="5"/>
  <c r="BB438" i="5"/>
  <c r="BA438" i="5"/>
  <c r="BA550" i="5"/>
  <c r="BB550" i="5"/>
  <c r="BA536" i="5"/>
  <c r="BB536" i="5"/>
  <c r="BA555" i="5"/>
  <c r="BB555" i="5"/>
  <c r="BB499" i="5"/>
  <c r="BA499" i="5"/>
  <c r="BA455" i="5"/>
  <c r="BB455" i="5"/>
  <c r="BB308" i="5"/>
  <c r="BA308" i="5"/>
  <c r="BA465" i="5"/>
  <c r="BB465" i="5"/>
  <c r="BB270" i="5"/>
  <c r="BA270" i="5"/>
  <c r="BA458" i="5"/>
  <c r="BB458" i="5"/>
  <c r="BB388" i="5"/>
  <c r="BA388" i="5"/>
  <c r="BA289" i="5"/>
  <c r="BB289" i="5"/>
  <c r="BB390" i="5"/>
  <c r="BA390" i="5"/>
  <c r="BA304" i="5"/>
  <c r="BB304" i="5"/>
  <c r="BB404" i="5"/>
  <c r="BA404" i="5"/>
  <c r="BB301" i="5"/>
  <c r="BA301" i="5"/>
  <c r="BB239" i="5"/>
  <c r="BA239" i="5"/>
  <c r="BB185" i="5"/>
  <c r="BA185" i="5"/>
  <c r="BA87" i="5"/>
  <c r="BB87" i="5"/>
  <c r="BA33" i="5"/>
  <c r="BB33" i="5"/>
  <c r="BA528" i="5"/>
  <c r="BB528" i="5"/>
  <c r="BB433" i="5"/>
  <c r="BA433" i="5"/>
  <c r="BB449" i="5"/>
  <c r="BA449" i="5"/>
  <c r="BB510" i="5"/>
  <c r="BA510" i="5"/>
  <c r="BA482" i="5"/>
  <c r="BB482" i="5"/>
  <c r="BB430" i="5"/>
  <c r="BA430" i="5"/>
  <c r="BB484" i="5"/>
  <c r="BA484" i="5"/>
  <c r="BB412" i="5"/>
  <c r="BA412" i="5"/>
  <c r="BA490" i="5"/>
  <c r="BB490" i="5"/>
  <c r="BA311" i="5"/>
  <c r="BB311" i="5"/>
  <c r="BB348" i="5"/>
  <c r="BA348" i="5"/>
  <c r="BB418" i="5"/>
  <c r="BA418" i="5"/>
  <c r="BA363" i="5"/>
  <c r="BB363" i="5"/>
  <c r="BA431" i="5"/>
  <c r="BB431" i="5"/>
  <c r="BB224" i="5"/>
  <c r="BA224" i="5"/>
  <c r="BB327" i="5"/>
  <c r="BA327" i="5"/>
  <c r="BA216" i="5"/>
  <c r="BB216" i="5"/>
  <c r="BA146" i="5"/>
  <c r="BB146" i="5"/>
  <c r="BA57" i="5"/>
  <c r="BB57" i="5"/>
  <c r="BB464" i="5"/>
  <c r="BA464" i="5"/>
  <c r="BA407" i="5"/>
  <c r="BB407" i="5"/>
  <c r="BB548" i="5"/>
  <c r="BA548" i="5"/>
  <c r="BA229" i="5"/>
  <c r="BB229" i="5"/>
  <c r="BB502" i="5"/>
  <c r="BA502" i="5"/>
  <c r="BA466" i="5"/>
  <c r="BB466" i="5"/>
  <c r="BB353" i="5"/>
  <c r="BA353" i="5"/>
  <c r="BB468" i="5"/>
  <c r="BA468" i="5"/>
  <c r="BA382" i="5"/>
  <c r="BB382" i="5"/>
  <c r="BB460" i="5"/>
  <c r="BA460" i="5"/>
  <c r="BB398" i="5"/>
  <c r="BA398" i="5"/>
  <c r="BB333" i="5"/>
  <c r="BA333" i="5"/>
  <c r="BA399" i="5"/>
  <c r="BB399" i="5"/>
  <c r="BB345" i="5"/>
  <c r="BA345" i="5"/>
  <c r="BA410" i="5"/>
  <c r="BB410" i="5"/>
  <c r="BA320" i="5"/>
  <c r="BB320" i="5"/>
  <c r="BB259" i="5"/>
  <c r="BA259" i="5"/>
  <c r="BB162" i="5"/>
  <c r="BA162" i="5"/>
  <c r="BB129" i="5"/>
  <c r="BA129" i="5"/>
  <c r="BB42" i="5"/>
  <c r="BA42" i="5"/>
  <c r="BA527" i="5"/>
  <c r="BB527" i="5"/>
  <c r="BA451" i="5"/>
  <c r="BB451" i="5"/>
  <c r="BA526" i="5"/>
  <c r="BB526" i="5"/>
  <c r="BA374" i="5"/>
  <c r="BB374" i="5"/>
  <c r="BA384" i="5"/>
  <c r="BB384" i="5"/>
  <c r="BA248" i="5"/>
  <c r="BB248" i="5"/>
  <c r="BB181" i="5"/>
  <c r="BA181" i="5"/>
  <c r="BA533" i="5"/>
  <c r="BB533" i="5"/>
  <c r="BB518" i="5"/>
  <c r="BA518" i="5"/>
  <c r="BB432" i="5"/>
  <c r="BA432" i="5"/>
  <c r="BA496" i="5"/>
  <c r="BB496" i="5"/>
  <c r="BB419" i="5"/>
  <c r="BA419" i="5"/>
  <c r="BA435" i="5"/>
  <c r="BB435" i="5"/>
  <c r="BB233" i="5"/>
  <c r="BA233" i="5"/>
  <c r="BA372" i="5"/>
  <c r="BB372" i="5"/>
  <c r="BB554" i="5"/>
  <c r="BA554" i="5"/>
  <c r="BB454" i="5"/>
  <c r="BA454" i="5"/>
  <c r="BB532" i="5"/>
  <c r="BA532" i="5"/>
  <c r="BB286" i="5"/>
  <c r="BA286" i="5"/>
  <c r="BA293" i="5"/>
  <c r="BB293" i="5"/>
  <c r="BB215" i="5"/>
  <c r="BA215" i="5"/>
  <c r="BA37" i="5"/>
  <c r="BB37" i="5"/>
  <c r="BB448" i="5"/>
  <c r="BA448" i="5"/>
  <c r="BB488" i="5"/>
  <c r="BA488" i="5"/>
  <c r="BB429" i="5"/>
  <c r="BA429" i="5"/>
  <c r="BA368" i="5"/>
  <c r="BB368" i="5"/>
  <c r="BA245" i="5"/>
  <c r="BB245" i="5"/>
  <c r="BB440" i="5"/>
  <c r="BA440" i="5"/>
  <c r="BB335" i="5"/>
  <c r="BA335" i="5"/>
  <c r="BA62" i="5"/>
  <c r="BB62" i="5"/>
  <c r="BC440" i="5"/>
  <c r="BB450" i="5"/>
  <c r="BA450" i="5"/>
  <c r="BB551" i="5"/>
  <c r="BA551" i="5"/>
  <c r="BB540" i="5"/>
  <c r="BA540" i="5"/>
  <c r="BB556" i="5"/>
  <c r="BA556" i="5"/>
  <c r="BB500" i="5"/>
  <c r="BA500" i="5"/>
  <c r="BB463" i="5"/>
  <c r="BA463" i="5"/>
  <c r="BB347" i="5"/>
  <c r="BA347" i="5"/>
  <c r="BB467" i="5"/>
  <c r="BA467" i="5"/>
  <c r="BA325" i="5"/>
  <c r="BB325" i="5"/>
  <c r="BB459" i="5"/>
  <c r="BA459" i="5"/>
  <c r="BB395" i="5"/>
  <c r="BA395" i="5"/>
  <c r="BA292" i="5"/>
  <c r="BB292" i="5"/>
  <c r="BA392" i="5"/>
  <c r="BB392" i="5"/>
  <c r="BA334" i="5"/>
  <c r="BB334" i="5"/>
  <c r="BB409" i="5"/>
  <c r="BA409" i="5"/>
  <c r="BB310" i="5"/>
  <c r="BA310" i="5"/>
  <c r="BA193" i="5"/>
  <c r="BB193" i="5"/>
  <c r="BB143" i="5"/>
  <c r="BA143" i="5"/>
  <c r="BA99" i="5"/>
  <c r="BB99" i="5"/>
  <c r="BA46" i="5"/>
  <c r="BB46" i="5"/>
  <c r="BA547" i="5"/>
  <c r="BB547" i="5"/>
  <c r="BB538" i="5"/>
  <c r="BA538" i="5"/>
  <c r="BA521" i="5"/>
  <c r="BB521" i="5"/>
  <c r="BB530" i="5"/>
  <c r="BA530" i="5"/>
  <c r="BA492" i="5"/>
  <c r="BB492" i="5"/>
  <c r="BB444" i="5"/>
  <c r="BA444" i="5"/>
  <c r="BA512" i="5"/>
  <c r="BB512" i="5"/>
  <c r="BA446" i="5"/>
  <c r="BB446" i="5"/>
  <c r="BB525" i="5"/>
  <c r="BA525" i="5"/>
  <c r="BA422" i="5"/>
  <c r="BB422" i="5"/>
  <c r="BA371" i="5"/>
  <c r="BB371" i="5"/>
  <c r="BB267" i="5"/>
  <c r="BA267" i="5"/>
  <c r="BB380" i="5"/>
  <c r="BA380" i="5"/>
  <c r="BB252" i="5"/>
  <c r="BA252" i="5"/>
  <c r="BB367" i="5"/>
  <c r="BA367" i="5"/>
  <c r="BB192" i="5"/>
  <c r="BA192" i="5"/>
  <c r="BB228" i="5"/>
  <c r="BA228" i="5"/>
  <c r="BA167" i="5"/>
  <c r="BB167" i="5"/>
  <c r="BB93" i="5"/>
  <c r="BA93" i="5"/>
  <c r="BB483" i="5"/>
  <c r="BA483" i="5"/>
  <c r="BA424" i="5"/>
  <c r="BB424" i="5"/>
  <c r="BB553" i="5"/>
  <c r="BA553" i="5"/>
  <c r="BA297" i="5"/>
  <c r="BB297" i="5"/>
  <c r="BA503" i="5"/>
  <c r="BB503" i="5"/>
  <c r="BB469" i="5"/>
  <c r="BA469" i="5"/>
  <c r="BB381" i="5"/>
  <c r="BA381" i="5"/>
  <c r="BA470" i="5"/>
  <c r="BB470" i="5"/>
  <c r="BB391" i="5"/>
  <c r="BA391" i="5"/>
  <c r="BB471" i="5"/>
  <c r="BA471" i="5"/>
  <c r="BB400" i="5"/>
  <c r="BA400" i="5"/>
  <c r="BA336" i="5"/>
  <c r="BB336" i="5"/>
  <c r="BB402" i="5"/>
  <c r="BA402" i="5"/>
  <c r="BA350" i="5"/>
  <c r="BB350" i="5"/>
  <c r="BB414" i="5"/>
  <c r="BA414" i="5"/>
  <c r="BB330" i="5"/>
  <c r="BA330" i="5"/>
  <c r="BA271" i="5"/>
  <c r="BB271" i="5"/>
  <c r="BA187" i="5"/>
  <c r="BB187" i="5"/>
  <c r="BB151" i="5"/>
  <c r="BA151" i="5"/>
  <c r="BA67" i="5"/>
  <c r="BB67" i="5"/>
  <c r="BB559" i="5"/>
  <c r="BA559" i="5"/>
  <c r="BB544" i="5"/>
  <c r="BA544" i="5"/>
  <c r="BB529" i="5"/>
  <c r="BA529" i="5"/>
  <c r="BA545" i="5"/>
  <c r="BB545" i="5"/>
  <c r="BB494" i="5"/>
  <c r="BA494" i="5"/>
  <c r="BB453" i="5"/>
  <c r="BA453" i="5"/>
  <c r="BB516" i="5"/>
  <c r="BA516" i="5"/>
  <c r="BA461" i="5"/>
  <c r="BB461" i="5"/>
  <c r="BB531" i="5"/>
  <c r="BA531" i="5"/>
  <c r="BA452" i="5"/>
  <c r="BB452" i="5"/>
  <c r="BA378" i="5"/>
  <c r="BB378" i="5"/>
  <c r="BB280" i="5"/>
  <c r="BA280" i="5"/>
  <c r="BA386" i="5"/>
  <c r="BB386" i="5"/>
  <c r="BB277" i="5"/>
  <c r="BA277" i="5"/>
  <c r="BB383" i="5"/>
  <c r="BA383" i="5"/>
  <c r="BA257" i="5"/>
  <c r="BB257" i="5"/>
  <c r="BA186" i="5"/>
  <c r="BB186" i="5"/>
  <c r="BB153" i="5"/>
  <c r="BA153" i="5"/>
  <c r="BA96" i="5"/>
  <c r="BB96" i="5"/>
  <c r="BA25" i="5"/>
  <c r="BB25" i="5"/>
  <c r="AY364" i="5"/>
  <c r="AX364" i="5"/>
  <c r="AY511" i="5"/>
  <c r="AX511" i="5"/>
  <c r="BC511" i="5"/>
  <c r="AY438" i="5"/>
  <c r="AX438" i="5"/>
  <c r="BC438" i="5"/>
  <c r="AY530" i="5"/>
  <c r="AX530" i="5"/>
  <c r="AY514" i="5"/>
  <c r="AX514" i="5"/>
  <c r="AX558" i="5"/>
  <c r="AY558" i="5"/>
  <c r="AX510" i="5"/>
  <c r="AY510" i="5"/>
  <c r="AY523" i="5"/>
  <c r="AX523" i="5"/>
  <c r="AX303" i="5"/>
  <c r="AY303" i="5"/>
  <c r="AY447" i="5"/>
  <c r="AX447" i="5"/>
  <c r="AY421" i="5"/>
  <c r="AX421" i="5"/>
  <c r="BC454" i="5"/>
  <c r="AX454" i="5"/>
  <c r="AY454" i="5"/>
  <c r="AX403" i="5"/>
  <c r="AY403" i="5"/>
  <c r="AX497" i="5"/>
  <c r="AY497" i="5"/>
  <c r="BC497" i="5"/>
  <c r="AY547" i="5"/>
  <c r="AX547" i="5"/>
  <c r="AX417" i="5"/>
  <c r="AY417" i="5"/>
  <c r="AY512" i="5"/>
  <c r="AX512" i="5"/>
  <c r="AX264" i="5"/>
  <c r="AY264" i="5"/>
  <c r="AX344" i="5"/>
  <c r="AY344" i="5"/>
  <c r="AX267" i="5"/>
  <c r="AY267" i="5"/>
  <c r="AX232" i="5"/>
  <c r="AY232" i="5"/>
  <c r="AX142" i="5"/>
  <c r="AY142" i="5"/>
  <c r="AX86" i="5"/>
  <c r="AY86" i="5"/>
  <c r="AX94" i="5"/>
  <c r="AY94" i="5"/>
  <c r="AX27" i="5"/>
  <c r="AY27" i="5"/>
  <c r="AX389" i="5"/>
  <c r="AY389" i="5"/>
  <c r="BC389" i="5"/>
  <c r="AY260" i="5"/>
  <c r="AX260" i="5"/>
  <c r="AX284" i="5"/>
  <c r="AY284" i="5"/>
  <c r="AX175" i="5"/>
  <c r="AY175" i="5"/>
  <c r="AY151" i="5"/>
  <c r="AX151" i="5"/>
  <c r="AY103" i="5"/>
  <c r="AX103" i="5"/>
  <c r="AY66" i="5"/>
  <c r="AX66" i="5"/>
  <c r="AY384" i="5"/>
  <c r="AX384" i="5"/>
  <c r="BC384" i="5"/>
  <c r="AY316" i="5"/>
  <c r="AX316" i="5"/>
  <c r="AY230" i="5"/>
  <c r="AX230" i="5"/>
  <c r="AX172" i="5"/>
  <c r="AY172" i="5"/>
  <c r="AY173" i="5"/>
  <c r="AX173" i="5"/>
  <c r="AX64" i="5"/>
  <c r="AY64" i="5"/>
  <c r="AY97" i="5"/>
  <c r="AX97" i="5"/>
  <c r="AX60" i="5"/>
  <c r="AY60" i="5"/>
  <c r="AY61" i="5"/>
  <c r="AX61" i="5"/>
  <c r="AY21" i="5"/>
  <c r="AX21" i="5"/>
  <c r="AY22" i="5"/>
  <c r="AX22" i="5"/>
  <c r="AY427" i="5"/>
  <c r="AX427" i="5"/>
  <c r="AX370" i="5"/>
  <c r="AY370" i="5"/>
  <c r="BC297" i="5"/>
  <c r="AY297" i="5"/>
  <c r="AX297" i="5"/>
  <c r="AX280" i="5"/>
  <c r="AY280" i="5"/>
  <c r="AY329" i="5"/>
  <c r="AX329" i="5"/>
  <c r="AX253" i="5"/>
  <c r="AY253" i="5"/>
  <c r="BC253" i="5"/>
  <c r="AY216" i="5"/>
  <c r="AX216" i="5"/>
  <c r="AX231" i="5"/>
  <c r="AY231" i="5"/>
  <c r="AY214" i="5"/>
  <c r="AX214" i="5"/>
  <c r="AY188" i="5"/>
  <c r="AX188" i="5"/>
  <c r="AY176" i="5"/>
  <c r="AX176" i="5"/>
  <c r="AX131" i="5"/>
  <c r="AY131" i="5"/>
  <c r="AY141" i="5"/>
  <c r="AX141" i="5"/>
  <c r="AX135" i="5"/>
  <c r="AY135" i="5"/>
  <c r="AY95" i="5"/>
  <c r="AX95" i="5"/>
  <c r="AX70" i="5"/>
  <c r="AY70" i="5"/>
  <c r="AY65" i="5"/>
  <c r="AX65" i="5"/>
  <c r="AX34" i="5"/>
  <c r="AY34" i="5"/>
  <c r="AX33" i="5"/>
  <c r="AY33" i="5"/>
  <c r="BC421" i="5"/>
  <c r="BC264" i="5"/>
  <c r="BE264" i="5" s="1"/>
  <c r="BC22" i="5"/>
  <c r="BD22" i="5" s="1"/>
  <c r="BC86" i="5"/>
  <c r="BE86" i="5" s="1"/>
  <c r="BC21" i="5"/>
  <c r="BE21" i="5" s="1"/>
  <c r="AX407" i="5"/>
  <c r="AY407" i="5"/>
  <c r="AY529" i="5"/>
  <c r="AX529" i="5"/>
  <c r="AY471" i="5"/>
  <c r="AX471" i="5"/>
  <c r="BC471" i="5"/>
  <c r="AY560" i="5"/>
  <c r="AX560" i="5"/>
  <c r="AX414" i="5"/>
  <c r="AY414" i="5"/>
  <c r="AY453" i="5"/>
  <c r="AX453" i="5"/>
  <c r="AX531" i="5"/>
  <c r="AY531" i="5"/>
  <c r="BC531" i="5"/>
  <c r="AX456" i="5"/>
  <c r="AY456" i="5"/>
  <c r="AX495" i="5"/>
  <c r="AY495" i="5"/>
  <c r="AY274" i="5"/>
  <c r="AX274" i="5"/>
  <c r="AY404" i="5"/>
  <c r="AX404" i="5"/>
  <c r="AX481" i="5"/>
  <c r="AY481" i="5"/>
  <c r="AX372" i="5"/>
  <c r="AY372" i="5"/>
  <c r="AY360" i="5"/>
  <c r="AX360" i="5"/>
  <c r="AY548" i="5"/>
  <c r="AX548" i="5"/>
  <c r="BC548" i="5"/>
  <c r="AX550" i="5"/>
  <c r="AY550" i="5"/>
  <c r="AY542" i="5"/>
  <c r="AX542" i="5"/>
  <c r="AX464" i="5"/>
  <c r="AY464" i="5"/>
  <c r="BC464" i="5"/>
  <c r="AX411" i="5"/>
  <c r="AY411" i="5"/>
  <c r="AY502" i="5"/>
  <c r="AX502" i="5"/>
  <c r="AX449" i="5"/>
  <c r="AY449" i="5"/>
  <c r="BC449" i="5"/>
  <c r="AY506" i="5"/>
  <c r="AX506" i="5"/>
  <c r="AY446" i="5"/>
  <c r="AX446" i="5"/>
  <c r="AX396" i="5"/>
  <c r="AY396" i="5"/>
  <c r="AX420" i="5"/>
  <c r="AY420" i="5"/>
  <c r="AX342" i="5"/>
  <c r="AY342" i="5"/>
  <c r="AY557" i="5"/>
  <c r="AX557" i="5"/>
  <c r="AY554" i="5"/>
  <c r="AX554" i="5"/>
  <c r="AX549" i="5"/>
  <c r="AY549" i="5"/>
  <c r="AY540" i="5"/>
  <c r="AX540" i="5"/>
  <c r="AY460" i="5"/>
  <c r="AX460" i="5"/>
  <c r="BC460" i="5"/>
  <c r="AX402" i="5"/>
  <c r="AY402" i="5"/>
  <c r="AX499" i="5"/>
  <c r="AY499" i="5"/>
  <c r="AX443" i="5"/>
  <c r="AY443" i="5"/>
  <c r="AX505" i="5"/>
  <c r="AY505" i="5"/>
  <c r="AX444" i="5"/>
  <c r="AY444" i="5"/>
  <c r="AX391" i="5"/>
  <c r="AY391" i="5"/>
  <c r="AX415" i="5"/>
  <c r="AY415" i="5"/>
  <c r="AX336" i="5"/>
  <c r="AY336" i="5"/>
  <c r="AY555" i="5"/>
  <c r="AX555" i="5"/>
  <c r="AY551" i="5"/>
  <c r="AX551" i="5"/>
  <c r="AX532" i="5"/>
  <c r="AY532" i="5"/>
  <c r="AY538" i="5"/>
  <c r="AX538" i="5"/>
  <c r="AY458" i="5"/>
  <c r="AX458" i="5"/>
  <c r="AX393" i="5"/>
  <c r="AY393" i="5"/>
  <c r="AX494" i="5"/>
  <c r="AY494" i="5"/>
  <c r="AX441" i="5"/>
  <c r="AY441" i="5"/>
  <c r="AX500" i="5"/>
  <c r="AY500" i="5"/>
  <c r="BC500" i="5"/>
  <c r="AX440" i="5"/>
  <c r="AY440" i="5"/>
  <c r="AX387" i="5"/>
  <c r="AY387" i="5"/>
  <c r="AX406" i="5"/>
  <c r="AY406" i="5"/>
  <c r="BC406" i="5"/>
  <c r="AY318" i="5"/>
  <c r="AX318" i="5"/>
  <c r="AX379" i="5"/>
  <c r="AY379" i="5"/>
  <c r="AY307" i="5"/>
  <c r="AX307" i="5"/>
  <c r="AX308" i="5"/>
  <c r="AY308" i="5"/>
  <c r="AX250" i="5"/>
  <c r="AY250" i="5"/>
  <c r="BC250" i="5"/>
  <c r="AY293" i="5"/>
  <c r="AX293" i="5"/>
  <c r="AX177" i="5"/>
  <c r="AY177" i="5"/>
  <c r="AX269" i="5"/>
  <c r="AY269" i="5"/>
  <c r="AX223" i="5"/>
  <c r="AY223" i="5"/>
  <c r="AX239" i="5"/>
  <c r="AY239" i="5"/>
  <c r="BC239" i="5"/>
  <c r="AX222" i="5"/>
  <c r="AY222" i="5"/>
  <c r="AX200" i="5"/>
  <c r="AY200" i="5"/>
  <c r="AY186" i="5"/>
  <c r="AX186" i="5"/>
  <c r="AY144" i="5"/>
  <c r="AX144" i="5"/>
  <c r="AX153" i="5"/>
  <c r="AY153" i="5"/>
  <c r="AX149" i="5"/>
  <c r="AY149" i="5"/>
  <c r="AX100" i="5"/>
  <c r="AY100" i="5"/>
  <c r="AX78" i="5"/>
  <c r="AY78" i="5"/>
  <c r="AX79" i="5"/>
  <c r="AY79" i="5"/>
  <c r="BC79" i="5"/>
  <c r="AX55" i="5"/>
  <c r="AY55" i="5"/>
  <c r="AX44" i="5"/>
  <c r="AY44" i="5"/>
  <c r="AY434" i="5"/>
  <c r="AX434" i="5"/>
  <c r="AY377" i="5"/>
  <c r="AX377" i="5"/>
  <c r="BC377" i="5"/>
  <c r="AX296" i="5"/>
  <c r="AY296" i="5"/>
  <c r="AY304" i="5"/>
  <c r="AX304" i="5"/>
  <c r="AX245" i="5"/>
  <c r="AY245" i="5"/>
  <c r="AY287" i="5"/>
  <c r="AX287" i="5"/>
  <c r="AY331" i="5"/>
  <c r="AX331" i="5"/>
  <c r="BC331" i="5"/>
  <c r="AX262" i="5"/>
  <c r="AY262" i="5"/>
  <c r="AY220" i="5"/>
  <c r="AX220" i="5"/>
  <c r="AY237" i="5"/>
  <c r="AX237" i="5"/>
  <c r="AY219" i="5"/>
  <c r="AX219" i="5"/>
  <c r="AY196" i="5"/>
  <c r="AX196" i="5"/>
  <c r="AY185" i="5"/>
  <c r="AX185" i="5"/>
  <c r="AY140" i="5"/>
  <c r="AX140" i="5"/>
  <c r="AX145" i="5"/>
  <c r="AY145" i="5"/>
  <c r="AX146" i="5"/>
  <c r="AY146" i="5"/>
  <c r="AX98" i="5"/>
  <c r="AY98" i="5"/>
  <c r="AY82" i="5"/>
  <c r="AX82" i="5"/>
  <c r="AY75" i="5"/>
  <c r="AX75" i="5"/>
  <c r="AY53" i="5"/>
  <c r="AX53" i="5"/>
  <c r="AY41" i="5"/>
  <c r="AX41" i="5"/>
  <c r="AY8" i="5"/>
  <c r="AX8" i="5"/>
  <c r="AX371" i="5"/>
  <c r="AY371" i="5"/>
  <c r="AX281" i="5"/>
  <c r="AY281" i="5"/>
  <c r="AY299" i="5"/>
  <c r="AX299" i="5"/>
  <c r="AX221" i="5"/>
  <c r="AY221" i="5"/>
  <c r="AY283" i="5"/>
  <c r="AX283" i="5"/>
  <c r="AX330" i="5"/>
  <c r="AY330" i="5"/>
  <c r="AX256" i="5"/>
  <c r="AY256" i="5"/>
  <c r="AY218" i="5"/>
  <c r="AX218" i="5"/>
  <c r="AY234" i="5"/>
  <c r="AX234" i="5"/>
  <c r="AX217" i="5"/>
  <c r="AY217" i="5"/>
  <c r="AX191" i="5"/>
  <c r="AY191" i="5"/>
  <c r="AY180" i="5"/>
  <c r="AX180" i="5"/>
  <c r="AX133" i="5"/>
  <c r="AY133" i="5"/>
  <c r="AX143" i="5"/>
  <c r="AY143" i="5"/>
  <c r="AX138" i="5"/>
  <c r="AY138" i="5"/>
  <c r="AX96" i="5"/>
  <c r="AY96" i="5"/>
  <c r="AX72" i="5"/>
  <c r="AY72" i="5"/>
  <c r="AX71" i="5"/>
  <c r="AY71" i="5"/>
  <c r="AX51" i="5"/>
  <c r="AY51" i="5"/>
  <c r="AX38" i="5"/>
  <c r="AY38" i="5"/>
  <c r="AT13" i="5"/>
  <c r="AZ13" i="5"/>
  <c r="AW13" i="5"/>
  <c r="T13" i="5"/>
  <c r="AY413" i="5"/>
  <c r="AX413" i="5"/>
  <c r="AY357" i="5"/>
  <c r="AX357" i="5"/>
  <c r="AX347" i="5"/>
  <c r="AY347" i="5"/>
  <c r="AY282" i="5"/>
  <c r="AX282" i="5"/>
  <c r="AX322" i="5"/>
  <c r="AY322" i="5"/>
  <c r="AX263" i="5"/>
  <c r="AY263" i="5"/>
  <c r="AY310" i="5"/>
  <c r="AX310" i="5"/>
  <c r="AX233" i="5"/>
  <c r="AY233" i="5"/>
  <c r="AX198" i="5"/>
  <c r="AY198" i="5"/>
  <c r="AY197" i="5"/>
  <c r="AX197" i="5"/>
  <c r="AY195" i="5"/>
  <c r="AX195" i="5"/>
  <c r="AY170" i="5"/>
  <c r="AX170" i="5"/>
  <c r="AY164" i="5"/>
  <c r="AX164" i="5"/>
  <c r="AX114" i="5"/>
  <c r="AY114" i="5"/>
  <c r="AY130" i="5"/>
  <c r="AX130" i="5"/>
  <c r="AX120" i="5"/>
  <c r="AY120" i="5"/>
  <c r="AX84" i="5"/>
  <c r="AY84" i="5"/>
  <c r="AX83" i="5"/>
  <c r="AY83" i="5"/>
  <c r="AX54" i="5"/>
  <c r="AY54" i="5"/>
  <c r="AX45" i="5"/>
  <c r="AY45" i="5"/>
  <c r="AX48" i="5"/>
  <c r="AY48" i="5"/>
  <c r="BC282" i="5"/>
  <c r="AY513" i="5"/>
  <c r="AX513" i="5"/>
  <c r="AY474" i="5"/>
  <c r="AX474" i="5"/>
  <c r="AY536" i="5"/>
  <c r="AX536" i="5"/>
  <c r="AX266" i="5"/>
  <c r="AY266" i="5"/>
  <c r="AX462" i="5"/>
  <c r="AY462" i="5"/>
  <c r="AY422" i="5"/>
  <c r="AX422" i="5"/>
  <c r="AY467" i="5"/>
  <c r="AX467" i="5"/>
  <c r="AY507" i="5"/>
  <c r="AX507" i="5"/>
  <c r="AY552" i="5"/>
  <c r="AX552" i="5"/>
  <c r="AY519" i="5"/>
  <c r="AX519" i="5"/>
  <c r="AY300" i="5"/>
  <c r="AX300" i="5"/>
  <c r="AY556" i="5"/>
  <c r="AX556" i="5"/>
  <c r="AX508" i="5"/>
  <c r="AY508" i="5"/>
  <c r="BC508" i="5"/>
  <c r="AX401" i="5"/>
  <c r="AY401" i="5"/>
  <c r="AX390" i="5"/>
  <c r="AY390" i="5"/>
  <c r="BC390" i="5"/>
  <c r="AY309" i="5"/>
  <c r="AX309" i="5"/>
  <c r="AX181" i="5"/>
  <c r="AY181" i="5"/>
  <c r="AX179" i="5"/>
  <c r="AY179" i="5"/>
  <c r="AX106" i="5"/>
  <c r="AY106" i="5"/>
  <c r="BC106" i="5"/>
  <c r="AY28" i="5"/>
  <c r="AX28" i="5"/>
  <c r="AX319" i="5"/>
  <c r="AY319" i="5"/>
  <c r="AY248" i="5"/>
  <c r="AX248" i="5"/>
  <c r="AX235" i="5"/>
  <c r="AY235" i="5"/>
  <c r="AY80" i="5"/>
  <c r="AX80" i="5"/>
  <c r="AY93" i="5"/>
  <c r="AX93" i="5"/>
  <c r="AY23" i="5"/>
  <c r="AX23" i="5"/>
  <c r="AX258" i="5"/>
  <c r="AY258" i="5"/>
  <c r="AY227" i="5"/>
  <c r="AX227" i="5"/>
  <c r="AY207" i="5"/>
  <c r="AX207" i="5"/>
  <c r="AY246" i="5"/>
  <c r="AX246" i="5"/>
  <c r="BC27" i="5"/>
  <c r="BD27" i="5" s="1"/>
  <c r="BC103" i="5"/>
  <c r="BD103" i="5" s="1"/>
  <c r="AY261" i="5"/>
  <c r="AX261" i="5"/>
  <c r="AX491" i="5"/>
  <c r="AY491" i="5"/>
  <c r="AY424" i="5"/>
  <c r="AX424" i="5"/>
  <c r="AY559" i="5"/>
  <c r="AX559" i="5"/>
  <c r="AY503" i="5"/>
  <c r="AX503" i="5"/>
  <c r="AX397" i="5"/>
  <c r="AY397" i="5"/>
  <c r="AX546" i="5"/>
  <c r="AY546" i="5"/>
  <c r="AX375" i="5"/>
  <c r="AY375" i="5"/>
  <c r="AX430" i="5"/>
  <c r="AY430" i="5"/>
  <c r="BC430" i="5"/>
  <c r="AX19" i="5"/>
  <c r="AY19" i="5"/>
  <c r="AX526" i="5"/>
  <c r="AY526" i="5"/>
  <c r="AX373" i="5"/>
  <c r="AY373" i="5"/>
  <c r="AY388" i="5"/>
  <c r="AX388" i="5"/>
  <c r="AY525" i="5"/>
  <c r="AX525" i="5"/>
  <c r="AX541" i="5"/>
  <c r="AY541" i="5"/>
  <c r="BC541" i="5"/>
  <c r="AY459" i="5"/>
  <c r="AX459" i="5"/>
  <c r="AY534" i="5"/>
  <c r="AX534" i="5"/>
  <c r="AY448" i="5"/>
  <c r="AX448" i="5"/>
  <c r="AY351" i="5"/>
  <c r="AX351" i="5"/>
  <c r="AY489" i="5"/>
  <c r="AX489" i="5"/>
  <c r="AY436" i="5"/>
  <c r="AX436" i="5"/>
  <c r="AY492" i="5"/>
  <c r="AX492" i="5"/>
  <c r="BC492" i="5"/>
  <c r="AY429" i="5"/>
  <c r="AX429" i="5"/>
  <c r="BC429" i="5"/>
  <c r="AY382" i="5"/>
  <c r="AX382" i="5"/>
  <c r="BC382" i="5"/>
  <c r="AX398" i="5"/>
  <c r="AY398" i="5"/>
  <c r="AX439" i="5"/>
  <c r="AY439" i="5"/>
  <c r="AX515" i="5"/>
  <c r="AY515" i="5"/>
  <c r="AY539" i="5"/>
  <c r="AX539" i="5"/>
  <c r="AX452" i="5"/>
  <c r="AY452" i="5"/>
  <c r="AX533" i="5"/>
  <c r="AY533" i="5"/>
  <c r="AX445" i="5"/>
  <c r="AY445" i="5"/>
  <c r="AX339" i="5"/>
  <c r="AY339" i="5"/>
  <c r="AX488" i="5"/>
  <c r="AY488" i="5"/>
  <c r="AX431" i="5"/>
  <c r="AY431" i="5"/>
  <c r="AX484" i="5"/>
  <c r="AY484" i="5"/>
  <c r="AY428" i="5"/>
  <c r="AX428" i="5"/>
  <c r="AY381" i="5"/>
  <c r="AX381" i="5"/>
  <c r="BC381" i="5"/>
  <c r="AX395" i="5"/>
  <c r="AY395" i="5"/>
  <c r="AX432" i="5"/>
  <c r="AY432" i="5"/>
  <c r="AX504" i="5"/>
  <c r="AY504" i="5"/>
  <c r="BC504" i="5"/>
  <c r="AX535" i="5"/>
  <c r="AY535" i="5"/>
  <c r="AX423" i="5"/>
  <c r="AY423" i="5"/>
  <c r="AX527" i="5"/>
  <c r="AY527" i="5"/>
  <c r="AX442" i="5"/>
  <c r="AY442" i="5"/>
  <c r="AX335" i="5"/>
  <c r="AY335" i="5"/>
  <c r="BC335" i="5"/>
  <c r="AX487" i="5"/>
  <c r="AY487" i="5"/>
  <c r="AY418" i="5"/>
  <c r="AX418" i="5"/>
  <c r="AX482" i="5"/>
  <c r="AY482" i="5"/>
  <c r="AX385" i="5"/>
  <c r="AY385" i="5"/>
  <c r="BC385" i="5"/>
  <c r="AX376" i="5"/>
  <c r="AY376" i="5"/>
  <c r="AX394" i="5"/>
  <c r="AY394" i="5"/>
  <c r="BC394" i="5"/>
  <c r="AX426" i="5"/>
  <c r="AY426" i="5"/>
  <c r="BC426" i="5"/>
  <c r="AX365" i="5"/>
  <c r="AY365" i="5"/>
  <c r="AX212" i="5"/>
  <c r="AY212" i="5"/>
  <c r="AY292" i="5"/>
  <c r="AX292" i="5"/>
  <c r="AY190" i="5"/>
  <c r="AX190" i="5"/>
  <c r="AX275" i="5"/>
  <c r="AY275" i="5"/>
  <c r="AX326" i="5"/>
  <c r="AY326" i="5"/>
  <c r="AY247" i="5"/>
  <c r="AX247" i="5"/>
  <c r="AY209" i="5"/>
  <c r="AX209" i="5"/>
  <c r="AY215" i="5"/>
  <c r="AX215" i="5"/>
  <c r="BC215" i="5"/>
  <c r="AY210" i="5"/>
  <c r="AX210" i="5"/>
  <c r="AX184" i="5"/>
  <c r="AY184" i="5"/>
  <c r="AX174" i="5"/>
  <c r="AY174" i="5"/>
  <c r="AY129" i="5"/>
  <c r="AX129" i="5"/>
  <c r="AY136" i="5"/>
  <c r="AX136" i="5"/>
  <c r="AX128" i="5"/>
  <c r="AY128" i="5"/>
  <c r="BC128" i="5"/>
  <c r="AX92" i="5"/>
  <c r="AY92" i="5"/>
  <c r="AX67" i="5"/>
  <c r="AY67" i="5"/>
  <c r="AY62" i="5"/>
  <c r="AX62" i="5"/>
  <c r="AX69" i="5"/>
  <c r="AY69" i="5"/>
  <c r="AX30" i="5"/>
  <c r="AY30" i="5"/>
  <c r="AY419" i="5"/>
  <c r="AX419" i="5"/>
  <c r="AY363" i="5"/>
  <c r="AX363" i="5"/>
  <c r="AY355" i="5"/>
  <c r="AX355" i="5"/>
  <c r="BC355" i="5"/>
  <c r="AX289" i="5"/>
  <c r="AY289" i="5"/>
  <c r="AY332" i="5"/>
  <c r="AX332" i="5"/>
  <c r="AX268" i="5"/>
  <c r="AY268" i="5"/>
  <c r="AX321" i="5"/>
  <c r="AY321" i="5"/>
  <c r="AY243" i="5"/>
  <c r="AX243" i="5"/>
  <c r="AY206" i="5"/>
  <c r="AX206" i="5"/>
  <c r="AY202" i="5"/>
  <c r="AX202" i="5"/>
  <c r="AY204" i="5"/>
  <c r="AX204" i="5"/>
  <c r="AX182" i="5"/>
  <c r="AY182" i="5"/>
  <c r="AY168" i="5"/>
  <c r="AX168" i="5"/>
  <c r="AY123" i="5"/>
  <c r="AX123" i="5"/>
  <c r="AY134" i="5"/>
  <c r="AX134" i="5"/>
  <c r="AX126" i="5"/>
  <c r="AY126" i="5"/>
  <c r="AY90" i="5"/>
  <c r="AX90" i="5"/>
  <c r="AX91" i="5"/>
  <c r="AY91" i="5"/>
  <c r="AY57" i="5"/>
  <c r="AX57" i="5"/>
  <c r="AY63" i="5"/>
  <c r="AX63" i="5"/>
  <c r="AY29" i="5"/>
  <c r="AX29" i="5"/>
  <c r="AY416" i="5"/>
  <c r="AX416" i="5"/>
  <c r="BC416" i="5"/>
  <c r="AY359" i="5"/>
  <c r="AX359" i="5"/>
  <c r="AX353" i="5"/>
  <c r="AY353" i="5"/>
  <c r="AX286" i="5"/>
  <c r="AY286" i="5"/>
  <c r="AX324" i="5"/>
  <c r="AY324" i="5"/>
  <c r="AX265" i="5"/>
  <c r="AY265" i="5"/>
  <c r="AX317" i="5"/>
  <c r="AY317" i="5"/>
  <c r="AY236" i="5"/>
  <c r="AX236" i="5"/>
  <c r="AX201" i="5"/>
  <c r="AY201" i="5"/>
  <c r="AY199" i="5"/>
  <c r="AX199" i="5"/>
  <c r="AY203" i="5"/>
  <c r="AX203" i="5"/>
  <c r="AY171" i="5"/>
  <c r="AX171" i="5"/>
  <c r="AY166" i="5"/>
  <c r="AX166" i="5"/>
  <c r="AX121" i="5"/>
  <c r="AY121" i="5"/>
  <c r="AY132" i="5"/>
  <c r="AX132" i="5"/>
  <c r="AY125" i="5"/>
  <c r="AX125" i="5"/>
  <c r="AX89" i="5"/>
  <c r="AY89" i="5"/>
  <c r="AX88" i="5"/>
  <c r="AY88" i="5"/>
  <c r="AY56" i="5"/>
  <c r="AX56" i="5"/>
  <c r="AX52" i="5"/>
  <c r="AY52" i="5"/>
  <c r="AY20" i="5"/>
  <c r="AX20" i="5"/>
  <c r="AY341" i="5"/>
  <c r="AX341" i="5"/>
  <c r="AX392" i="5"/>
  <c r="AY392" i="5"/>
  <c r="AY345" i="5"/>
  <c r="AX345" i="5"/>
  <c r="AY328" i="5"/>
  <c r="AX328" i="5"/>
  <c r="AX270" i="5"/>
  <c r="AY270" i="5"/>
  <c r="AY312" i="5"/>
  <c r="AX312" i="5"/>
  <c r="AY251" i="5"/>
  <c r="AX251" i="5"/>
  <c r="AY294" i="5"/>
  <c r="AX294" i="5"/>
  <c r="AX241" i="5"/>
  <c r="AY241" i="5"/>
  <c r="BC187" i="5"/>
  <c r="AX187" i="5"/>
  <c r="AY187" i="5"/>
  <c r="AX240" i="5"/>
  <c r="AY240" i="5"/>
  <c r="AY148" i="5"/>
  <c r="AX148" i="5"/>
  <c r="AX183" i="5"/>
  <c r="AY183" i="5"/>
  <c r="AX155" i="5"/>
  <c r="AY155" i="5"/>
  <c r="AX102" i="5"/>
  <c r="AY102" i="5"/>
  <c r="AX115" i="5"/>
  <c r="AY115" i="5"/>
  <c r="AX111" i="5"/>
  <c r="AY111" i="5"/>
  <c r="BC99" i="5"/>
  <c r="AX99" i="5"/>
  <c r="AY99" i="5"/>
  <c r="AX58" i="5"/>
  <c r="AY58" i="5"/>
  <c r="AY36" i="5"/>
  <c r="AX36" i="5"/>
  <c r="AY32" i="5"/>
  <c r="AX32" i="5"/>
  <c r="AX26" i="5"/>
  <c r="AY26" i="5"/>
  <c r="BC220" i="5"/>
  <c r="BC177" i="5"/>
  <c r="BC196" i="5"/>
  <c r="AX323" i="5"/>
  <c r="AY323" i="5"/>
  <c r="AX472" i="5"/>
  <c r="AY472" i="5"/>
  <c r="AX348" i="5"/>
  <c r="AY348" i="5"/>
  <c r="AX400" i="5"/>
  <c r="AY400" i="5"/>
  <c r="AY352" i="5"/>
  <c r="AX352" i="5"/>
  <c r="AY457" i="5"/>
  <c r="AX457" i="5"/>
  <c r="BC457" i="5"/>
  <c r="AY490" i="5"/>
  <c r="AX490" i="5"/>
  <c r="BC490" i="5"/>
  <c r="AY455" i="5"/>
  <c r="AX455" i="5"/>
  <c r="BC455" i="5"/>
  <c r="AY405" i="5"/>
  <c r="AX405" i="5"/>
  <c r="BC405" i="5"/>
  <c r="AY358" i="5"/>
  <c r="AX358" i="5"/>
  <c r="AX369" i="5"/>
  <c r="AY369" i="5"/>
  <c r="AX485" i="5"/>
  <c r="AY485" i="5"/>
  <c r="AX509" i="5"/>
  <c r="AY509" i="5"/>
  <c r="AX465" i="5"/>
  <c r="AY465" i="5"/>
  <c r="AY354" i="5"/>
  <c r="AX354" i="5"/>
  <c r="AX383" i="5"/>
  <c r="AY383" i="5"/>
  <c r="AX483" i="5"/>
  <c r="AY483" i="5"/>
  <c r="AX451" i="5"/>
  <c r="AY451" i="5"/>
  <c r="BC451" i="5"/>
  <c r="AX461" i="5"/>
  <c r="AY461" i="5"/>
  <c r="BC461" i="5"/>
  <c r="AY349" i="5"/>
  <c r="AX349" i="5"/>
  <c r="AX325" i="5"/>
  <c r="AY325" i="5"/>
  <c r="AY249" i="5"/>
  <c r="AX249" i="5"/>
  <c r="AY290" i="5"/>
  <c r="AX290" i="5"/>
  <c r="AY238" i="5"/>
  <c r="AX238" i="5"/>
  <c r="AY154" i="5"/>
  <c r="AX154" i="5"/>
  <c r="AX87" i="5"/>
  <c r="AY87" i="5"/>
  <c r="AX77" i="5"/>
  <c r="AY77" i="5"/>
  <c r="BC77" i="5"/>
  <c r="AY25" i="5"/>
  <c r="AX25" i="5"/>
  <c r="AY337" i="5"/>
  <c r="AX337" i="5"/>
  <c r="AX306" i="5"/>
  <c r="AY306" i="5"/>
  <c r="AY229" i="5"/>
  <c r="AX229" i="5"/>
  <c r="AY124" i="5"/>
  <c r="AX124" i="5"/>
  <c r="AX178" i="5"/>
  <c r="AY178" i="5"/>
  <c r="AY161" i="5"/>
  <c r="AX161" i="5"/>
  <c r="AY76" i="5"/>
  <c r="AX76" i="5"/>
  <c r="AY24" i="5"/>
  <c r="AX24" i="5"/>
  <c r="AY327" i="5"/>
  <c r="AX327" i="5"/>
  <c r="BC327" i="5"/>
  <c r="AX301" i="5"/>
  <c r="AY301" i="5"/>
  <c r="AY278" i="5"/>
  <c r="AX278" i="5"/>
  <c r="AY228" i="5"/>
  <c r="AX228" i="5"/>
  <c r="AY150" i="5"/>
  <c r="AX150" i="5"/>
  <c r="AY158" i="5"/>
  <c r="AX158" i="5"/>
  <c r="AY85" i="5"/>
  <c r="AX85" i="5"/>
  <c r="AX213" i="5"/>
  <c r="AY213" i="5"/>
  <c r="BC300" i="5"/>
  <c r="BE300" i="5" s="1"/>
  <c r="BC230" i="5"/>
  <c r="BD230" i="5" s="1"/>
  <c r="BC246" i="5"/>
  <c r="BD246" i="5" s="1"/>
  <c r="BC65" i="5"/>
  <c r="BD65" i="5" s="1"/>
  <c r="BC339" i="5"/>
  <c r="AX468" i="5"/>
  <c r="AY468" i="5"/>
  <c r="AY463" i="5"/>
  <c r="AX463" i="5"/>
  <c r="BC463" i="5"/>
  <c r="AX537" i="5"/>
  <c r="AY537" i="5"/>
  <c r="AY470" i="5"/>
  <c r="AX470" i="5"/>
  <c r="AY544" i="5"/>
  <c r="AX544" i="5"/>
  <c r="AY450" i="5"/>
  <c r="AX450" i="5"/>
  <c r="AX259" i="5"/>
  <c r="AY259" i="5"/>
  <c r="BC259" i="5"/>
  <c r="AX524" i="5"/>
  <c r="AY524" i="5"/>
  <c r="BC524" i="5"/>
  <c r="AY493" i="5"/>
  <c r="AX493" i="5"/>
  <c r="AX386" i="5"/>
  <c r="AY386" i="5"/>
  <c r="AY498" i="5"/>
  <c r="AX498" i="5"/>
  <c r="AY437" i="5"/>
  <c r="AX437" i="5"/>
  <c r="AX480" i="5"/>
  <c r="AY480" i="5"/>
  <c r="AY553" i="5"/>
  <c r="AX553" i="5"/>
  <c r="AX486" i="5"/>
  <c r="AY486" i="5"/>
  <c r="AY528" i="5"/>
  <c r="AX528" i="5"/>
  <c r="AY291" i="5"/>
  <c r="AX291" i="5"/>
  <c r="AX517" i="5"/>
  <c r="AY517" i="5"/>
  <c r="AX435" i="5"/>
  <c r="AY435" i="5"/>
  <c r="AX521" i="5"/>
  <c r="AY521" i="5"/>
  <c r="AY473" i="5"/>
  <c r="AX473" i="5"/>
  <c r="AX367" i="5"/>
  <c r="AY367" i="5"/>
  <c r="AX479" i="5"/>
  <c r="AY479" i="5"/>
  <c r="AY338" i="5"/>
  <c r="AX338" i="5"/>
  <c r="AX368" i="5"/>
  <c r="AY368" i="5"/>
  <c r="AX378" i="5"/>
  <c r="AY378" i="5"/>
  <c r="AY545" i="5"/>
  <c r="AX545" i="5"/>
  <c r="AY478" i="5"/>
  <c r="AX478" i="5"/>
  <c r="AX522" i="5"/>
  <c r="AY522" i="5"/>
  <c r="AX285" i="5"/>
  <c r="AY285" i="5"/>
  <c r="AY501" i="5"/>
  <c r="AX501" i="5"/>
  <c r="AY433" i="5"/>
  <c r="AX433" i="5"/>
  <c r="AY520" i="5"/>
  <c r="AX520" i="5"/>
  <c r="BC520" i="5"/>
  <c r="AY469" i="5"/>
  <c r="AX469" i="5"/>
  <c r="AX361" i="5"/>
  <c r="AY361" i="5"/>
  <c r="BC361" i="5"/>
  <c r="AY477" i="5"/>
  <c r="AX477" i="5"/>
  <c r="AY410" i="5"/>
  <c r="AX410" i="5"/>
  <c r="AY362" i="5"/>
  <c r="AX362" i="5"/>
  <c r="AX374" i="5"/>
  <c r="AY374" i="5"/>
  <c r="AY543" i="5"/>
  <c r="AX543" i="5"/>
  <c r="AY475" i="5"/>
  <c r="AX475" i="5"/>
  <c r="AX516" i="5"/>
  <c r="AY516" i="5"/>
  <c r="AY279" i="5"/>
  <c r="AX279" i="5"/>
  <c r="AY496" i="5"/>
  <c r="AX496" i="5"/>
  <c r="BC496" i="5"/>
  <c r="AX425" i="5"/>
  <c r="AY425" i="5"/>
  <c r="AY518" i="5"/>
  <c r="AX518" i="5"/>
  <c r="BC518" i="5"/>
  <c r="AX466" i="5"/>
  <c r="AY466" i="5"/>
  <c r="AY288" i="5"/>
  <c r="AX288" i="5"/>
  <c r="AX476" i="5"/>
  <c r="AY476" i="5"/>
  <c r="AX409" i="5"/>
  <c r="AY409" i="5"/>
  <c r="AY343" i="5"/>
  <c r="AX343" i="5"/>
  <c r="BC343" i="5"/>
  <c r="AX366" i="5"/>
  <c r="AY366" i="5"/>
  <c r="AX412" i="5"/>
  <c r="AY412" i="5"/>
  <c r="AX356" i="5"/>
  <c r="AY356" i="5"/>
  <c r="AX340" i="5"/>
  <c r="AY340" i="5"/>
  <c r="AX277" i="5"/>
  <c r="AY277" i="5"/>
  <c r="AY320" i="5"/>
  <c r="AX320" i="5"/>
  <c r="AY257" i="5"/>
  <c r="AX257" i="5"/>
  <c r="BC257" i="5"/>
  <c r="AY305" i="5"/>
  <c r="AX305" i="5"/>
  <c r="AX211" i="5"/>
  <c r="AY211" i="5"/>
  <c r="AX193" i="5"/>
  <c r="AY193" i="5"/>
  <c r="AX167" i="5"/>
  <c r="AY167" i="5"/>
  <c r="AX194" i="5"/>
  <c r="AY194" i="5"/>
  <c r="AX165" i="5"/>
  <c r="AY165" i="5"/>
  <c r="AX159" i="5"/>
  <c r="AY159" i="5"/>
  <c r="AX110" i="5"/>
  <c r="AY110" i="5"/>
  <c r="AX127" i="5"/>
  <c r="AY127" i="5"/>
  <c r="AX118" i="5"/>
  <c r="AY118" i="5"/>
  <c r="AX109" i="5"/>
  <c r="AY109" i="5"/>
  <c r="AX74" i="5"/>
  <c r="AY74" i="5"/>
  <c r="AX50" i="5"/>
  <c r="AY50" i="5"/>
  <c r="AX42" i="5"/>
  <c r="AY42" i="5"/>
  <c r="AX43" i="5"/>
  <c r="AY43" i="5"/>
  <c r="AX408" i="5"/>
  <c r="AY408" i="5"/>
  <c r="AX350" i="5"/>
  <c r="AY350" i="5"/>
  <c r="BC350" i="5"/>
  <c r="AY334" i="5"/>
  <c r="AX334" i="5"/>
  <c r="AY276" i="5"/>
  <c r="AX276" i="5"/>
  <c r="AX315" i="5"/>
  <c r="AY315" i="5"/>
  <c r="AY255" i="5"/>
  <c r="AX255" i="5"/>
  <c r="AX302" i="5"/>
  <c r="AY302" i="5"/>
  <c r="AX208" i="5"/>
  <c r="AY208" i="5"/>
  <c r="AX192" i="5"/>
  <c r="AY192" i="5"/>
  <c r="AX244" i="5"/>
  <c r="AY244" i="5"/>
  <c r="AX162" i="5"/>
  <c r="AY162" i="5"/>
  <c r="AY137" i="5"/>
  <c r="AX137" i="5"/>
  <c r="AX139" i="5"/>
  <c r="AY139" i="5"/>
  <c r="AX108" i="5"/>
  <c r="AY108" i="5"/>
  <c r="AY122" i="5"/>
  <c r="AX122" i="5"/>
  <c r="AY117" i="5"/>
  <c r="AX117" i="5"/>
  <c r="AY104" i="5"/>
  <c r="AX104" i="5"/>
  <c r="BC104" i="5"/>
  <c r="AY73" i="5"/>
  <c r="AX73" i="5"/>
  <c r="AY49" i="5"/>
  <c r="AX49" i="5"/>
  <c r="AY39" i="5"/>
  <c r="AX39" i="5"/>
  <c r="AX37" i="5"/>
  <c r="AY37" i="5"/>
  <c r="AX399" i="5"/>
  <c r="AY399" i="5"/>
  <c r="AX346" i="5"/>
  <c r="AY346" i="5"/>
  <c r="AX333" i="5"/>
  <c r="AY333" i="5"/>
  <c r="AY273" i="5"/>
  <c r="AX273" i="5"/>
  <c r="AY314" i="5"/>
  <c r="AX314" i="5"/>
  <c r="AX254" i="5"/>
  <c r="AY254" i="5"/>
  <c r="AY298" i="5"/>
  <c r="AX298" i="5"/>
  <c r="AY163" i="5"/>
  <c r="AX163" i="5"/>
  <c r="AX189" i="5"/>
  <c r="AY189" i="5"/>
  <c r="AX242" i="5"/>
  <c r="AY242" i="5"/>
  <c r="AY160" i="5"/>
  <c r="AX160" i="5"/>
  <c r="AY119" i="5"/>
  <c r="AX119" i="5"/>
  <c r="AX113" i="5"/>
  <c r="AY113" i="5"/>
  <c r="AY105" i="5"/>
  <c r="AX105" i="5"/>
  <c r="AX116" i="5"/>
  <c r="AY116" i="5"/>
  <c r="AX112" i="5"/>
  <c r="AY112" i="5"/>
  <c r="AY101" i="5"/>
  <c r="AX101" i="5"/>
  <c r="AY68" i="5"/>
  <c r="AX68" i="5"/>
  <c r="AX47" i="5"/>
  <c r="AY47" i="5"/>
  <c r="AX35" i="5"/>
  <c r="AY35" i="5"/>
  <c r="AX31" i="5"/>
  <c r="AY31" i="5"/>
  <c r="AX271" i="5"/>
  <c r="AY271" i="5"/>
  <c r="AX380" i="5"/>
  <c r="AY380" i="5"/>
  <c r="BC380" i="5"/>
  <c r="AX313" i="5"/>
  <c r="AY313" i="5"/>
  <c r="AY311" i="5"/>
  <c r="AX311" i="5"/>
  <c r="AY252" i="5"/>
  <c r="AX252" i="5"/>
  <c r="AY295" i="5"/>
  <c r="AX295" i="5"/>
  <c r="AX225" i="5"/>
  <c r="AY225" i="5"/>
  <c r="AX272" i="5"/>
  <c r="AY272" i="5"/>
  <c r="AY224" i="5"/>
  <c r="AX224" i="5"/>
  <c r="AX169" i="5"/>
  <c r="AY169" i="5"/>
  <c r="AX226" i="5"/>
  <c r="AY226" i="5"/>
  <c r="AY205" i="5"/>
  <c r="AX205" i="5"/>
  <c r="BC205" i="5"/>
  <c r="AX156" i="5"/>
  <c r="AY156" i="5"/>
  <c r="AY147" i="5"/>
  <c r="AX147" i="5"/>
  <c r="AY157" i="5"/>
  <c r="AX157" i="5"/>
  <c r="AX152" i="5"/>
  <c r="AY152" i="5"/>
  <c r="AY107" i="5"/>
  <c r="AX107" i="5"/>
  <c r="AY81" i="5"/>
  <c r="AX81" i="5"/>
  <c r="AY40" i="5"/>
  <c r="AX40" i="5"/>
  <c r="AY59" i="5"/>
  <c r="AX59" i="5"/>
  <c r="AY46" i="5"/>
  <c r="AX46" i="5"/>
  <c r="BC312" i="5"/>
  <c r="BC179" i="5"/>
  <c r="BC107" i="5"/>
  <c r="BC303" i="5"/>
  <c r="BC123" i="5"/>
  <c r="BC322" i="5"/>
  <c r="AL165" i="5"/>
  <c r="AL153" i="5"/>
  <c r="AK156" i="5"/>
  <c r="AU12" i="5"/>
  <c r="AV12" i="5"/>
  <c r="AK49" i="5"/>
  <c r="AK28" i="5"/>
  <c r="AK13" i="5"/>
  <c r="AL13" i="5"/>
  <c r="U12" i="5"/>
  <c r="V12" i="5"/>
  <c r="BD222" i="5"/>
  <c r="BD287" i="5"/>
  <c r="BA12" i="5"/>
  <c r="BB12" i="5"/>
  <c r="AL516" i="5"/>
  <c r="AK516" i="5"/>
  <c r="AL290" i="5"/>
  <c r="AK290" i="5"/>
  <c r="AL243" i="5"/>
  <c r="AK243" i="5"/>
  <c r="AL374" i="5"/>
  <c r="AK374" i="5"/>
  <c r="AK151" i="5"/>
  <c r="AL151" i="5"/>
  <c r="AL152" i="5"/>
  <c r="AK152" i="5"/>
  <c r="AK65" i="5"/>
  <c r="AL65" i="5"/>
  <c r="AK489" i="5"/>
  <c r="AL489" i="5"/>
  <c r="AK515" i="5"/>
  <c r="AL515" i="5"/>
  <c r="AL377" i="5"/>
  <c r="AK377" i="5"/>
  <c r="AL134" i="5"/>
  <c r="AK134" i="5"/>
  <c r="AL342" i="5"/>
  <c r="AK342" i="5"/>
  <c r="AK463" i="5"/>
  <c r="AL463" i="5"/>
  <c r="AL323" i="5"/>
  <c r="AK323" i="5"/>
  <c r="AK281" i="5"/>
  <c r="AL281" i="5"/>
  <c r="AK163" i="5"/>
  <c r="AL163" i="5"/>
  <c r="AL175" i="5"/>
  <c r="AK175" i="5"/>
  <c r="AL474" i="5"/>
  <c r="AK474" i="5"/>
  <c r="AL466" i="5"/>
  <c r="AK466" i="5"/>
  <c r="AK400" i="5"/>
  <c r="AL400" i="5"/>
  <c r="AK453" i="5"/>
  <c r="AL453" i="5"/>
  <c r="AL546" i="5"/>
  <c r="AK546" i="5"/>
  <c r="AL413" i="5"/>
  <c r="AK413" i="5"/>
  <c r="AK491" i="5"/>
  <c r="AL491" i="5"/>
  <c r="AK258" i="5"/>
  <c r="AL258" i="5"/>
  <c r="AL300" i="5"/>
  <c r="AK300" i="5"/>
  <c r="AK196" i="5"/>
  <c r="AL196" i="5"/>
  <c r="AK359" i="5"/>
  <c r="AL359" i="5"/>
  <c r="AK206" i="5"/>
  <c r="AL206" i="5"/>
  <c r="AK207" i="5"/>
  <c r="AL207" i="5"/>
  <c r="AL467" i="5"/>
  <c r="AK467" i="5"/>
  <c r="AK385" i="5"/>
  <c r="AL385" i="5"/>
  <c r="AK462" i="5"/>
  <c r="AL462" i="5"/>
  <c r="AL244" i="5"/>
  <c r="AK244" i="5"/>
  <c r="AL160" i="5"/>
  <c r="AK160" i="5"/>
  <c r="AL495" i="5"/>
  <c r="AK495" i="5"/>
  <c r="AK501" i="5"/>
  <c r="AL501" i="5"/>
  <c r="AK267" i="5"/>
  <c r="AL267" i="5"/>
  <c r="AL217" i="5"/>
  <c r="AK217" i="5"/>
  <c r="AK63" i="5"/>
  <c r="AL63" i="5"/>
  <c r="AK465" i="5"/>
  <c r="AL465" i="5"/>
  <c r="AK531" i="5"/>
  <c r="AL531" i="5"/>
  <c r="AL337" i="5"/>
  <c r="AK337" i="5"/>
  <c r="AK21" i="5"/>
  <c r="AL21" i="5"/>
  <c r="AL114" i="5"/>
  <c r="AK114" i="5"/>
  <c r="AL420" i="5"/>
  <c r="AK420" i="5"/>
  <c r="AK481" i="5"/>
  <c r="AL481" i="5"/>
  <c r="AK279" i="5"/>
  <c r="AL279" i="5"/>
  <c r="AK37" i="5"/>
  <c r="AL37" i="5"/>
  <c r="AL430" i="5"/>
  <c r="AK430" i="5"/>
  <c r="AK346" i="5"/>
  <c r="AL346" i="5"/>
  <c r="AK423" i="5"/>
  <c r="AL423" i="5"/>
  <c r="AL177" i="5"/>
  <c r="AK177" i="5"/>
  <c r="AK92" i="5"/>
  <c r="AL92" i="5"/>
  <c r="AL102" i="5"/>
  <c r="AK102" i="5"/>
  <c r="AL140" i="5"/>
  <c r="AK140" i="5"/>
  <c r="AL112" i="5"/>
  <c r="AK112" i="5"/>
  <c r="AL484" i="5"/>
  <c r="AK484" i="5"/>
  <c r="AK556" i="5"/>
  <c r="AL556" i="5"/>
  <c r="AL412" i="5"/>
  <c r="AK412" i="5"/>
  <c r="AK558" i="5"/>
  <c r="AL558" i="5"/>
  <c r="AK370" i="5"/>
  <c r="AL370" i="5"/>
  <c r="AK553" i="5"/>
  <c r="AL553" i="5"/>
  <c r="AL476" i="5"/>
  <c r="AK476" i="5"/>
  <c r="AL552" i="5"/>
  <c r="AK552" i="5"/>
  <c r="AL443" i="5"/>
  <c r="AK443" i="5"/>
  <c r="AK425" i="5"/>
  <c r="AL425" i="5"/>
  <c r="AL245" i="5"/>
  <c r="AK245" i="5"/>
  <c r="AL313" i="5"/>
  <c r="AK313" i="5"/>
  <c r="AK224" i="5"/>
  <c r="AL224" i="5"/>
  <c r="AK25" i="5"/>
  <c r="AL25" i="5"/>
  <c r="AL171" i="5"/>
  <c r="AK171" i="5"/>
  <c r="AK159" i="5"/>
  <c r="AL159" i="5"/>
  <c r="AL120" i="5"/>
  <c r="AK120" i="5"/>
  <c r="AK201" i="5"/>
  <c r="AL201" i="5"/>
  <c r="AL455" i="5"/>
  <c r="AK455" i="5"/>
  <c r="AK452" i="5"/>
  <c r="AL452" i="5"/>
  <c r="AK410" i="5"/>
  <c r="AL410" i="5"/>
  <c r="AK422" i="5"/>
  <c r="AL422" i="5"/>
  <c r="AK503" i="5"/>
  <c r="AL503" i="5"/>
  <c r="AK352" i="5"/>
  <c r="AL352" i="5"/>
  <c r="AL470" i="5"/>
  <c r="AK470" i="5"/>
  <c r="AK257" i="5"/>
  <c r="AL257" i="5"/>
  <c r="AL322" i="5"/>
  <c r="AK322" i="5"/>
  <c r="AK363" i="5"/>
  <c r="AL363" i="5"/>
  <c r="AK142" i="5"/>
  <c r="AL142" i="5"/>
  <c r="AL211" i="5"/>
  <c r="AK211" i="5"/>
  <c r="AK32" i="5"/>
  <c r="AL32" i="5"/>
  <c r="AK110" i="5"/>
  <c r="AL110" i="5"/>
  <c r="AL85" i="5"/>
  <c r="AK85" i="5"/>
  <c r="AK86" i="5"/>
  <c r="AL86" i="5"/>
  <c r="AK554" i="5"/>
  <c r="AL554" i="5"/>
  <c r="AK111" i="5"/>
  <c r="AL111" i="5"/>
  <c r="AL428" i="5"/>
  <c r="AK428" i="5"/>
  <c r="AL436" i="5"/>
  <c r="AK436" i="5"/>
  <c r="AK402" i="5"/>
  <c r="AL402" i="5"/>
  <c r="AK406" i="5"/>
  <c r="AL406" i="5"/>
  <c r="AK490" i="5"/>
  <c r="AL490" i="5"/>
  <c r="AK327" i="5"/>
  <c r="AL327" i="5"/>
  <c r="AL456" i="5"/>
  <c r="AK456" i="5"/>
  <c r="AK135" i="5"/>
  <c r="AL135" i="5"/>
  <c r="AK310" i="5"/>
  <c r="AL310" i="5"/>
  <c r="AK347" i="5"/>
  <c r="AL347" i="5"/>
  <c r="AL39" i="5"/>
  <c r="AK39" i="5"/>
  <c r="AK197" i="5"/>
  <c r="AL197" i="5"/>
  <c r="AK368" i="5"/>
  <c r="AL368" i="5"/>
  <c r="AK538" i="5"/>
  <c r="AL538" i="5"/>
  <c r="AK477" i="5"/>
  <c r="AL477" i="5"/>
  <c r="AK415" i="5"/>
  <c r="AL415" i="5"/>
  <c r="AL266" i="5"/>
  <c r="AK266" i="5"/>
  <c r="AK395" i="5"/>
  <c r="AL395" i="5"/>
  <c r="AK331" i="5"/>
  <c r="AL331" i="5"/>
  <c r="AK213" i="5"/>
  <c r="AL213" i="5"/>
  <c r="AL527" i="5"/>
  <c r="AK527" i="5"/>
  <c r="AL475" i="5"/>
  <c r="AK475" i="5"/>
  <c r="AK367" i="5"/>
  <c r="AL367" i="5"/>
  <c r="AK287" i="5"/>
  <c r="AL287" i="5"/>
  <c r="AL305" i="5"/>
  <c r="AK305" i="5"/>
  <c r="AL250" i="5"/>
  <c r="AK250" i="5"/>
  <c r="AL178" i="5"/>
  <c r="AK178" i="5"/>
  <c r="AK214" i="5"/>
  <c r="AL214" i="5"/>
  <c r="AK99" i="5"/>
  <c r="AL99" i="5"/>
  <c r="AL284" i="5"/>
  <c r="AK284" i="5"/>
  <c r="AL215" i="5"/>
  <c r="AK215" i="5"/>
  <c r="AL170" i="5"/>
  <c r="AK170" i="5"/>
  <c r="AK50" i="5"/>
  <c r="AL50" i="5"/>
  <c r="AL306" i="5"/>
  <c r="AK306" i="5"/>
  <c r="AK23" i="5"/>
  <c r="AL23" i="5"/>
  <c r="AL511" i="5"/>
  <c r="AK511" i="5"/>
  <c r="AK398" i="5"/>
  <c r="AL398" i="5"/>
  <c r="AK343" i="5"/>
  <c r="AL343" i="5"/>
  <c r="AL227" i="5"/>
  <c r="AK227" i="5"/>
  <c r="AL278" i="5"/>
  <c r="AK278" i="5"/>
  <c r="AL234" i="5"/>
  <c r="AK234" i="5"/>
  <c r="AK30" i="5"/>
  <c r="AL30" i="5"/>
  <c r="AK190" i="5"/>
  <c r="AL190" i="5"/>
  <c r="AL326" i="5"/>
  <c r="AK326" i="5"/>
  <c r="AK259" i="5"/>
  <c r="AL259" i="5"/>
  <c r="AK189" i="5"/>
  <c r="AL189" i="5"/>
  <c r="AK133" i="5"/>
  <c r="AL133" i="5"/>
  <c r="AK157" i="5"/>
  <c r="AL157" i="5"/>
  <c r="AK209" i="5"/>
  <c r="AL209" i="5"/>
  <c r="AK514" i="5"/>
  <c r="AL514" i="5"/>
  <c r="AL451" i="5"/>
  <c r="AK451" i="5"/>
  <c r="AL389" i="5"/>
  <c r="AK389" i="5"/>
  <c r="AL433" i="5"/>
  <c r="AK433" i="5"/>
  <c r="AL365" i="5"/>
  <c r="AK365" i="5"/>
  <c r="AL301" i="5"/>
  <c r="AK301" i="5"/>
  <c r="AL559" i="5"/>
  <c r="AK559" i="5"/>
  <c r="AK509" i="5"/>
  <c r="AL509" i="5"/>
  <c r="AK396" i="5"/>
  <c r="AL396" i="5"/>
  <c r="AK339" i="5"/>
  <c r="AL339" i="5"/>
  <c r="AK194" i="5"/>
  <c r="AL194" i="5"/>
  <c r="AL276" i="5"/>
  <c r="AK276" i="5"/>
  <c r="AL231" i="5"/>
  <c r="AK231" i="5"/>
  <c r="AK20" i="5"/>
  <c r="AL20" i="5"/>
  <c r="AK186" i="5"/>
  <c r="AL186" i="5"/>
  <c r="AK319" i="5"/>
  <c r="AL319" i="5"/>
  <c r="AK255" i="5"/>
  <c r="AL255" i="5"/>
  <c r="AK185" i="5"/>
  <c r="AL185" i="5"/>
  <c r="AK129" i="5"/>
  <c r="AL129" i="5"/>
  <c r="AK141" i="5"/>
  <c r="AL141" i="5"/>
  <c r="AL38" i="5"/>
  <c r="AK38" i="5"/>
  <c r="AK358" i="5"/>
  <c r="AL358" i="5"/>
  <c r="AL448" i="5"/>
  <c r="AK448" i="5"/>
  <c r="AL69" i="5"/>
  <c r="AK69" i="5"/>
  <c r="AK103" i="5"/>
  <c r="AL103" i="5"/>
  <c r="AK505" i="5"/>
  <c r="AL505" i="5"/>
  <c r="AL26" i="5"/>
  <c r="AK26" i="5"/>
  <c r="AK122" i="5"/>
  <c r="AL122" i="5"/>
  <c r="AL460" i="5"/>
  <c r="AK460" i="5"/>
  <c r="AL440" i="5"/>
  <c r="AK440" i="5"/>
  <c r="AL472" i="5"/>
  <c r="AK472" i="5"/>
  <c r="AK328" i="5"/>
  <c r="AL328" i="5"/>
  <c r="AK226" i="5"/>
  <c r="AL226" i="5"/>
  <c r="AL81" i="5"/>
  <c r="AK81" i="5"/>
  <c r="AK285" i="5"/>
  <c r="AL285" i="5"/>
  <c r="AL479" i="5"/>
  <c r="AK479" i="5"/>
  <c r="AL502" i="5"/>
  <c r="AK502" i="5"/>
  <c r="AL469" i="5"/>
  <c r="AK469" i="5"/>
  <c r="AK53" i="5"/>
  <c r="AL53" i="5"/>
  <c r="AK488" i="5"/>
  <c r="AL488" i="5"/>
  <c r="AK341" i="5"/>
  <c r="AL341" i="5"/>
  <c r="AK265" i="5"/>
  <c r="AL265" i="5"/>
  <c r="AL493" i="5"/>
  <c r="AK493" i="5"/>
  <c r="AK298" i="5"/>
  <c r="AL298" i="5"/>
  <c r="AL249" i="5"/>
  <c r="AK249" i="5"/>
  <c r="AL379" i="5"/>
  <c r="AK379" i="5"/>
  <c r="AK320" i="5"/>
  <c r="AL320" i="5"/>
  <c r="AL229" i="5"/>
  <c r="AK229" i="5"/>
  <c r="AK228" i="5"/>
  <c r="AL228" i="5"/>
  <c r="AK82" i="5"/>
  <c r="AL82" i="5"/>
  <c r="AL464" i="5"/>
  <c r="AK464" i="5"/>
  <c r="AL294" i="5"/>
  <c r="AK294" i="5"/>
  <c r="AK76" i="5"/>
  <c r="AL76" i="5"/>
  <c r="AL275" i="5"/>
  <c r="AK275" i="5"/>
  <c r="AK34" i="5"/>
  <c r="AL34" i="5"/>
  <c r="AL530" i="5"/>
  <c r="AK530" i="5"/>
  <c r="AK253" i="5"/>
  <c r="AL253" i="5"/>
  <c r="AK127" i="5"/>
  <c r="AL127" i="5"/>
  <c r="AL355" i="5"/>
  <c r="AK355" i="5"/>
  <c r="AK292" i="5"/>
  <c r="AL292" i="5"/>
  <c r="AL202" i="5"/>
  <c r="AK202" i="5"/>
  <c r="AK270" i="5"/>
  <c r="AL270" i="5"/>
  <c r="AK29" i="5"/>
  <c r="AL29" i="5"/>
  <c r="AL68" i="5"/>
  <c r="AK68" i="5"/>
  <c r="AL369" i="5"/>
  <c r="AK369" i="5"/>
  <c r="AK155" i="5"/>
  <c r="AL155" i="5"/>
  <c r="AL48" i="5"/>
  <c r="AK48" i="5"/>
  <c r="AL391" i="5"/>
  <c r="AK391" i="5"/>
  <c r="AK94" i="5"/>
  <c r="AL94" i="5"/>
  <c r="AK557" i="5"/>
  <c r="AL557" i="5"/>
  <c r="AK384" i="5"/>
  <c r="AL384" i="5"/>
  <c r="AK390" i="5"/>
  <c r="AL390" i="5"/>
  <c r="AL96" i="5"/>
  <c r="AK96" i="5"/>
  <c r="AK47" i="5"/>
  <c r="AL47" i="5"/>
  <c r="AK382" i="5"/>
  <c r="AL382" i="5"/>
  <c r="AK295" i="5"/>
  <c r="AL295" i="5"/>
  <c r="AL330" i="5"/>
  <c r="AK330" i="5"/>
  <c r="AK118" i="5"/>
  <c r="AL118" i="5"/>
  <c r="AK522" i="5"/>
  <c r="AL522" i="5"/>
  <c r="AK537" i="5"/>
  <c r="AL537" i="5"/>
  <c r="AK405" i="5"/>
  <c r="AL405" i="5"/>
  <c r="AK113" i="5"/>
  <c r="AL113" i="5"/>
  <c r="AK35" i="5"/>
  <c r="AL35" i="5"/>
  <c r="AK126" i="5"/>
  <c r="AL126" i="5"/>
  <c r="AL8" i="5"/>
  <c r="AK8" i="5"/>
  <c r="AL54" i="5"/>
  <c r="AK54" i="5"/>
  <c r="AK414" i="5"/>
  <c r="AL414" i="5"/>
  <c r="AK518" i="5"/>
  <c r="AL518" i="5"/>
  <c r="AK364" i="5"/>
  <c r="AL364" i="5"/>
  <c r="AK482" i="5"/>
  <c r="AL482" i="5"/>
  <c r="AK338" i="5"/>
  <c r="AL338" i="5"/>
  <c r="AK521" i="5"/>
  <c r="AL521" i="5"/>
  <c r="AK445" i="5"/>
  <c r="AL445" i="5"/>
  <c r="AK536" i="5"/>
  <c r="AL536" i="5"/>
  <c r="AK411" i="5"/>
  <c r="AL411" i="5"/>
  <c r="AK392" i="5"/>
  <c r="AL392" i="5"/>
  <c r="AL535" i="5"/>
  <c r="AK535" i="5"/>
  <c r="AL316" i="5"/>
  <c r="AK316" i="5"/>
  <c r="AL123" i="5"/>
  <c r="AK123" i="5"/>
  <c r="AL80" i="5"/>
  <c r="AK80" i="5"/>
  <c r="AK106" i="5"/>
  <c r="AL106" i="5"/>
  <c r="AL70" i="5"/>
  <c r="AK70" i="5"/>
  <c r="AK457" i="5"/>
  <c r="AL457" i="5"/>
  <c r="AK534" i="5"/>
  <c r="AL534" i="5"/>
  <c r="AK404" i="5"/>
  <c r="AL404" i="5"/>
  <c r="AL545" i="5"/>
  <c r="AK545" i="5"/>
  <c r="AL362" i="5"/>
  <c r="AK362" i="5"/>
  <c r="AK549" i="5"/>
  <c r="AL549" i="5"/>
  <c r="AL471" i="5"/>
  <c r="AK471" i="5"/>
  <c r="AK550" i="5"/>
  <c r="AL550" i="5"/>
  <c r="AL439" i="5"/>
  <c r="AK439" i="5"/>
  <c r="AL421" i="5"/>
  <c r="AK421" i="5"/>
  <c r="AK205" i="5"/>
  <c r="AL205" i="5"/>
  <c r="AK282" i="5"/>
  <c r="AL282" i="5"/>
  <c r="AK210" i="5"/>
  <c r="AL210" i="5"/>
  <c r="AL168" i="5"/>
  <c r="AK168" i="5"/>
  <c r="AK79" i="5"/>
  <c r="AL79" i="5"/>
  <c r="AK191" i="5"/>
  <c r="AL191" i="5"/>
  <c r="AL124" i="5"/>
  <c r="AK124" i="5"/>
  <c r="AK31" i="5"/>
  <c r="AL31" i="5"/>
  <c r="AK444" i="5"/>
  <c r="AL444" i="5"/>
  <c r="AL526" i="5"/>
  <c r="AK526" i="5"/>
  <c r="AL380" i="5"/>
  <c r="AK380" i="5"/>
  <c r="AK528" i="5"/>
  <c r="AL528" i="5"/>
  <c r="AL354" i="5"/>
  <c r="AK354" i="5"/>
  <c r="AL541" i="5"/>
  <c r="AK541" i="5"/>
  <c r="AL458" i="5"/>
  <c r="AK458" i="5"/>
  <c r="AK544" i="5"/>
  <c r="AL544" i="5"/>
  <c r="AK427" i="5"/>
  <c r="AL427" i="5"/>
  <c r="AL409" i="5"/>
  <c r="AK409" i="5"/>
  <c r="AK60" i="5"/>
  <c r="AL60" i="5"/>
  <c r="AK237" i="5"/>
  <c r="AL237" i="5"/>
  <c r="AK192" i="5"/>
  <c r="AL192" i="5"/>
  <c r="AL150" i="5"/>
  <c r="AK150" i="5"/>
  <c r="AL336" i="5"/>
  <c r="AK336" i="5"/>
  <c r="AK524" i="5"/>
  <c r="AL524" i="5"/>
  <c r="AL461" i="5"/>
  <c r="AK461" i="5"/>
  <c r="AL399" i="5"/>
  <c r="AK399" i="5"/>
  <c r="AK232" i="5"/>
  <c r="AL232" i="5"/>
  <c r="AK381" i="5"/>
  <c r="AL381" i="5"/>
  <c r="AL314" i="5"/>
  <c r="AK314" i="5"/>
  <c r="AL95" i="5"/>
  <c r="AK95" i="5"/>
  <c r="AL517" i="5"/>
  <c r="AK517" i="5"/>
  <c r="AL459" i="5"/>
  <c r="AK459" i="5"/>
  <c r="AL351" i="5"/>
  <c r="AK351" i="5"/>
  <c r="AK247" i="5"/>
  <c r="AL247" i="5"/>
  <c r="AL289" i="5"/>
  <c r="AK289" i="5"/>
  <c r="AK241" i="5"/>
  <c r="AL241" i="5"/>
  <c r="AK57" i="5"/>
  <c r="AL57" i="5"/>
  <c r="AL198" i="5"/>
  <c r="AK198" i="5"/>
  <c r="AL46" i="5"/>
  <c r="AK46" i="5"/>
  <c r="AL268" i="5"/>
  <c r="AK268" i="5"/>
  <c r="AL199" i="5"/>
  <c r="AK199" i="5"/>
  <c r="AL154" i="5"/>
  <c r="AK154" i="5"/>
  <c r="AK173" i="5"/>
  <c r="AL173" i="5"/>
  <c r="AK274" i="5"/>
  <c r="AL274" i="5"/>
  <c r="AK547" i="5"/>
  <c r="AL547" i="5"/>
  <c r="AK496" i="5"/>
  <c r="AL496" i="5"/>
  <c r="AK388" i="5"/>
  <c r="AL388" i="5"/>
  <c r="AK325" i="5"/>
  <c r="AL325" i="5"/>
  <c r="AK119" i="5"/>
  <c r="AL119" i="5"/>
  <c r="AL262" i="5"/>
  <c r="AK262" i="5"/>
  <c r="AK216" i="5"/>
  <c r="AL216" i="5"/>
  <c r="AK238" i="5"/>
  <c r="AL238" i="5"/>
  <c r="AL148" i="5"/>
  <c r="AK148" i="5"/>
  <c r="AL307" i="5"/>
  <c r="AK307" i="5"/>
  <c r="AK239" i="5"/>
  <c r="AL239" i="5"/>
  <c r="AK89" i="5"/>
  <c r="AL89" i="5"/>
  <c r="AK101" i="5"/>
  <c r="AL101" i="5"/>
  <c r="AK59" i="5"/>
  <c r="AL59" i="5"/>
  <c r="AK548" i="5"/>
  <c r="AL548" i="5"/>
  <c r="AK499" i="5"/>
  <c r="AL499" i="5"/>
  <c r="AL435" i="5"/>
  <c r="AK435" i="5"/>
  <c r="AK303" i="5"/>
  <c r="AL303" i="5"/>
  <c r="AL417" i="5"/>
  <c r="AK417" i="5"/>
  <c r="AK349" i="5"/>
  <c r="AL349" i="5"/>
  <c r="AL269" i="5"/>
  <c r="AK269" i="5"/>
  <c r="AK543" i="5"/>
  <c r="AL543" i="5"/>
  <c r="AK494" i="5"/>
  <c r="AL494" i="5"/>
  <c r="AL383" i="5"/>
  <c r="AK383" i="5"/>
  <c r="AK321" i="5"/>
  <c r="AL321" i="5"/>
  <c r="AK324" i="5"/>
  <c r="AL324" i="5"/>
  <c r="AK260" i="5"/>
  <c r="AL260" i="5"/>
  <c r="AL212" i="5"/>
  <c r="AK212" i="5"/>
  <c r="AK235" i="5"/>
  <c r="AL235" i="5"/>
  <c r="AL139" i="5"/>
  <c r="AK139" i="5"/>
  <c r="AK302" i="5"/>
  <c r="AL302" i="5"/>
  <c r="AL233" i="5"/>
  <c r="AK233" i="5"/>
  <c r="AL62" i="5"/>
  <c r="AK62" i="5"/>
  <c r="AK97" i="5"/>
  <c r="AL97" i="5"/>
  <c r="AK33" i="5"/>
  <c r="AL33" i="5"/>
  <c r="AL432" i="5"/>
  <c r="AK432" i="5"/>
  <c r="AK88" i="5"/>
  <c r="AL88" i="5"/>
  <c r="AK280" i="5"/>
  <c r="AL280" i="5"/>
  <c r="AK19" i="5"/>
  <c r="AL19" i="5"/>
  <c r="AK137" i="5"/>
  <c r="AL137" i="5"/>
  <c r="AK542" i="5"/>
  <c r="AL542" i="5"/>
  <c r="AK74" i="5"/>
  <c r="AL74" i="5"/>
  <c r="AK149" i="5"/>
  <c r="AL149" i="5"/>
  <c r="AK272" i="5"/>
  <c r="AL272" i="5"/>
  <c r="AK418" i="5"/>
  <c r="AL418" i="5"/>
  <c r="AK360" i="5"/>
  <c r="AL360" i="5"/>
  <c r="AK261" i="5"/>
  <c r="AL261" i="5"/>
  <c r="AK204" i="5"/>
  <c r="AL204" i="5"/>
  <c r="AK116" i="5"/>
  <c r="AL116" i="5"/>
  <c r="AK487" i="5"/>
  <c r="AL487" i="5"/>
  <c r="AL438" i="5"/>
  <c r="AK438" i="5"/>
  <c r="AL416" i="5"/>
  <c r="AK416" i="5"/>
  <c r="AK353" i="5"/>
  <c r="AL353" i="5"/>
  <c r="AK248" i="5"/>
  <c r="AL248" i="5"/>
  <c r="AK42" i="5"/>
  <c r="AL42" i="5"/>
  <c r="AK22" i="5"/>
  <c r="AL22" i="5"/>
  <c r="AL334" i="5"/>
  <c r="AK334" i="5"/>
  <c r="AL78" i="5"/>
  <c r="AK78" i="5"/>
  <c r="AL434" i="5"/>
  <c r="AK434" i="5"/>
  <c r="AL560" i="5"/>
  <c r="AK560" i="5"/>
  <c r="AL293" i="5"/>
  <c r="AK293" i="5"/>
  <c r="AL236" i="5"/>
  <c r="AK236" i="5"/>
  <c r="AK408" i="5"/>
  <c r="AL408" i="5"/>
  <c r="AL431" i="5"/>
  <c r="AK431" i="5"/>
  <c r="AK345" i="5"/>
  <c r="AL345" i="5"/>
  <c r="AK539" i="5"/>
  <c r="AL539" i="5"/>
  <c r="AK317" i="5"/>
  <c r="AL317" i="5"/>
  <c r="AL208" i="5"/>
  <c r="AK208" i="5"/>
  <c r="AL131" i="5"/>
  <c r="AK131" i="5"/>
  <c r="AL52" i="5"/>
  <c r="AK52" i="5"/>
  <c r="AK523" i="5"/>
  <c r="AL523" i="5"/>
  <c r="AK277" i="5"/>
  <c r="AL277" i="5"/>
  <c r="AL246" i="5"/>
  <c r="AK246" i="5"/>
  <c r="AL73" i="5"/>
  <c r="AK73" i="5"/>
  <c r="AL162" i="5"/>
  <c r="AK162" i="5"/>
  <c r="AL344" i="5"/>
  <c r="AK344" i="5"/>
  <c r="AL403" i="5"/>
  <c r="AK403" i="5"/>
  <c r="AL318" i="5"/>
  <c r="AK318" i="5"/>
  <c r="AK519" i="5"/>
  <c r="AL519" i="5"/>
  <c r="AL264" i="5"/>
  <c r="AK264" i="5"/>
  <c r="AL67" i="5"/>
  <c r="AK67" i="5"/>
  <c r="AL55" i="5"/>
  <c r="AK55" i="5"/>
  <c r="AK203" i="5"/>
  <c r="AL203" i="5"/>
  <c r="AL497" i="5"/>
  <c r="AK497" i="5"/>
  <c r="AK340" i="5"/>
  <c r="AL340" i="5"/>
  <c r="AL446" i="5"/>
  <c r="AK446" i="5"/>
  <c r="AK183" i="5"/>
  <c r="AL183" i="5"/>
  <c r="AK311" i="5"/>
  <c r="AL311" i="5"/>
  <c r="AL145" i="5"/>
  <c r="AK145" i="5"/>
  <c r="AK426" i="5"/>
  <c r="AL426" i="5"/>
  <c r="AL486" i="5"/>
  <c r="AK486" i="5"/>
  <c r="AK220" i="5"/>
  <c r="AL220" i="5"/>
  <c r="AK58" i="5"/>
  <c r="AL58" i="5"/>
  <c r="AK498" i="5"/>
  <c r="AL498" i="5"/>
  <c r="AK386" i="5"/>
  <c r="AL386" i="5"/>
  <c r="AL454" i="5"/>
  <c r="AK454" i="5"/>
  <c r="AK240" i="5"/>
  <c r="AL240" i="5"/>
  <c r="AL167" i="5"/>
  <c r="AK167" i="5"/>
  <c r="AL372" i="5"/>
  <c r="AK372" i="5"/>
  <c r="AK449" i="5"/>
  <c r="AL449" i="5"/>
  <c r="AL551" i="5"/>
  <c r="AK551" i="5"/>
  <c r="AK72" i="5"/>
  <c r="AL72" i="5"/>
  <c r="AK51" i="5"/>
  <c r="AL51" i="5"/>
  <c r="AK90" i="5"/>
  <c r="AL90" i="5"/>
  <c r="AK108" i="5"/>
  <c r="AL108" i="5"/>
  <c r="AL128" i="5"/>
  <c r="AK128" i="5"/>
  <c r="AK350" i="5"/>
  <c r="AL350" i="5"/>
  <c r="AL492" i="5"/>
  <c r="AK492" i="5"/>
  <c r="AK304" i="5"/>
  <c r="AL304" i="5"/>
  <c r="AK442" i="5"/>
  <c r="AL442" i="5"/>
  <c r="AK41" i="5"/>
  <c r="AL41" i="5"/>
  <c r="AK473" i="5"/>
  <c r="AL473" i="5"/>
  <c r="AL424" i="5"/>
  <c r="AK424" i="5"/>
  <c r="AL504" i="5"/>
  <c r="AK504" i="5"/>
  <c r="AL332" i="5"/>
  <c r="AK332" i="5"/>
  <c r="AL357" i="5"/>
  <c r="AK357" i="5"/>
  <c r="AK485" i="5"/>
  <c r="AL485" i="5"/>
  <c r="AL256" i="5"/>
  <c r="AK256" i="5"/>
  <c r="AL297" i="5"/>
  <c r="AK297" i="5"/>
  <c r="AK98" i="5"/>
  <c r="AL98" i="5"/>
  <c r="AL104" i="5"/>
  <c r="AK104" i="5"/>
  <c r="AL187" i="5"/>
  <c r="AK187" i="5"/>
  <c r="AK397" i="5"/>
  <c r="AL397" i="5"/>
  <c r="AL510" i="5"/>
  <c r="AK510" i="5"/>
  <c r="AK356" i="5"/>
  <c r="AL356" i="5"/>
  <c r="AL468" i="5"/>
  <c r="AK468" i="5"/>
  <c r="AL329" i="5"/>
  <c r="AK329" i="5"/>
  <c r="AK512" i="5"/>
  <c r="AL512" i="5"/>
  <c r="AK441" i="5"/>
  <c r="AL441" i="5"/>
  <c r="AL532" i="5"/>
  <c r="AK532" i="5"/>
  <c r="AK407" i="5"/>
  <c r="AL407" i="5"/>
  <c r="AK387" i="5"/>
  <c r="AL387" i="5"/>
  <c r="AK525" i="5"/>
  <c r="AL525" i="5"/>
  <c r="AL299" i="5"/>
  <c r="AK299" i="5"/>
  <c r="AK83" i="5"/>
  <c r="AL83" i="5"/>
  <c r="AK45" i="5"/>
  <c r="AL45" i="5"/>
  <c r="AL100" i="5"/>
  <c r="AK100" i="5"/>
  <c r="AL130" i="5"/>
  <c r="AK130" i="5"/>
  <c r="AK132" i="5"/>
  <c r="AL132" i="5"/>
  <c r="AK136" i="5"/>
  <c r="AL136" i="5"/>
  <c r="AK366" i="5"/>
  <c r="AL366" i="5"/>
  <c r="AK506" i="5"/>
  <c r="AL506" i="5"/>
  <c r="AK348" i="5"/>
  <c r="AL348" i="5"/>
  <c r="AK450" i="5"/>
  <c r="AL450" i="5"/>
  <c r="AK263" i="5"/>
  <c r="AL263" i="5"/>
  <c r="AL500" i="5"/>
  <c r="AK500" i="5"/>
  <c r="AK437" i="5"/>
  <c r="AL437" i="5"/>
  <c r="AL520" i="5"/>
  <c r="AK520" i="5"/>
  <c r="AL393" i="5"/>
  <c r="AK393" i="5"/>
  <c r="AL373" i="5"/>
  <c r="AK373" i="5"/>
  <c r="AK513" i="5"/>
  <c r="AL513" i="5"/>
  <c r="AL283" i="5"/>
  <c r="AK283" i="5"/>
  <c r="AK36" i="5"/>
  <c r="AL36" i="5"/>
  <c r="AK161" i="5"/>
  <c r="AL161" i="5"/>
  <c r="AL144" i="5"/>
  <c r="AK144" i="5"/>
  <c r="AL508" i="5"/>
  <c r="AK508" i="5"/>
  <c r="AK447" i="5"/>
  <c r="AL447" i="5"/>
  <c r="AK378" i="5"/>
  <c r="AL378" i="5"/>
  <c r="AK429" i="5"/>
  <c r="AL429" i="5"/>
  <c r="AL361" i="5"/>
  <c r="AK361" i="5"/>
  <c r="AK288" i="5"/>
  <c r="AL288" i="5"/>
  <c r="AL555" i="5"/>
  <c r="AK555" i="5"/>
  <c r="AK507" i="5"/>
  <c r="AL507" i="5"/>
  <c r="AK394" i="5"/>
  <c r="AL394" i="5"/>
  <c r="AK335" i="5"/>
  <c r="AL335" i="5"/>
  <c r="AK179" i="5"/>
  <c r="AL179" i="5"/>
  <c r="AK273" i="5"/>
  <c r="AL273" i="5"/>
  <c r="AK225" i="5"/>
  <c r="AL225" i="5"/>
  <c r="AK242" i="5"/>
  <c r="AL242" i="5"/>
  <c r="AK182" i="5"/>
  <c r="AL182" i="5"/>
  <c r="AL315" i="5"/>
  <c r="AK315" i="5"/>
  <c r="AK251" i="5"/>
  <c r="AL251" i="5"/>
  <c r="AK181" i="5"/>
  <c r="AL181" i="5"/>
  <c r="AK117" i="5"/>
  <c r="AL117" i="5"/>
  <c r="AK91" i="5"/>
  <c r="AL91" i="5"/>
  <c r="AK230" i="5"/>
  <c r="AL230" i="5"/>
  <c r="AK533" i="5"/>
  <c r="AL533" i="5"/>
  <c r="AL480" i="5"/>
  <c r="AK480" i="5"/>
  <c r="AL375" i="5"/>
  <c r="AK375" i="5"/>
  <c r="AL309" i="5"/>
  <c r="AK309" i="5"/>
  <c r="AL312" i="5"/>
  <c r="AK312" i="5"/>
  <c r="AL254" i="5"/>
  <c r="AK254" i="5"/>
  <c r="AK200" i="5"/>
  <c r="AL200" i="5"/>
  <c r="AK222" i="5"/>
  <c r="AL222" i="5"/>
  <c r="AK115" i="5"/>
  <c r="AL115" i="5"/>
  <c r="AK291" i="5"/>
  <c r="AL291" i="5"/>
  <c r="AL223" i="5"/>
  <c r="AK223" i="5"/>
  <c r="AK180" i="5"/>
  <c r="AL180" i="5"/>
  <c r="AK66" i="5"/>
  <c r="AL66" i="5"/>
  <c r="AL376" i="5"/>
  <c r="AK376" i="5"/>
  <c r="AL540" i="5"/>
  <c r="AK540" i="5"/>
  <c r="AL483" i="5"/>
  <c r="AK483" i="5"/>
  <c r="AK419" i="5"/>
  <c r="AL419" i="5"/>
  <c r="AL271" i="5"/>
  <c r="AK271" i="5"/>
  <c r="AK401" i="5"/>
  <c r="AL401" i="5"/>
  <c r="AL333" i="5"/>
  <c r="AK333" i="5"/>
  <c r="AK221" i="5"/>
  <c r="AL221" i="5"/>
  <c r="AK529" i="5"/>
  <c r="AL529" i="5"/>
  <c r="AL478" i="5"/>
  <c r="AK478" i="5"/>
  <c r="AK371" i="5"/>
  <c r="AL371" i="5"/>
  <c r="AK296" i="5"/>
  <c r="AL296" i="5"/>
  <c r="AL308" i="5"/>
  <c r="AK308" i="5"/>
  <c r="AL252" i="5"/>
  <c r="AK252" i="5"/>
  <c r="AK193" i="5"/>
  <c r="AL193" i="5"/>
  <c r="AK218" i="5"/>
  <c r="AL218" i="5"/>
  <c r="AK107" i="5"/>
  <c r="AL107" i="5"/>
  <c r="AL286" i="5"/>
  <c r="AK286" i="5"/>
  <c r="AL219" i="5"/>
  <c r="AK219" i="5"/>
  <c r="AL176" i="5"/>
  <c r="AK176" i="5"/>
  <c r="AL64" i="5"/>
  <c r="AK64" i="5"/>
  <c r="B47" i="2"/>
  <c r="H20" i="1"/>
  <c r="G21" i="1"/>
  <c r="I23" i="1"/>
  <c r="I22" i="1"/>
  <c r="K25" i="2"/>
  <c r="AY12" i="5" l="1"/>
  <c r="BE55" i="5"/>
  <c r="BE237" i="5"/>
  <c r="BC12" i="5"/>
  <c r="BE127" i="5"/>
  <c r="BD98" i="5"/>
  <c r="BD100" i="5"/>
  <c r="BE7" i="5"/>
  <c r="BE48" i="5"/>
  <c r="BE114" i="5"/>
  <c r="BD78" i="5"/>
  <c r="BD35" i="5"/>
  <c r="BE53" i="5"/>
  <c r="BD59" i="5"/>
  <c r="BE198" i="5"/>
  <c r="BE133" i="5"/>
  <c r="BD86" i="5"/>
  <c r="BE82" i="5"/>
  <c r="BE195" i="5"/>
  <c r="BE462" i="5"/>
  <c r="BD214" i="5"/>
  <c r="BD264" i="5"/>
  <c r="BD560" i="5"/>
  <c r="BE22" i="5"/>
  <c r="BE144" i="5"/>
  <c r="BE219" i="5"/>
  <c r="BE45" i="5"/>
  <c r="BE316" i="5"/>
  <c r="BE83" i="5"/>
  <c r="BD269" i="5"/>
  <c r="BD180" i="5"/>
  <c r="BE38" i="5"/>
  <c r="BE51" i="5"/>
  <c r="BE537" i="5"/>
  <c r="BD130" i="5"/>
  <c r="BD164" i="5"/>
  <c r="BD315" i="5"/>
  <c r="BD305" i="5"/>
  <c r="BD262" i="5"/>
  <c r="BE299" i="5"/>
  <c r="BE27" i="5"/>
  <c r="BD64" i="5"/>
  <c r="BE44" i="5"/>
  <c r="BE283" i="5"/>
  <c r="BD112" i="5"/>
  <c r="BD223" i="5"/>
  <c r="BE41" i="5"/>
  <c r="BD191" i="5"/>
  <c r="BE296" i="5"/>
  <c r="BE8" i="5"/>
  <c r="BD352" i="5"/>
  <c r="BE230" i="5"/>
  <c r="BE156" i="5"/>
  <c r="BD156" i="5"/>
  <c r="BE208" i="5"/>
  <c r="BD208" i="5"/>
  <c r="BE103" i="5"/>
  <c r="BE246" i="5"/>
  <c r="BE533" i="5"/>
  <c r="BD263" i="5"/>
  <c r="BE68" i="5"/>
  <c r="BD68" i="5"/>
  <c r="BE476" i="5"/>
  <c r="BD476" i="5"/>
  <c r="BE81" i="5"/>
  <c r="BD81" i="5"/>
  <c r="BE31" i="5"/>
  <c r="BD31" i="5"/>
  <c r="BE290" i="5"/>
  <c r="BD290" i="5"/>
  <c r="BD295" i="5"/>
  <c r="BE295" i="5"/>
  <c r="BD346" i="5"/>
  <c r="BE346" i="5"/>
  <c r="BE235" i="5"/>
  <c r="BD235" i="5"/>
  <c r="BD284" i="5"/>
  <c r="BE284" i="5"/>
  <c r="BE559" i="5"/>
  <c r="BD559" i="5"/>
  <c r="BD183" i="5"/>
  <c r="BE183" i="5"/>
  <c r="BD159" i="5"/>
  <c r="BE159" i="5"/>
  <c r="BE119" i="5"/>
  <c r="BD158" i="5"/>
  <c r="BE453" i="5"/>
  <c r="BD66" i="5"/>
  <c r="BD369" i="5"/>
  <c r="BE306" i="5"/>
  <c r="BE236" i="5"/>
  <c r="BD470" i="5"/>
  <c r="BD387" i="5"/>
  <c r="BE387" i="5"/>
  <c r="BD487" i="5"/>
  <c r="BE487" i="5"/>
  <c r="BD209" i="5"/>
  <c r="BE209" i="5"/>
  <c r="BE298" i="5"/>
  <c r="BD298" i="5"/>
  <c r="BD437" i="5"/>
  <c r="BE437" i="5"/>
  <c r="BD213" i="5"/>
  <c r="BE213" i="5"/>
  <c r="BD206" i="5"/>
  <c r="BE206" i="5"/>
  <c r="BE211" i="5"/>
  <c r="BD211" i="5"/>
  <c r="BD152" i="5"/>
  <c r="BE152" i="5"/>
  <c r="BE225" i="5"/>
  <c r="BD225" i="5"/>
  <c r="BD101" i="5"/>
  <c r="BE101" i="5"/>
  <c r="BE273" i="5"/>
  <c r="BD273" i="5"/>
  <c r="BD360" i="5"/>
  <c r="BE360" i="5"/>
  <c r="BE92" i="5"/>
  <c r="BD92" i="5"/>
  <c r="BE52" i="5"/>
  <c r="BD52" i="5"/>
  <c r="BE189" i="5"/>
  <c r="BD189" i="5"/>
  <c r="BE30" i="5"/>
  <c r="BD30" i="5"/>
  <c r="BD24" i="5"/>
  <c r="BE24" i="5"/>
  <c r="BD39" i="5"/>
  <c r="BE39" i="5"/>
  <c r="BE268" i="5"/>
  <c r="BD268" i="5"/>
  <c r="BD60" i="5"/>
  <c r="BE60" i="5"/>
  <c r="BE241" i="5"/>
  <c r="BD241" i="5"/>
  <c r="BD169" i="5"/>
  <c r="BE169" i="5"/>
  <c r="BE131" i="5"/>
  <c r="BD131" i="5"/>
  <c r="BD238" i="5"/>
  <c r="BE238" i="5"/>
  <c r="BD116" i="5"/>
  <c r="BE116" i="5"/>
  <c r="BE227" i="5"/>
  <c r="BD227" i="5"/>
  <c r="BE313" i="5"/>
  <c r="BD313" i="5"/>
  <c r="BD172" i="5"/>
  <c r="BE172" i="5"/>
  <c r="BE324" i="5"/>
  <c r="BD324" i="5"/>
  <c r="BD148" i="5"/>
  <c r="BE148" i="5"/>
  <c r="BD178" i="5"/>
  <c r="BE178" i="5"/>
  <c r="BE29" i="5"/>
  <c r="BD29" i="5"/>
  <c r="BD109" i="5"/>
  <c r="BE109" i="5"/>
  <c r="BE240" i="5"/>
  <c r="BD240" i="5"/>
  <c r="BD26" i="5"/>
  <c r="BE26" i="5"/>
  <c r="BE351" i="5"/>
  <c r="BD351" i="5"/>
  <c r="BD132" i="5"/>
  <c r="BE132" i="5"/>
  <c r="BE150" i="5"/>
  <c r="BD150" i="5"/>
  <c r="BD424" i="5"/>
  <c r="BE424" i="5"/>
  <c r="BD147" i="5"/>
  <c r="BE147" i="5"/>
  <c r="BE117" i="5"/>
  <c r="BD117" i="5"/>
  <c r="BD139" i="5"/>
  <c r="BE139" i="5"/>
  <c r="BE401" i="5"/>
  <c r="BD401" i="5"/>
  <c r="BE190" i="5"/>
  <c r="BD190" i="5"/>
  <c r="BD363" i="5"/>
  <c r="BE363" i="5"/>
  <c r="BE255" i="5"/>
  <c r="BD255" i="5"/>
  <c r="BE332" i="5"/>
  <c r="BD332" i="5"/>
  <c r="BD19" i="5"/>
  <c r="BE19" i="5"/>
  <c r="BD276" i="5"/>
  <c r="BE276" i="5"/>
  <c r="BD546" i="5"/>
  <c r="BE546" i="5"/>
  <c r="BE73" i="5"/>
  <c r="BD73" i="5"/>
  <c r="BD251" i="5"/>
  <c r="BE251" i="5"/>
  <c r="BD450" i="5"/>
  <c r="BE450" i="5"/>
  <c r="BD553" i="5"/>
  <c r="BE553" i="5"/>
  <c r="BE309" i="5"/>
  <c r="BD309" i="5"/>
  <c r="BE545" i="5"/>
  <c r="BD545" i="5"/>
  <c r="BE465" i="5"/>
  <c r="BD465" i="5"/>
  <c r="BD288" i="5"/>
  <c r="BE288" i="5"/>
  <c r="BE232" i="5"/>
  <c r="BD232" i="5"/>
  <c r="BD137" i="5"/>
  <c r="BE137" i="5"/>
  <c r="BE76" i="5"/>
  <c r="BD76" i="5"/>
  <c r="BD274" i="5"/>
  <c r="BE274" i="5"/>
  <c r="BD105" i="5"/>
  <c r="BE105" i="5"/>
  <c r="BE326" i="5"/>
  <c r="BD326" i="5"/>
  <c r="BE121" i="5"/>
  <c r="BD121" i="5"/>
  <c r="BE201" i="5"/>
  <c r="BD201" i="5"/>
  <c r="BD111" i="5"/>
  <c r="BE111" i="5"/>
  <c r="BE110" i="5"/>
  <c r="BD110" i="5"/>
  <c r="BE184" i="5"/>
  <c r="BD184" i="5"/>
  <c r="BE157" i="5"/>
  <c r="BD157" i="5"/>
  <c r="BE202" i="5"/>
  <c r="BD202" i="5"/>
  <c r="BE199" i="5"/>
  <c r="BD199" i="5"/>
  <c r="BD154" i="5"/>
  <c r="BE154" i="5"/>
  <c r="BE243" i="5"/>
  <c r="BD243" i="5"/>
  <c r="BE317" i="5"/>
  <c r="BD317" i="5"/>
  <c r="BD126" i="5"/>
  <c r="BE126" i="5"/>
  <c r="BD412" i="5"/>
  <c r="BE412" i="5"/>
  <c r="BD289" i="5"/>
  <c r="BE289" i="5"/>
  <c r="BD136" i="5"/>
  <c r="BE136" i="5"/>
  <c r="BE411" i="5"/>
  <c r="BD411" i="5"/>
  <c r="BD160" i="5"/>
  <c r="BE160" i="5"/>
  <c r="BD279" i="5"/>
  <c r="BE279" i="5"/>
  <c r="BE194" i="5"/>
  <c r="BD194" i="5"/>
  <c r="BD212" i="5"/>
  <c r="BE212" i="5"/>
  <c r="BE91" i="5"/>
  <c r="BD91" i="5"/>
  <c r="BD414" i="5"/>
  <c r="BE414" i="5"/>
  <c r="BD501" i="5"/>
  <c r="BE501" i="5"/>
  <c r="BD477" i="5"/>
  <c r="BE477" i="5"/>
  <c r="BD432" i="5"/>
  <c r="BE432" i="5"/>
  <c r="BD108" i="5"/>
  <c r="BE108" i="5"/>
  <c r="BD89" i="5"/>
  <c r="BE89" i="5"/>
  <c r="BE314" i="5"/>
  <c r="BD314" i="5"/>
  <c r="BE74" i="5"/>
  <c r="BD74" i="5"/>
  <c r="BE323" i="5"/>
  <c r="BD323" i="5"/>
  <c r="BD32" i="5"/>
  <c r="BE32" i="5"/>
  <c r="BE134" i="5"/>
  <c r="BD134" i="5"/>
  <c r="BE261" i="5"/>
  <c r="BD261" i="5"/>
  <c r="BD532" i="5"/>
  <c r="BE532" i="5"/>
  <c r="BE478" i="5"/>
  <c r="BD478" i="5"/>
  <c r="BD392" i="5"/>
  <c r="BE392" i="5"/>
  <c r="BD242" i="5"/>
  <c r="BE242" i="5"/>
  <c r="BD226" i="5"/>
  <c r="BE226" i="5"/>
  <c r="BD285" i="5"/>
  <c r="BE285" i="5"/>
  <c r="BD491" i="5"/>
  <c r="BE491" i="5"/>
  <c r="BD249" i="5"/>
  <c r="BE249" i="5"/>
  <c r="BD69" i="5"/>
  <c r="BE69" i="5"/>
  <c r="BE174" i="5"/>
  <c r="BD174" i="5"/>
  <c r="BE171" i="5"/>
  <c r="BD171" i="5"/>
  <c r="BE125" i="5"/>
  <c r="BD125" i="5"/>
  <c r="BD118" i="5"/>
  <c r="BE118" i="5"/>
  <c r="BD88" i="5"/>
  <c r="BE88" i="5"/>
  <c r="BD40" i="5"/>
  <c r="BE40" i="5"/>
  <c r="BD247" i="5"/>
  <c r="BE247" i="5"/>
  <c r="BD56" i="5"/>
  <c r="BE56" i="5"/>
  <c r="BD47" i="5"/>
  <c r="BE47" i="5"/>
  <c r="BD85" i="5"/>
  <c r="BE85" i="5"/>
  <c r="BE302" i="5"/>
  <c r="BD302" i="5"/>
  <c r="BE265" i="5"/>
  <c r="BD265" i="5"/>
  <c r="BD161" i="5"/>
  <c r="BE161" i="5"/>
  <c r="BD185" i="5"/>
  <c r="BE185" i="5"/>
  <c r="BD221" i="5"/>
  <c r="BE163" i="5"/>
  <c r="BE234" i="5"/>
  <c r="BD115" i="5"/>
  <c r="BE122" i="5"/>
  <c r="BD166" i="5"/>
  <c r="BD84" i="5"/>
  <c r="BD23" i="5"/>
  <c r="BE536" i="5"/>
  <c r="BD543" i="5"/>
  <c r="BE469" i="5"/>
  <c r="BE481" i="5"/>
  <c r="BD329" i="5"/>
  <c r="BD138" i="5"/>
  <c r="BE138" i="5"/>
  <c r="BD140" i="5"/>
  <c r="BE140" i="5"/>
  <c r="BE245" i="5"/>
  <c r="BD145" i="5"/>
  <c r="BE145" i="5"/>
  <c r="BE149" i="5"/>
  <c r="BD149" i="5"/>
  <c r="BE75" i="5"/>
  <c r="BD97" i="5"/>
  <c r="BE43" i="5"/>
  <c r="BD71" i="5"/>
  <c r="BE338" i="5"/>
  <c r="BE168" i="5"/>
  <c r="BD210" i="5"/>
  <c r="BD72" i="5"/>
  <c r="BE72" i="5"/>
  <c r="BE393" i="5"/>
  <c r="BE113" i="5"/>
  <c r="BE65" i="5"/>
  <c r="BE356" i="5"/>
  <c r="BE521" i="5"/>
  <c r="BD555" i="5"/>
  <c r="BD80" i="5"/>
  <c r="BE80" i="5"/>
  <c r="BE197" i="5"/>
  <c r="BD197" i="5"/>
  <c r="BD495" i="5"/>
  <c r="BD175" i="5"/>
  <c r="BE141" i="5"/>
  <c r="BE278" i="5"/>
  <c r="BE34" i="5"/>
  <c r="BE337" i="5"/>
  <c r="BD549" i="5"/>
  <c r="BE70" i="5"/>
  <c r="BD21" i="5"/>
  <c r="BE379" i="5"/>
  <c r="BD379" i="5"/>
  <c r="BE61" i="5"/>
  <c r="BD344" i="5"/>
  <c r="BE286" i="5"/>
  <c r="BD286" i="5"/>
  <c r="BD300" i="5"/>
  <c r="BE90" i="5"/>
  <c r="BD90" i="5"/>
  <c r="BE440" i="5"/>
  <c r="BD440" i="5"/>
  <c r="BD231" i="5"/>
  <c r="BD188" i="5"/>
  <c r="BE303" i="5"/>
  <c r="BD303" i="5"/>
  <c r="BE244" i="5"/>
  <c r="BD244" i="5"/>
  <c r="BE193" i="5"/>
  <c r="BD193" i="5"/>
  <c r="BD229" i="5"/>
  <c r="BE229" i="5"/>
  <c r="BD405" i="5"/>
  <c r="BE405" i="5"/>
  <c r="BD275" i="5"/>
  <c r="BE275" i="5"/>
  <c r="BE294" i="5"/>
  <c r="BD294" i="5"/>
  <c r="BE182" i="5"/>
  <c r="BD182" i="5"/>
  <c r="BE365" i="5"/>
  <c r="BD365" i="5"/>
  <c r="BE445" i="5"/>
  <c r="BD445" i="5"/>
  <c r="BE515" i="5"/>
  <c r="BD515" i="5"/>
  <c r="BE448" i="5"/>
  <c r="BD448" i="5"/>
  <c r="BD106" i="5"/>
  <c r="BE106" i="5"/>
  <c r="BD282" i="5"/>
  <c r="BE282" i="5"/>
  <c r="BD239" i="5"/>
  <c r="BE239" i="5"/>
  <c r="BE505" i="5"/>
  <c r="BD505" i="5"/>
  <c r="BD396" i="5"/>
  <c r="BE396" i="5"/>
  <c r="BE407" i="5"/>
  <c r="BD407" i="5"/>
  <c r="BD547" i="5"/>
  <c r="BE547" i="5"/>
  <c r="BE94" i="5"/>
  <c r="BD46" i="5"/>
  <c r="BE46" i="5"/>
  <c r="BE162" i="5"/>
  <c r="BD162" i="5"/>
  <c r="BD167" i="5"/>
  <c r="BE167" i="5"/>
  <c r="BE277" i="5"/>
  <c r="BD277" i="5"/>
  <c r="BD340" i="5"/>
  <c r="BE340" i="5"/>
  <c r="BD409" i="5"/>
  <c r="BE409" i="5"/>
  <c r="BD496" i="5"/>
  <c r="BE496" i="5"/>
  <c r="BE475" i="5"/>
  <c r="BD475" i="5"/>
  <c r="BD362" i="5"/>
  <c r="BE362" i="5"/>
  <c r="BE410" i="5"/>
  <c r="BD410" i="5"/>
  <c r="BE361" i="5"/>
  <c r="BD361" i="5"/>
  <c r="BE433" i="5"/>
  <c r="BD433" i="5"/>
  <c r="BD473" i="5"/>
  <c r="BE473" i="5"/>
  <c r="BD517" i="5"/>
  <c r="BE517" i="5"/>
  <c r="BD493" i="5"/>
  <c r="BE493" i="5"/>
  <c r="BD339" i="5"/>
  <c r="BE339" i="5"/>
  <c r="BD280" i="5"/>
  <c r="BE280" i="5"/>
  <c r="BD124" i="5"/>
  <c r="BE124" i="5"/>
  <c r="BE461" i="5"/>
  <c r="BD461" i="5"/>
  <c r="BE358" i="5"/>
  <c r="BD358" i="5"/>
  <c r="BD457" i="5"/>
  <c r="BE457" i="5"/>
  <c r="BD348" i="5"/>
  <c r="BE348" i="5"/>
  <c r="BD256" i="5"/>
  <c r="BE256" i="5"/>
  <c r="BE503" i="5"/>
  <c r="BD503" i="5"/>
  <c r="BE58" i="5"/>
  <c r="BD58" i="5"/>
  <c r="BD187" i="5"/>
  <c r="BE187" i="5"/>
  <c r="BD20" i="5"/>
  <c r="BE20" i="5"/>
  <c r="BD416" i="5"/>
  <c r="BE416" i="5"/>
  <c r="BD57" i="5"/>
  <c r="BE57" i="5"/>
  <c r="BD355" i="5"/>
  <c r="BE355" i="5"/>
  <c r="BE62" i="5"/>
  <c r="BD62" i="5"/>
  <c r="BD128" i="5"/>
  <c r="BE128" i="5"/>
  <c r="BE376" i="5"/>
  <c r="BD376" i="5"/>
  <c r="BD527" i="5"/>
  <c r="BE527" i="5"/>
  <c r="BD431" i="5"/>
  <c r="BE431" i="5"/>
  <c r="BD439" i="5"/>
  <c r="BE439" i="5"/>
  <c r="BE492" i="5"/>
  <c r="BD492" i="5"/>
  <c r="BE541" i="5"/>
  <c r="BD541" i="5"/>
  <c r="BD447" i="5"/>
  <c r="BE447" i="5"/>
  <c r="BE28" i="5"/>
  <c r="BD28" i="5"/>
  <c r="BE181" i="5"/>
  <c r="BD181" i="5"/>
  <c r="BD95" i="5"/>
  <c r="BE95" i="5"/>
  <c r="BD120" i="5"/>
  <c r="BE120" i="5"/>
  <c r="BE413" i="5"/>
  <c r="BD413" i="5"/>
  <c r="V13" i="5"/>
  <c r="U13" i="5"/>
  <c r="BE96" i="5"/>
  <c r="BD96" i="5"/>
  <c r="BE331" i="5"/>
  <c r="BD331" i="5"/>
  <c r="BE377" i="5"/>
  <c r="BD377" i="5"/>
  <c r="BD186" i="5"/>
  <c r="BE186" i="5"/>
  <c r="BE293" i="5"/>
  <c r="BD293" i="5"/>
  <c r="BE406" i="5"/>
  <c r="BD406" i="5"/>
  <c r="BD415" i="5"/>
  <c r="BE415" i="5"/>
  <c r="BE402" i="5"/>
  <c r="BD402" i="5"/>
  <c r="BD420" i="5"/>
  <c r="BE420" i="5"/>
  <c r="BE449" i="5"/>
  <c r="BD449" i="5"/>
  <c r="BD464" i="5"/>
  <c r="BE464" i="5"/>
  <c r="BD531" i="5"/>
  <c r="BE531" i="5"/>
  <c r="BE529" i="5"/>
  <c r="BD529" i="5"/>
  <c r="BD176" i="5"/>
  <c r="BE176" i="5"/>
  <c r="BE253" i="5"/>
  <c r="BD253" i="5"/>
  <c r="BE370" i="5"/>
  <c r="BD370" i="5"/>
  <c r="BE389" i="5"/>
  <c r="BD389" i="5"/>
  <c r="BE417" i="5"/>
  <c r="BD417" i="5"/>
  <c r="BE514" i="5"/>
  <c r="BD514" i="5"/>
  <c r="BD530" i="5"/>
  <c r="BE530" i="5"/>
  <c r="BE364" i="5"/>
  <c r="BD364" i="5"/>
  <c r="BE107" i="5"/>
  <c r="BD107" i="5"/>
  <c r="BD271" i="5"/>
  <c r="BE271" i="5"/>
  <c r="BE104" i="5"/>
  <c r="BD104" i="5"/>
  <c r="BE165" i="5"/>
  <c r="BD165" i="5"/>
  <c r="BE291" i="5"/>
  <c r="BD291" i="5"/>
  <c r="BD544" i="5"/>
  <c r="BE544" i="5"/>
  <c r="BE451" i="5"/>
  <c r="BD451" i="5"/>
  <c r="BE472" i="5"/>
  <c r="BD472" i="5"/>
  <c r="BD155" i="5"/>
  <c r="BE155" i="5"/>
  <c r="BE67" i="5"/>
  <c r="BD67" i="5"/>
  <c r="BE423" i="5"/>
  <c r="BD423" i="5"/>
  <c r="BD539" i="5"/>
  <c r="BE539" i="5"/>
  <c r="BD436" i="5"/>
  <c r="BE436" i="5"/>
  <c r="BE397" i="5"/>
  <c r="BD397" i="5"/>
  <c r="BE467" i="5"/>
  <c r="BD467" i="5"/>
  <c r="BE347" i="5"/>
  <c r="BD347" i="5"/>
  <c r="BE330" i="5"/>
  <c r="BD330" i="5"/>
  <c r="BD304" i="5"/>
  <c r="BE304" i="5"/>
  <c r="BE153" i="5"/>
  <c r="BD153" i="5"/>
  <c r="BD500" i="5"/>
  <c r="BE500" i="5"/>
  <c r="BE391" i="5"/>
  <c r="BD391" i="5"/>
  <c r="BD554" i="5"/>
  <c r="BE554" i="5"/>
  <c r="BD502" i="5"/>
  <c r="BE502" i="5"/>
  <c r="BD33" i="5"/>
  <c r="BE33" i="5"/>
  <c r="BE403" i="5"/>
  <c r="BD403" i="5"/>
  <c r="BD318" i="5"/>
  <c r="BE318" i="5"/>
  <c r="BE372" i="5"/>
  <c r="BD372" i="5"/>
  <c r="BD322" i="5"/>
  <c r="BE322" i="5"/>
  <c r="BE129" i="5"/>
  <c r="BD129" i="5"/>
  <c r="BE312" i="5"/>
  <c r="BD312" i="5"/>
  <c r="BD480" i="5"/>
  <c r="BE480" i="5"/>
  <c r="BD205" i="5"/>
  <c r="BE205" i="5"/>
  <c r="BE224" i="5"/>
  <c r="BD224" i="5"/>
  <c r="BD333" i="5"/>
  <c r="BE333" i="5"/>
  <c r="BD37" i="5"/>
  <c r="BE37" i="5"/>
  <c r="BD408" i="5"/>
  <c r="BE408" i="5"/>
  <c r="BD320" i="5"/>
  <c r="BE320" i="5"/>
  <c r="BE343" i="5"/>
  <c r="BD343" i="5"/>
  <c r="BD425" i="5"/>
  <c r="BE425" i="5"/>
  <c r="BD516" i="5"/>
  <c r="BE516" i="5"/>
  <c r="BD520" i="5"/>
  <c r="BE520" i="5"/>
  <c r="BD368" i="5"/>
  <c r="BE368" i="5"/>
  <c r="BD367" i="5"/>
  <c r="BE367" i="5"/>
  <c r="BE435" i="5"/>
  <c r="BD435" i="5"/>
  <c r="BD486" i="5"/>
  <c r="BE486" i="5"/>
  <c r="BE386" i="5"/>
  <c r="BD386" i="5"/>
  <c r="BE468" i="5"/>
  <c r="BD468" i="5"/>
  <c r="BD135" i="5"/>
  <c r="BE135" i="5"/>
  <c r="BD525" i="5"/>
  <c r="BE525" i="5"/>
  <c r="BE228" i="5"/>
  <c r="BD228" i="5"/>
  <c r="BE327" i="5"/>
  <c r="BD327" i="5"/>
  <c r="BD77" i="5"/>
  <c r="BE77" i="5"/>
  <c r="BE349" i="5"/>
  <c r="BD349" i="5"/>
  <c r="BD383" i="5"/>
  <c r="BE383" i="5"/>
  <c r="BD354" i="5"/>
  <c r="BE354" i="5"/>
  <c r="BE490" i="5"/>
  <c r="BD490" i="5"/>
  <c r="BE400" i="5"/>
  <c r="BD400" i="5"/>
  <c r="BD373" i="5"/>
  <c r="BE373" i="5"/>
  <c r="BE99" i="5"/>
  <c r="BD99" i="5"/>
  <c r="BE328" i="5"/>
  <c r="BD328" i="5"/>
  <c r="BE345" i="5"/>
  <c r="BD345" i="5"/>
  <c r="BD203" i="5"/>
  <c r="BE203" i="5"/>
  <c r="BD359" i="5"/>
  <c r="BE359" i="5"/>
  <c r="BD63" i="5"/>
  <c r="BE63" i="5"/>
  <c r="BE419" i="5"/>
  <c r="BD419" i="5"/>
  <c r="BD215" i="5"/>
  <c r="BE215" i="5"/>
  <c r="BD394" i="5"/>
  <c r="BE394" i="5"/>
  <c r="BD418" i="5"/>
  <c r="BE418" i="5"/>
  <c r="BD442" i="5"/>
  <c r="BE442" i="5"/>
  <c r="BE504" i="5"/>
  <c r="BD504" i="5"/>
  <c r="BD381" i="5"/>
  <c r="BE381" i="5"/>
  <c r="BD428" i="5"/>
  <c r="BE428" i="5"/>
  <c r="BE484" i="5"/>
  <c r="BD484" i="5"/>
  <c r="BD452" i="5"/>
  <c r="BE452" i="5"/>
  <c r="BE429" i="5"/>
  <c r="BD429" i="5"/>
  <c r="BE459" i="5"/>
  <c r="BD459" i="5"/>
  <c r="BE388" i="5"/>
  <c r="BD388" i="5"/>
  <c r="BD266" i="5"/>
  <c r="BE266" i="5"/>
  <c r="BD207" i="5"/>
  <c r="BE207" i="5"/>
  <c r="BE319" i="5"/>
  <c r="BD319" i="5"/>
  <c r="BE390" i="5"/>
  <c r="BD390" i="5"/>
  <c r="BD556" i="5"/>
  <c r="BE556" i="5"/>
  <c r="BD218" i="5"/>
  <c r="BE218" i="5"/>
  <c r="AX13" i="5"/>
  <c r="AY13" i="5"/>
  <c r="BE143" i="5"/>
  <c r="BD143" i="5"/>
  <c r="BE146" i="5"/>
  <c r="BD146" i="5"/>
  <c r="BE307" i="5"/>
  <c r="BD307" i="5"/>
  <c r="BD494" i="5"/>
  <c r="BE494" i="5"/>
  <c r="BD538" i="5"/>
  <c r="BE538" i="5"/>
  <c r="BE444" i="5"/>
  <c r="BD444" i="5"/>
  <c r="BE499" i="5"/>
  <c r="BD499" i="5"/>
  <c r="BE342" i="5"/>
  <c r="BD342" i="5"/>
  <c r="BD506" i="5"/>
  <c r="BE506" i="5"/>
  <c r="BD548" i="5"/>
  <c r="BE548" i="5"/>
  <c r="BE456" i="5"/>
  <c r="BD456" i="5"/>
  <c r="BD471" i="5"/>
  <c r="BE471" i="5"/>
  <c r="BD421" i="5"/>
  <c r="BE421" i="5"/>
  <c r="BE297" i="5"/>
  <c r="BD297" i="5"/>
  <c r="BD260" i="5"/>
  <c r="BE260" i="5"/>
  <c r="BE142" i="5"/>
  <c r="BD142" i="5"/>
  <c r="BD512" i="5"/>
  <c r="BE512" i="5"/>
  <c r="BD558" i="5"/>
  <c r="BE558" i="5"/>
  <c r="BE511" i="5"/>
  <c r="BD511" i="5"/>
  <c r="BD200" i="5"/>
  <c r="BE200" i="5"/>
  <c r="BD334" i="5"/>
  <c r="BE334" i="5"/>
  <c r="BD466" i="5"/>
  <c r="BE466" i="5"/>
  <c r="BD522" i="5"/>
  <c r="BE522" i="5"/>
  <c r="BE524" i="5"/>
  <c r="BD524" i="5"/>
  <c r="BD509" i="5"/>
  <c r="BE509" i="5"/>
  <c r="BE485" i="5"/>
  <c r="BD485" i="5"/>
  <c r="BE220" i="5"/>
  <c r="BD220" i="5"/>
  <c r="BD341" i="5"/>
  <c r="BE341" i="5"/>
  <c r="BD321" i="5"/>
  <c r="BE321" i="5"/>
  <c r="BD385" i="5"/>
  <c r="BE385" i="5"/>
  <c r="BD488" i="5"/>
  <c r="BE488" i="5"/>
  <c r="BD398" i="5"/>
  <c r="BE398" i="5"/>
  <c r="BD430" i="5"/>
  <c r="BE430" i="5"/>
  <c r="BD93" i="5"/>
  <c r="BE93" i="5"/>
  <c r="BD519" i="5"/>
  <c r="BE519" i="5"/>
  <c r="BE474" i="5"/>
  <c r="BD474" i="5"/>
  <c r="BE310" i="5"/>
  <c r="BD310" i="5"/>
  <c r="BE357" i="5"/>
  <c r="BD357" i="5"/>
  <c r="AU13" i="5"/>
  <c r="AV13" i="5"/>
  <c r="BC13" i="5"/>
  <c r="BE434" i="5"/>
  <c r="BD434" i="5"/>
  <c r="BE250" i="5"/>
  <c r="BD250" i="5"/>
  <c r="BD336" i="5"/>
  <c r="BE336" i="5"/>
  <c r="BD460" i="5"/>
  <c r="BE460" i="5"/>
  <c r="BE557" i="5"/>
  <c r="BD557" i="5"/>
  <c r="BD542" i="5"/>
  <c r="BE542" i="5"/>
  <c r="BD384" i="5"/>
  <c r="BE384" i="5"/>
  <c r="BE267" i="5"/>
  <c r="BD267" i="5"/>
  <c r="BD179" i="5"/>
  <c r="BE179" i="5"/>
  <c r="BE272" i="5"/>
  <c r="BD272" i="5"/>
  <c r="BE123" i="5"/>
  <c r="BD123" i="5"/>
  <c r="BD87" i="5"/>
  <c r="BE87" i="5"/>
  <c r="BD50" i="5"/>
  <c r="BE50" i="5"/>
  <c r="BE252" i="5"/>
  <c r="BD252" i="5"/>
  <c r="BE311" i="5"/>
  <c r="BD311" i="5"/>
  <c r="BE380" i="5"/>
  <c r="BD380" i="5"/>
  <c r="BD254" i="5"/>
  <c r="BE254" i="5"/>
  <c r="BE399" i="5"/>
  <c r="BD399" i="5"/>
  <c r="BD49" i="5"/>
  <c r="BE49" i="5"/>
  <c r="BE192" i="5"/>
  <c r="BD192" i="5"/>
  <c r="BE350" i="5"/>
  <c r="BD350" i="5"/>
  <c r="BE42" i="5"/>
  <c r="BD42" i="5"/>
  <c r="BE257" i="5"/>
  <c r="BD257" i="5"/>
  <c r="BE366" i="5"/>
  <c r="BD366" i="5"/>
  <c r="BD518" i="5"/>
  <c r="BE518" i="5"/>
  <c r="BE374" i="5"/>
  <c r="BD374" i="5"/>
  <c r="BE378" i="5"/>
  <c r="BD378" i="5"/>
  <c r="BD479" i="5"/>
  <c r="BE479" i="5"/>
  <c r="BE528" i="5"/>
  <c r="BD528" i="5"/>
  <c r="BE498" i="5"/>
  <c r="BD498" i="5"/>
  <c r="BD259" i="5"/>
  <c r="BE259" i="5"/>
  <c r="BE463" i="5"/>
  <c r="BD463" i="5"/>
  <c r="BE510" i="5"/>
  <c r="BD510" i="5"/>
  <c r="BD301" i="5"/>
  <c r="BE301" i="5"/>
  <c r="BE25" i="5"/>
  <c r="BD25" i="5"/>
  <c r="BD325" i="5"/>
  <c r="BE325" i="5"/>
  <c r="BE483" i="5"/>
  <c r="BD483" i="5"/>
  <c r="BE455" i="5"/>
  <c r="BD455" i="5"/>
  <c r="BD196" i="5"/>
  <c r="BE196" i="5"/>
  <c r="BE177" i="5"/>
  <c r="BD177" i="5"/>
  <c r="BE36" i="5"/>
  <c r="BD36" i="5"/>
  <c r="BE102" i="5"/>
  <c r="BD102" i="5"/>
  <c r="BD270" i="5"/>
  <c r="BE270" i="5"/>
  <c r="BD353" i="5"/>
  <c r="BE353" i="5"/>
  <c r="BD204" i="5"/>
  <c r="BE204" i="5"/>
  <c r="BE292" i="5"/>
  <c r="BD292" i="5"/>
  <c r="BD426" i="5"/>
  <c r="BE426" i="5"/>
  <c r="BE482" i="5"/>
  <c r="BD482" i="5"/>
  <c r="BD335" i="5"/>
  <c r="BE335" i="5"/>
  <c r="BD535" i="5"/>
  <c r="BE535" i="5"/>
  <c r="BD395" i="5"/>
  <c r="BE395" i="5"/>
  <c r="BE382" i="5"/>
  <c r="BD382" i="5"/>
  <c r="BE489" i="5"/>
  <c r="BD489" i="5"/>
  <c r="BD534" i="5"/>
  <c r="BE534" i="5"/>
  <c r="BD526" i="5"/>
  <c r="BE526" i="5"/>
  <c r="BD375" i="5"/>
  <c r="BE375" i="5"/>
  <c r="BE173" i="5"/>
  <c r="BD173" i="5"/>
  <c r="BD258" i="5"/>
  <c r="BE258" i="5"/>
  <c r="BE248" i="5"/>
  <c r="BD248" i="5"/>
  <c r="BE508" i="5"/>
  <c r="BD508" i="5"/>
  <c r="BD552" i="5"/>
  <c r="BE552" i="5"/>
  <c r="BD507" i="5"/>
  <c r="BE507" i="5"/>
  <c r="BD422" i="5"/>
  <c r="BE422" i="5"/>
  <c r="BD513" i="5"/>
  <c r="BE513" i="5"/>
  <c r="BE281" i="5"/>
  <c r="BD281" i="5"/>
  <c r="BE54" i="5"/>
  <c r="BD54" i="5"/>
  <c r="BD170" i="5"/>
  <c r="BE170" i="5"/>
  <c r="BD233" i="5"/>
  <c r="BE233" i="5"/>
  <c r="BA13" i="5"/>
  <c r="BB13" i="5"/>
  <c r="BD217" i="5"/>
  <c r="BE217" i="5"/>
  <c r="BD371" i="5"/>
  <c r="BE371" i="5"/>
  <c r="BD79" i="5"/>
  <c r="BE79" i="5"/>
  <c r="BE308" i="5"/>
  <c r="BD308" i="5"/>
  <c r="BE441" i="5"/>
  <c r="BD441" i="5"/>
  <c r="BE458" i="5"/>
  <c r="BD458" i="5"/>
  <c r="BD551" i="5"/>
  <c r="BE551" i="5"/>
  <c r="BD443" i="5"/>
  <c r="BE443" i="5"/>
  <c r="BE540" i="5"/>
  <c r="BD540" i="5"/>
  <c r="BD446" i="5"/>
  <c r="BE446" i="5"/>
  <c r="BD550" i="5"/>
  <c r="BE550" i="5"/>
  <c r="BD404" i="5"/>
  <c r="BE404" i="5"/>
  <c r="BD523" i="5"/>
  <c r="BE523" i="5"/>
  <c r="BE427" i="5"/>
  <c r="BD427" i="5"/>
  <c r="BD216" i="5"/>
  <c r="BE216" i="5"/>
  <c r="BE151" i="5"/>
  <c r="BD151" i="5"/>
  <c r="BD497" i="5"/>
  <c r="BE497" i="5"/>
  <c r="BD454" i="5"/>
  <c r="BE454" i="5"/>
  <c r="BD438" i="5"/>
  <c r="BE438" i="5"/>
  <c r="BE12" i="5"/>
  <c r="BD12" i="5"/>
  <c r="B49" i="5"/>
  <c r="B52" i="5" s="1"/>
  <c r="B35" i="5"/>
  <c r="B155" i="2"/>
  <c r="B174" i="2"/>
  <c r="B177" i="2" s="1"/>
  <c r="Z7" i="5" s="1"/>
  <c r="B71" i="5"/>
  <c r="B93" i="2"/>
  <c r="O15" i="4"/>
  <c r="B23" i="5"/>
  <c r="B154" i="2"/>
  <c r="B34" i="5"/>
  <c r="J50" i="5"/>
  <c r="B195" i="2"/>
  <c r="BD13" i="5" l="1"/>
  <c r="BE13" i="5"/>
  <c r="Z350" i="5"/>
  <c r="Z375" i="5"/>
  <c r="Z252" i="5"/>
  <c r="Z353" i="5"/>
  <c r="Z459" i="5"/>
  <c r="Z80" i="5"/>
  <c r="Z308" i="5"/>
  <c r="Z452" i="5"/>
  <c r="Z528" i="5"/>
  <c r="Z246" i="5"/>
  <c r="Z455" i="5"/>
  <c r="Z343" i="5"/>
  <c r="Z211" i="5"/>
  <c r="Z337" i="5"/>
  <c r="Z203" i="5"/>
  <c r="Z406" i="5"/>
  <c r="Z379" i="5"/>
  <c r="Z378" i="5"/>
  <c r="Z511" i="5"/>
  <c r="Z512" i="5"/>
  <c r="Z417" i="5"/>
  <c r="Z34" i="5"/>
  <c r="Z148" i="5"/>
  <c r="Z539" i="5"/>
  <c r="Z554" i="5"/>
  <c r="Z107" i="5"/>
  <c r="Z525" i="5"/>
  <c r="Z170" i="5"/>
  <c r="Z233" i="5"/>
  <c r="Z288" i="5"/>
  <c r="Z199" i="5"/>
  <c r="Z260" i="5"/>
  <c r="Z509" i="5"/>
  <c r="Z510" i="5"/>
  <c r="Z206" i="5"/>
  <c r="Z244" i="5"/>
  <c r="Z376" i="5"/>
  <c r="Z348" i="5"/>
  <c r="Z393" i="5"/>
  <c r="Z31" i="5"/>
  <c r="Z78" i="5"/>
  <c r="Z98" i="5"/>
  <c r="Z467" i="5"/>
  <c r="Z501" i="5"/>
  <c r="Z181" i="5"/>
  <c r="Z435" i="5"/>
  <c r="Z33" i="5"/>
  <c r="Z175" i="5"/>
  <c r="Z259" i="5"/>
  <c r="Z182" i="5"/>
  <c r="Z122" i="5"/>
  <c r="Z405" i="5"/>
  <c r="Z57" i="5"/>
  <c r="Z202" i="5"/>
  <c r="Z87" i="5"/>
  <c r="Z91" i="5"/>
  <c r="Z62" i="5"/>
  <c r="Z543" i="5"/>
  <c r="Z39" i="5"/>
  <c r="Z529" i="5"/>
  <c r="Z490" i="5"/>
  <c r="Z542" i="5"/>
  <c r="Z139" i="5"/>
  <c r="Z401" i="5"/>
  <c r="Z432" i="5"/>
  <c r="Z196" i="5"/>
  <c r="Z515" i="5"/>
  <c r="Z45" i="5"/>
  <c r="Z530" i="5"/>
  <c r="Z431" i="5"/>
  <c r="Z347" i="5"/>
  <c r="Z149" i="5"/>
  <c r="Z278" i="5"/>
  <c r="Z352" i="5"/>
  <c r="Z446" i="5"/>
  <c r="Z264" i="5"/>
  <c r="Z342" i="5"/>
  <c r="Z119" i="5"/>
  <c r="Z229" i="5"/>
  <c r="Z410" i="5"/>
  <c r="Z223" i="5"/>
  <c r="Z13" i="5"/>
  <c r="Z324" i="5"/>
  <c r="Z274" i="5"/>
  <c r="Z88" i="5"/>
  <c r="Z409" i="5"/>
  <c r="Z269" i="5"/>
  <c r="Z460" i="5"/>
  <c r="Z363" i="5"/>
  <c r="Z63" i="5"/>
  <c r="Z422" i="5"/>
  <c r="Z82" i="5"/>
  <c r="Z346" i="5"/>
  <c r="Z414" i="5"/>
  <c r="Z50" i="5"/>
  <c r="Z239" i="5"/>
  <c r="Z486" i="5"/>
  <c r="Z449" i="5"/>
  <c r="Z141" i="5"/>
  <c r="Z257" i="5"/>
  <c r="Z192" i="5"/>
  <c r="Z65" i="5"/>
  <c r="Z332" i="5"/>
  <c r="Z20" i="5"/>
  <c r="Z447" i="5"/>
  <c r="Z222" i="5"/>
  <c r="Z368" i="5"/>
  <c r="Z71" i="5"/>
  <c r="Z549" i="5"/>
  <c r="Z450" i="5"/>
  <c r="Z262" i="5"/>
  <c r="Z232" i="5"/>
  <c r="Z335" i="5"/>
  <c r="Z408" i="5"/>
  <c r="Z152" i="5"/>
  <c r="Z197" i="5"/>
  <c r="Z402" i="5"/>
  <c r="Z169" i="5"/>
  <c r="Z412" i="5"/>
  <c r="Z492" i="5"/>
  <c r="Z299" i="5"/>
  <c r="Z84" i="5"/>
  <c r="Z306" i="5"/>
  <c r="Z331" i="5"/>
  <c r="Z205" i="5"/>
  <c r="Z320" i="5"/>
  <c r="Z275" i="5"/>
  <c r="Z51" i="5"/>
  <c r="Z488" i="5"/>
  <c r="Z317" i="5"/>
  <c r="Z399" i="5"/>
  <c r="Z377" i="5"/>
  <c r="Z241" i="5"/>
  <c r="Z483" i="5"/>
  <c r="Z482" i="5"/>
  <c r="Z436" i="5"/>
  <c r="Z100" i="5"/>
  <c r="Z159" i="5"/>
  <c r="Z386" i="5"/>
  <c r="Z191" i="5"/>
  <c r="Z81" i="5"/>
  <c r="Z8" i="5"/>
  <c r="Z313" i="5"/>
  <c r="Z500" i="5"/>
  <c r="Z312" i="5"/>
  <c r="Z106" i="5"/>
  <c r="Z533" i="5"/>
  <c r="Z68" i="5"/>
  <c r="Z361" i="5"/>
  <c r="Z234" i="5"/>
  <c r="Z296" i="5"/>
  <c r="Z461" i="5"/>
  <c r="Z129" i="5"/>
  <c r="Z24" i="5"/>
  <c r="Z198" i="5"/>
  <c r="Z514" i="5"/>
  <c r="Z218" i="5"/>
  <c r="Z137" i="5"/>
  <c r="Z493" i="5"/>
  <c r="Z283" i="5"/>
  <c r="Z138" i="5"/>
  <c r="Z190" i="5"/>
  <c r="Z280" i="5"/>
  <c r="Z135" i="5"/>
  <c r="Z327" i="5"/>
  <c r="Z184" i="5"/>
  <c r="Z85" i="5"/>
  <c r="Z44" i="5"/>
  <c r="Z322" i="5"/>
  <c r="Z503" i="5"/>
  <c r="Z349" i="5"/>
  <c r="Z89" i="5"/>
  <c r="Z439" i="5"/>
  <c r="Z165" i="5"/>
  <c r="Z64" i="5"/>
  <c r="Z76" i="5"/>
  <c r="Z131" i="5"/>
  <c r="Z522" i="5"/>
  <c r="Z498" i="5"/>
  <c r="Z245" i="5"/>
  <c r="Z163" i="5"/>
  <c r="Z124" i="5"/>
  <c r="Z110" i="5"/>
  <c r="Z95" i="5"/>
  <c r="Z356" i="5"/>
  <c r="Z516" i="5"/>
  <c r="Z25" i="5"/>
  <c r="Z183" i="5"/>
  <c r="Z43" i="5"/>
  <c r="Z161" i="5"/>
  <c r="Z171" i="5"/>
  <c r="Z430" i="5"/>
  <c r="Z484" i="5"/>
  <c r="Z146" i="5"/>
  <c r="Z59" i="5"/>
  <c r="Z237" i="5"/>
  <c r="Z433" i="5"/>
  <c r="Z26" i="5"/>
  <c r="Z415" i="5"/>
  <c r="Z319" i="5"/>
  <c r="Z200" i="5"/>
  <c r="Z336" i="5"/>
  <c r="Z265" i="5"/>
  <c r="Z96" i="5"/>
  <c r="Z365" i="5"/>
  <c r="Z507" i="5"/>
  <c r="Z407" i="5"/>
  <c r="Z448" i="5"/>
  <c r="Z429" i="5"/>
  <c r="Z116" i="5"/>
  <c r="Z315" i="5"/>
  <c r="Z546" i="5"/>
  <c r="Z362" i="5"/>
  <c r="Z187" i="5"/>
  <c r="Z143" i="5"/>
  <c r="Z555" i="5"/>
  <c r="Z473" i="5"/>
  <c r="Z242" i="5"/>
  <c r="Z55" i="5"/>
  <c r="Z35" i="5"/>
  <c r="Z354" i="5"/>
  <c r="Z230" i="5"/>
  <c r="Z506" i="5"/>
  <c r="Z72" i="5"/>
  <c r="Z177" i="5"/>
  <c r="Z77" i="5"/>
  <c r="Z236" i="5"/>
  <c r="Z69" i="5"/>
  <c r="Z487" i="5"/>
  <c r="Z207" i="5"/>
  <c r="Z38" i="5"/>
  <c r="Z193" i="5"/>
  <c r="Z300" i="5"/>
  <c r="Z465" i="5"/>
  <c r="Z445" i="5"/>
  <c r="Z338" i="5"/>
  <c r="Z134" i="5"/>
  <c r="Z395" i="5"/>
  <c r="Z311" i="5"/>
  <c r="Z240" i="5"/>
  <c r="Z537" i="5"/>
  <c r="Z302" i="5"/>
  <c r="Z180" i="5"/>
  <c r="Z79" i="5"/>
  <c r="Z367" i="5"/>
  <c r="Z208" i="5"/>
  <c r="Z373" i="5"/>
  <c r="Z66" i="5"/>
  <c r="Z112" i="5"/>
  <c r="Z22" i="5"/>
  <c r="Z513" i="5"/>
  <c r="Z144" i="5"/>
  <c r="Z505" i="5"/>
  <c r="Z442" i="5"/>
  <c r="Z387" i="5"/>
  <c r="Z470" i="5"/>
  <c r="Z456" i="5"/>
  <c r="Z279" i="5"/>
  <c r="Z351" i="5"/>
  <c r="Z221" i="5"/>
  <c r="Z285" i="5"/>
  <c r="Z127" i="5"/>
  <c r="Z428" i="5"/>
  <c r="Z19" i="5"/>
  <c r="Z215" i="5"/>
  <c r="Z400" i="5"/>
  <c r="Z270" i="5"/>
  <c r="Z518" i="5"/>
  <c r="Z114" i="5"/>
  <c r="Z28" i="5"/>
  <c r="Z287" i="5"/>
  <c r="Z426" i="5"/>
  <c r="Z47" i="5"/>
  <c r="Z325" i="5"/>
  <c r="Z195" i="5"/>
  <c r="Z440" i="5"/>
  <c r="Z130" i="5"/>
  <c r="Z256" i="5"/>
  <c r="Z266" i="5"/>
  <c r="Z204" i="5"/>
  <c r="Z90" i="5"/>
  <c r="Z310" i="5"/>
  <c r="Z118" i="5"/>
  <c r="Z475" i="5"/>
  <c r="Z552" i="5"/>
  <c r="Z380" i="5"/>
  <c r="Z272" i="5"/>
  <c r="Z27" i="5"/>
  <c r="Z186" i="5"/>
  <c r="Z46" i="5"/>
  <c r="Z61" i="5"/>
  <c r="Z471" i="5"/>
  <c r="Z115" i="5"/>
  <c r="Z75" i="5"/>
  <c r="Z369" i="5"/>
  <c r="Z464" i="5"/>
  <c r="Z499" i="5"/>
  <c r="Z247" i="5"/>
  <c r="Z103" i="5"/>
  <c r="Z494" i="5"/>
  <c r="Z23" i="5"/>
  <c r="Z254" i="5"/>
  <c r="Z126" i="5"/>
  <c r="Z480" i="5"/>
  <c r="Z527" i="5"/>
  <c r="Z458" i="5"/>
  <c r="Z168" i="5"/>
  <c r="Z166" i="5"/>
  <c r="Z502" i="5"/>
  <c r="Z521" i="5"/>
  <c r="Z421" i="5"/>
  <c r="Z282" i="5"/>
  <c r="Z496" i="5"/>
  <c r="Z30" i="5"/>
  <c r="Z251" i="5"/>
  <c r="Z179" i="5"/>
  <c r="Z12" i="5"/>
  <c r="Z228" i="5"/>
  <c r="Z290" i="5"/>
  <c r="Z318" i="5"/>
  <c r="Z485" i="5"/>
  <c r="Z476" i="5"/>
  <c r="Z147" i="5"/>
  <c r="Z226" i="5"/>
  <c r="Z142" i="5"/>
  <c r="Z474" i="5"/>
  <c r="Z37" i="5"/>
  <c r="Z457" i="5"/>
  <c r="Z216" i="5"/>
  <c r="Z212" i="5"/>
  <c r="Z227" i="5"/>
  <c r="Z276" i="5"/>
  <c r="Z273" i="5"/>
  <c r="Z321" i="5"/>
  <c r="Z123" i="5"/>
  <c r="Z330" i="5"/>
  <c r="Z172" i="5"/>
  <c r="Z156" i="5"/>
  <c r="Z391" i="5"/>
  <c r="Z94" i="5"/>
  <c r="Z366" i="5"/>
  <c r="Z36" i="5"/>
  <c r="Z292" i="5"/>
  <c r="Z263" i="5"/>
  <c r="Z418" i="5"/>
  <c r="Z547" i="5"/>
  <c r="Z189" i="5"/>
  <c r="Z178" i="5"/>
  <c r="Z536" i="5"/>
  <c r="Z48" i="5"/>
  <c r="Z472" i="5"/>
  <c r="Z504" i="5"/>
  <c r="Z128" i="5"/>
  <c r="Z534" i="5"/>
  <c r="Z86" i="5"/>
  <c r="Z524" i="5"/>
  <c r="Z411" i="5"/>
  <c r="Z413" i="5"/>
  <c r="Z56" i="5"/>
  <c r="Z443" i="5"/>
  <c r="Z531" i="5"/>
  <c r="Z301" i="5"/>
  <c r="Z155" i="5"/>
  <c r="Z104" i="5"/>
  <c r="Z145" i="5"/>
  <c r="Z466" i="5"/>
  <c r="Z167" i="5"/>
  <c r="Z481" i="5"/>
  <c r="Z194" i="5"/>
  <c r="Z517" i="5"/>
  <c r="Z550" i="5"/>
  <c r="Z120" i="5"/>
  <c r="Z111" i="5"/>
  <c r="Z508" i="5"/>
  <c r="Z478" i="5"/>
  <c r="Z303" i="5"/>
  <c r="Z495" i="5"/>
  <c r="Z258" i="5"/>
  <c r="Z437" i="5"/>
  <c r="Z355" i="5"/>
  <c r="Z54" i="5"/>
  <c r="Z339" i="5"/>
  <c r="Z220" i="5"/>
  <c r="Z372" i="5"/>
  <c r="Z390" i="5"/>
  <c r="Z73" i="5"/>
  <c r="Z519" i="5"/>
  <c r="Z374" i="5"/>
  <c r="Z389" i="5"/>
  <c r="Z213" i="5"/>
  <c r="Z117" i="5"/>
  <c r="Z497" i="5"/>
  <c r="Z469" i="5"/>
  <c r="Z326" i="5"/>
  <c r="Z340" i="5"/>
  <c r="Z314" i="5"/>
  <c r="Z333" i="5"/>
  <c r="Z140" i="5"/>
  <c r="Z160" i="5"/>
  <c r="Z97" i="5"/>
  <c r="Z462" i="5"/>
  <c r="Z214" i="5"/>
  <c r="Z551" i="5"/>
  <c r="Z558" i="5"/>
  <c r="Z60" i="5"/>
  <c r="Z523" i="5"/>
  <c r="Z489" i="5"/>
  <c r="Z305" i="5"/>
  <c r="Z491" i="5"/>
  <c r="Z384" i="5"/>
  <c r="Z250" i="5"/>
  <c r="Z291" i="5"/>
  <c r="Z416" i="5"/>
  <c r="Z231" i="5"/>
  <c r="Z158" i="5"/>
  <c r="Z559" i="5"/>
  <c r="Z271" i="5"/>
  <c r="Z370" i="5"/>
  <c r="Z392" i="5"/>
  <c r="Z209" i="5"/>
  <c r="Z438" i="5"/>
  <c r="Z74" i="5"/>
  <c r="Z286" i="5"/>
  <c r="Z267" i="5"/>
  <c r="Z382" i="5"/>
  <c r="Z298" i="5"/>
  <c r="Z268" i="5"/>
  <c r="Z133" i="5"/>
  <c r="Z255" i="5"/>
  <c r="Z540" i="5"/>
  <c r="Z42" i="5"/>
  <c r="Z544" i="5"/>
  <c r="Z92" i="5"/>
  <c r="Z538" i="5"/>
  <c r="Z284" i="5"/>
  <c r="Z553" i="5"/>
  <c r="Z297" i="5"/>
  <c r="Z381" i="5"/>
  <c r="Z70" i="5"/>
  <c r="Z217" i="5"/>
  <c r="Z403" i="5"/>
  <c r="Z328" i="5"/>
  <c r="Z294" i="5"/>
  <c r="Z309" i="5"/>
  <c r="Z53" i="5"/>
  <c r="Z235" i="5"/>
  <c r="Z423" i="5"/>
  <c r="Z125" i="5"/>
  <c r="Z93" i="5"/>
  <c r="Z261" i="5"/>
  <c r="Z541" i="5"/>
  <c r="Z40" i="5"/>
  <c r="Z434" i="5"/>
  <c r="Z151" i="5"/>
  <c r="Z396" i="5"/>
  <c r="Z238" i="5"/>
  <c r="Z424" i="5"/>
  <c r="Z477" i="5"/>
  <c r="Z32" i="5"/>
  <c r="Z548" i="5"/>
  <c r="Z52" i="5"/>
  <c r="Z83" i="5"/>
  <c r="Z113" i="5"/>
  <c r="Z468" i="5"/>
  <c r="Z535" i="5"/>
  <c r="Z295" i="5"/>
  <c r="Z307" i="5"/>
  <c r="Z121" i="5"/>
  <c r="Z526" i="5"/>
  <c r="Z532" i="5"/>
  <c r="Z108" i="5"/>
  <c r="Z316" i="5"/>
  <c r="Z277" i="5"/>
  <c r="Z29" i="5"/>
  <c r="Z173" i="5"/>
  <c r="Z364" i="5"/>
  <c r="Z334" i="5"/>
  <c r="Z58" i="5"/>
  <c r="Z176" i="5"/>
  <c r="Z358" i="5"/>
  <c r="Z359" i="5"/>
  <c r="Z360" i="5"/>
  <c r="Z394" i="5"/>
  <c r="Z109" i="5"/>
  <c r="Z132" i="5"/>
  <c r="Z174" i="5"/>
  <c r="Z224" i="5"/>
  <c r="Z463" i="5"/>
  <c r="Z154" i="5"/>
  <c r="Z545" i="5"/>
  <c r="Z479" i="5"/>
  <c r="Z397" i="5"/>
  <c r="Z404" i="5"/>
  <c r="Z425" i="5"/>
  <c r="Z153" i="5"/>
  <c r="Z560" i="5"/>
  <c r="Z329" i="5"/>
  <c r="Z105" i="5"/>
  <c r="Z383" i="5"/>
  <c r="Z253" i="5"/>
  <c r="Z21" i="5"/>
  <c r="Z398" i="5"/>
  <c r="Z201" i="5"/>
  <c r="Z102" i="5"/>
  <c r="Z427" i="5"/>
  <c r="Z185" i="5"/>
  <c r="Z49" i="5"/>
  <c r="Z188" i="5"/>
  <c r="Z341" i="5"/>
  <c r="Z293" i="5"/>
  <c r="Z210" i="5"/>
  <c r="Z225" i="5"/>
  <c r="Z219" i="5"/>
  <c r="Z101" i="5"/>
  <c r="Z157" i="5"/>
  <c r="Z289" i="5"/>
  <c r="Z249" i="5"/>
  <c r="Z150" i="5"/>
  <c r="Z136" i="5"/>
  <c r="Z557" i="5"/>
  <c r="Z419" i="5"/>
  <c r="Z164" i="5"/>
  <c r="Z99" i="5"/>
  <c r="Z162" i="5"/>
  <c r="Z453" i="5"/>
  <c r="Z371" i="5"/>
  <c r="Z323" i="5"/>
  <c r="Z520" i="5"/>
  <c r="Z248" i="5"/>
  <c r="Z344" i="5"/>
  <c r="Z385" i="5"/>
  <c r="Z345" i="5"/>
  <c r="Z281" i="5"/>
  <c r="Z67" i="5"/>
  <c r="Z444" i="5"/>
  <c r="Z388" i="5"/>
  <c r="Z454" i="5"/>
  <c r="Z441" i="5"/>
  <c r="Z451" i="5"/>
  <c r="Z420" i="5"/>
  <c r="Z304" i="5"/>
  <c r="Z556" i="5"/>
  <c r="Z243" i="5"/>
  <c r="Z41" i="5"/>
  <c r="Z357" i="5"/>
  <c r="AB7" i="5"/>
  <c r="AA7" i="5"/>
  <c r="AB357" i="5" l="1"/>
  <c r="AA357" i="5"/>
  <c r="AA304" i="5"/>
  <c r="AB304" i="5"/>
  <c r="AB454" i="5"/>
  <c r="AA454" i="5"/>
  <c r="AA281" i="5"/>
  <c r="AB281" i="5"/>
  <c r="AB248" i="5"/>
  <c r="AA248" i="5"/>
  <c r="AB453" i="5"/>
  <c r="AA453" i="5"/>
  <c r="AB419" i="5"/>
  <c r="AA419" i="5"/>
  <c r="AB249" i="5"/>
  <c r="AA249" i="5"/>
  <c r="AB219" i="5"/>
  <c r="AA219" i="5"/>
  <c r="AB341" i="5"/>
  <c r="AA341" i="5"/>
  <c r="AB427" i="5"/>
  <c r="AA427" i="5"/>
  <c r="AA21" i="5"/>
  <c r="AB21" i="5"/>
  <c r="AA329" i="5"/>
  <c r="AB329" i="5"/>
  <c r="AB404" i="5"/>
  <c r="AA404" i="5"/>
  <c r="AB154" i="5"/>
  <c r="AA154" i="5"/>
  <c r="AB132" i="5"/>
  <c r="AA132" i="5"/>
  <c r="AB359" i="5"/>
  <c r="AA359" i="5"/>
  <c r="AB334" i="5"/>
  <c r="AA334" i="5"/>
  <c r="AA277" i="5"/>
  <c r="AB277" i="5"/>
  <c r="AA526" i="5"/>
  <c r="AB526" i="5"/>
  <c r="AB535" i="5"/>
  <c r="AA535" i="5"/>
  <c r="AB52" i="5"/>
  <c r="AA52" i="5"/>
  <c r="AB424" i="5"/>
  <c r="AA424" i="5"/>
  <c r="AA434" i="5"/>
  <c r="AB434" i="5"/>
  <c r="AB93" i="5"/>
  <c r="AA93" i="5"/>
  <c r="AB53" i="5"/>
  <c r="AA53" i="5"/>
  <c r="AA403" i="5"/>
  <c r="AB403" i="5"/>
  <c r="AA297" i="5"/>
  <c r="AB297" i="5"/>
  <c r="AA92" i="5"/>
  <c r="AB92" i="5"/>
  <c r="AA255" i="5"/>
  <c r="AB255" i="5"/>
  <c r="AA382" i="5"/>
  <c r="AB382" i="5"/>
  <c r="AA438" i="5"/>
  <c r="AB438" i="5"/>
  <c r="AA271" i="5"/>
  <c r="AB271" i="5"/>
  <c r="AA416" i="5"/>
  <c r="AB416" i="5"/>
  <c r="AA491" i="5"/>
  <c r="AB491" i="5"/>
  <c r="AB60" i="5"/>
  <c r="AA60" i="5"/>
  <c r="AA462" i="5"/>
  <c r="AB462" i="5"/>
  <c r="AA333" i="5"/>
  <c r="AB333" i="5"/>
  <c r="AB469" i="5"/>
  <c r="AA469" i="5"/>
  <c r="AA389" i="5"/>
  <c r="AB389" i="5"/>
  <c r="AA390" i="5"/>
  <c r="AB390" i="5"/>
  <c r="AA54" i="5"/>
  <c r="AB54" i="5"/>
  <c r="AA495" i="5"/>
  <c r="AB495" i="5"/>
  <c r="AB111" i="5"/>
  <c r="AA111" i="5"/>
  <c r="AB194" i="5"/>
  <c r="AA194" i="5"/>
  <c r="AB145" i="5"/>
  <c r="AA145" i="5"/>
  <c r="AA531" i="5"/>
  <c r="AB531" i="5"/>
  <c r="AA411" i="5"/>
  <c r="AB411" i="5"/>
  <c r="AB128" i="5"/>
  <c r="AA128" i="5"/>
  <c r="AB536" i="5"/>
  <c r="AA536" i="5"/>
  <c r="AB418" i="5"/>
  <c r="AA418" i="5"/>
  <c r="AB366" i="5"/>
  <c r="AA366" i="5"/>
  <c r="AA172" i="5"/>
  <c r="AB172" i="5"/>
  <c r="AA273" i="5"/>
  <c r="AB273" i="5"/>
  <c r="AA216" i="5"/>
  <c r="AB216" i="5"/>
  <c r="AB142" i="5"/>
  <c r="AA142" i="5"/>
  <c r="AA485" i="5"/>
  <c r="AB485" i="5"/>
  <c r="AB12" i="5"/>
  <c r="AA12" i="5"/>
  <c r="AB496" i="5"/>
  <c r="AA496" i="5"/>
  <c r="AA502" i="5"/>
  <c r="AB502" i="5"/>
  <c r="AA527" i="5"/>
  <c r="AB527" i="5"/>
  <c r="AA23" i="5"/>
  <c r="AB23" i="5"/>
  <c r="AB499" i="5"/>
  <c r="AA499" i="5"/>
  <c r="AA115" i="5"/>
  <c r="AB115" i="5"/>
  <c r="AA186" i="5"/>
  <c r="AB186" i="5"/>
  <c r="AB552" i="5"/>
  <c r="AA552" i="5"/>
  <c r="AA90" i="5"/>
  <c r="AB90" i="5"/>
  <c r="AB130" i="5"/>
  <c r="AA130" i="5"/>
  <c r="AA47" i="5"/>
  <c r="AB47" i="5"/>
  <c r="AA114" i="5"/>
  <c r="AB114" i="5"/>
  <c r="AA215" i="5"/>
  <c r="AB215" i="5"/>
  <c r="AA285" i="5"/>
  <c r="AB285" i="5"/>
  <c r="AA456" i="5"/>
  <c r="AB456" i="5"/>
  <c r="AA505" i="5"/>
  <c r="AB505" i="5"/>
  <c r="AB112" i="5"/>
  <c r="AA112" i="5"/>
  <c r="AB367" i="5"/>
  <c r="AA367" i="5"/>
  <c r="AA537" i="5"/>
  <c r="AB537" i="5"/>
  <c r="AA134" i="5"/>
  <c r="AB134" i="5"/>
  <c r="AB300" i="5"/>
  <c r="AA300" i="5"/>
  <c r="AB487" i="5"/>
  <c r="AA487" i="5"/>
  <c r="AB77" i="5"/>
  <c r="AA77" i="5"/>
  <c r="AA230" i="5"/>
  <c r="AB230" i="5"/>
  <c r="AB242" i="5"/>
  <c r="AA242" i="5"/>
  <c r="AA187" i="5"/>
  <c r="AB187" i="5"/>
  <c r="AA116" i="5"/>
  <c r="AB116" i="5"/>
  <c r="AA507" i="5"/>
  <c r="AB507" i="5"/>
  <c r="AB336" i="5"/>
  <c r="AA336" i="5"/>
  <c r="AA26" i="5"/>
  <c r="AB26" i="5"/>
  <c r="AA146" i="5"/>
  <c r="AB146" i="5"/>
  <c r="AB161" i="5"/>
  <c r="AA161" i="5"/>
  <c r="AA516" i="5"/>
  <c r="AB516" i="5"/>
  <c r="AA124" i="5"/>
  <c r="AB124" i="5"/>
  <c r="AA522" i="5"/>
  <c r="AB522" i="5"/>
  <c r="AB165" i="5"/>
  <c r="AA165" i="5"/>
  <c r="AB503" i="5"/>
  <c r="AA503" i="5"/>
  <c r="AA184" i="5"/>
  <c r="AB184" i="5"/>
  <c r="AB190" i="5"/>
  <c r="AA190" i="5"/>
  <c r="AA137" i="5"/>
  <c r="AB137" i="5"/>
  <c r="AA24" i="5"/>
  <c r="AB24" i="5"/>
  <c r="AB234" i="5"/>
  <c r="AA234" i="5"/>
  <c r="AA106" i="5"/>
  <c r="AB106" i="5"/>
  <c r="AB8" i="5"/>
  <c r="AA8" i="5"/>
  <c r="AB159" i="5"/>
  <c r="AA159" i="5"/>
  <c r="AB483" i="5"/>
  <c r="AA483" i="5"/>
  <c r="AA317" i="5"/>
  <c r="AB317" i="5"/>
  <c r="AB320" i="5"/>
  <c r="AA320" i="5"/>
  <c r="AB84" i="5"/>
  <c r="AA84" i="5"/>
  <c r="AA169" i="5"/>
  <c r="AB169" i="5"/>
  <c r="AA408" i="5"/>
  <c r="AB408" i="5"/>
  <c r="AA450" i="5"/>
  <c r="AB450" i="5"/>
  <c r="AA222" i="5"/>
  <c r="AB222" i="5"/>
  <c r="AB65" i="5"/>
  <c r="AA65" i="5"/>
  <c r="AA449" i="5"/>
  <c r="AB449" i="5"/>
  <c r="AA414" i="5"/>
  <c r="AB414" i="5"/>
  <c r="AB63" i="5"/>
  <c r="AA63" i="5"/>
  <c r="AB409" i="5"/>
  <c r="AA409" i="5"/>
  <c r="AA13" i="5"/>
  <c r="AB13" i="5"/>
  <c r="AA119" i="5"/>
  <c r="AB119" i="5"/>
  <c r="AB352" i="5"/>
  <c r="AA352" i="5"/>
  <c r="AA431" i="5"/>
  <c r="AB431" i="5"/>
  <c r="AB196" i="5"/>
  <c r="AA196" i="5"/>
  <c r="AB542" i="5"/>
  <c r="AA542" i="5"/>
  <c r="AB543" i="5"/>
  <c r="AA543" i="5"/>
  <c r="AA202" i="5"/>
  <c r="AB202" i="5"/>
  <c r="AB182" i="5"/>
  <c r="AA182" i="5"/>
  <c r="AA435" i="5"/>
  <c r="AB435" i="5"/>
  <c r="AA98" i="5"/>
  <c r="AB98" i="5"/>
  <c r="AB348" i="5"/>
  <c r="AA348" i="5"/>
  <c r="AB510" i="5"/>
  <c r="AA510" i="5"/>
  <c r="AA288" i="5"/>
  <c r="AB288" i="5"/>
  <c r="AB107" i="5"/>
  <c r="AA107" i="5"/>
  <c r="AA34" i="5"/>
  <c r="AB34" i="5"/>
  <c r="AA378" i="5"/>
  <c r="AB378" i="5"/>
  <c r="AA337" i="5"/>
  <c r="AB337" i="5"/>
  <c r="AA246" i="5"/>
  <c r="AB246" i="5"/>
  <c r="AA80" i="5"/>
  <c r="AB80" i="5"/>
  <c r="AB375" i="5"/>
  <c r="AA375" i="5"/>
  <c r="AA41" i="5"/>
  <c r="AB41" i="5"/>
  <c r="AB420" i="5"/>
  <c r="AA420" i="5"/>
  <c r="AB388" i="5"/>
  <c r="AA388" i="5"/>
  <c r="AB345" i="5"/>
  <c r="AA345" i="5"/>
  <c r="AA520" i="5"/>
  <c r="AB520" i="5"/>
  <c r="AA162" i="5"/>
  <c r="AB162" i="5"/>
  <c r="AA557" i="5"/>
  <c r="AB557" i="5"/>
  <c r="AB289" i="5"/>
  <c r="AA289" i="5"/>
  <c r="AB225" i="5"/>
  <c r="AA225" i="5"/>
  <c r="AB188" i="5"/>
  <c r="AA188" i="5"/>
  <c r="AA102" i="5"/>
  <c r="AB102" i="5"/>
  <c r="AB253" i="5"/>
  <c r="AA253" i="5"/>
  <c r="AB560" i="5"/>
  <c r="AA560" i="5"/>
  <c r="AA397" i="5"/>
  <c r="AB397" i="5"/>
  <c r="AB463" i="5"/>
  <c r="AA463" i="5"/>
  <c r="AB109" i="5"/>
  <c r="AA109" i="5"/>
  <c r="AB358" i="5"/>
  <c r="AA358" i="5"/>
  <c r="AA364" i="5"/>
  <c r="AB364" i="5"/>
  <c r="AA316" i="5"/>
  <c r="AB316" i="5"/>
  <c r="AA121" i="5"/>
  <c r="AB121" i="5"/>
  <c r="AA468" i="5"/>
  <c r="AB468" i="5"/>
  <c r="AB548" i="5"/>
  <c r="AA548" i="5"/>
  <c r="AB238" i="5"/>
  <c r="AA238" i="5"/>
  <c r="AB40" i="5"/>
  <c r="AA40" i="5"/>
  <c r="AA125" i="5"/>
  <c r="AB125" i="5"/>
  <c r="AB309" i="5"/>
  <c r="AA309" i="5"/>
  <c r="AB217" i="5"/>
  <c r="AA217" i="5"/>
  <c r="AA553" i="5"/>
  <c r="AB553" i="5"/>
  <c r="AB544" i="5"/>
  <c r="AA544" i="5"/>
  <c r="AA133" i="5"/>
  <c r="AB133" i="5"/>
  <c r="AA267" i="5"/>
  <c r="AB267" i="5"/>
  <c r="AB209" i="5"/>
  <c r="AA209" i="5"/>
  <c r="AA559" i="5"/>
  <c r="AB559" i="5"/>
  <c r="AB291" i="5"/>
  <c r="AA291" i="5"/>
  <c r="AA305" i="5"/>
  <c r="AB305" i="5"/>
  <c r="AB558" i="5"/>
  <c r="AA558" i="5"/>
  <c r="AB97" i="5"/>
  <c r="AA97" i="5"/>
  <c r="AA314" i="5"/>
  <c r="AB314" i="5"/>
  <c r="AB497" i="5"/>
  <c r="AA497" i="5"/>
  <c r="AB374" i="5"/>
  <c r="AA374" i="5"/>
  <c r="AB372" i="5"/>
  <c r="AA372" i="5"/>
  <c r="AA355" i="5"/>
  <c r="AB355" i="5"/>
  <c r="AB303" i="5"/>
  <c r="AA303" i="5"/>
  <c r="AA120" i="5"/>
  <c r="AB120" i="5"/>
  <c r="AB481" i="5"/>
  <c r="AA481" i="5"/>
  <c r="AA104" i="5"/>
  <c r="AB104" i="5"/>
  <c r="AB443" i="5"/>
  <c r="AA443" i="5"/>
  <c r="AA524" i="5"/>
  <c r="AB524" i="5"/>
  <c r="AB504" i="5"/>
  <c r="AA504" i="5"/>
  <c r="AA178" i="5"/>
  <c r="AB178" i="5"/>
  <c r="AB263" i="5"/>
  <c r="AA263" i="5"/>
  <c r="AA94" i="5"/>
  <c r="AB94" i="5"/>
  <c r="AA330" i="5"/>
  <c r="AB330" i="5"/>
  <c r="AB276" i="5"/>
  <c r="AA276" i="5"/>
  <c r="AB457" i="5"/>
  <c r="AA457" i="5"/>
  <c r="AB226" i="5"/>
  <c r="AA226" i="5"/>
  <c r="AA318" i="5"/>
  <c r="AB318" i="5"/>
  <c r="AB179" i="5"/>
  <c r="AA179" i="5"/>
  <c r="AA282" i="5"/>
  <c r="AB282" i="5"/>
  <c r="AB166" i="5"/>
  <c r="AA166" i="5"/>
  <c r="AA480" i="5"/>
  <c r="AB480" i="5"/>
  <c r="AB494" i="5"/>
  <c r="AA494" i="5"/>
  <c r="AA464" i="5"/>
  <c r="AB464" i="5"/>
  <c r="AA471" i="5"/>
  <c r="AB471" i="5"/>
  <c r="AA27" i="5"/>
  <c r="AB27" i="5"/>
  <c r="AB475" i="5"/>
  <c r="AA475" i="5"/>
  <c r="AB204" i="5"/>
  <c r="AA204" i="5"/>
  <c r="AA440" i="5"/>
  <c r="AB440" i="5"/>
  <c r="AB426" i="5"/>
  <c r="AA426" i="5"/>
  <c r="AA518" i="5"/>
  <c r="AB518" i="5"/>
  <c r="AA19" i="5"/>
  <c r="AB19" i="5"/>
  <c r="AB221" i="5"/>
  <c r="AA221" i="5"/>
  <c r="AA470" i="5"/>
  <c r="AB470" i="5"/>
  <c r="AA144" i="5"/>
  <c r="AB144" i="5"/>
  <c r="AA66" i="5"/>
  <c r="AB66" i="5"/>
  <c r="AA79" i="5"/>
  <c r="AB79" i="5"/>
  <c r="AB240" i="5"/>
  <c r="AA240" i="5"/>
  <c r="AB338" i="5"/>
  <c r="AA338" i="5"/>
  <c r="AB193" i="5"/>
  <c r="AA193" i="5"/>
  <c r="AA177" i="5"/>
  <c r="AB177" i="5"/>
  <c r="AA354" i="5"/>
  <c r="AB354" i="5"/>
  <c r="AB473" i="5"/>
  <c r="AA473" i="5"/>
  <c r="AB362" i="5"/>
  <c r="AA362" i="5"/>
  <c r="AA429" i="5"/>
  <c r="AB429" i="5"/>
  <c r="AB365" i="5"/>
  <c r="AA365" i="5"/>
  <c r="AB200" i="5"/>
  <c r="AA200" i="5"/>
  <c r="AB433" i="5"/>
  <c r="AA433" i="5"/>
  <c r="AB484" i="5"/>
  <c r="AA484" i="5"/>
  <c r="AB43" i="5"/>
  <c r="AA43" i="5"/>
  <c r="AA356" i="5"/>
  <c r="AB356" i="5"/>
  <c r="AA163" i="5"/>
  <c r="AB163" i="5"/>
  <c r="AA131" i="5"/>
  <c r="AB131" i="5"/>
  <c r="AA439" i="5"/>
  <c r="AB439" i="5"/>
  <c r="AA322" i="5"/>
  <c r="AB322" i="5"/>
  <c r="AA327" i="5"/>
  <c r="AB327" i="5"/>
  <c r="AA138" i="5"/>
  <c r="AB138" i="5"/>
  <c r="AB218" i="5"/>
  <c r="AA218" i="5"/>
  <c r="AB129" i="5"/>
  <c r="AA129" i="5"/>
  <c r="AA361" i="5"/>
  <c r="AB361" i="5"/>
  <c r="AA312" i="5"/>
  <c r="AB312" i="5"/>
  <c r="AA81" i="5"/>
  <c r="AB81" i="5"/>
  <c r="AA100" i="5"/>
  <c r="AB100" i="5"/>
  <c r="AA241" i="5"/>
  <c r="AB241" i="5"/>
  <c r="AB488" i="5"/>
  <c r="AA488" i="5"/>
  <c r="AB205" i="5"/>
  <c r="AA205" i="5"/>
  <c r="AB299" i="5"/>
  <c r="AA299" i="5"/>
  <c r="AB402" i="5"/>
  <c r="AA402" i="5"/>
  <c r="AA335" i="5"/>
  <c r="AB335" i="5"/>
  <c r="AB549" i="5"/>
  <c r="AA549" i="5"/>
  <c r="AB447" i="5"/>
  <c r="AA447" i="5"/>
  <c r="AA192" i="5"/>
  <c r="AB192" i="5"/>
  <c r="AB486" i="5"/>
  <c r="AA486" i="5"/>
  <c r="AA346" i="5"/>
  <c r="AB346" i="5"/>
  <c r="AA363" i="5"/>
  <c r="AB363" i="5"/>
  <c r="AB88" i="5"/>
  <c r="AA88" i="5"/>
  <c r="AB223" i="5"/>
  <c r="AA223" i="5"/>
  <c r="AA342" i="5"/>
  <c r="AB342" i="5"/>
  <c r="AB278" i="5"/>
  <c r="AA278" i="5"/>
  <c r="AA530" i="5"/>
  <c r="AB530" i="5"/>
  <c r="AB432" i="5"/>
  <c r="AA432" i="5"/>
  <c r="AA490" i="5"/>
  <c r="AB490" i="5"/>
  <c r="AB62" i="5"/>
  <c r="AA62" i="5"/>
  <c r="AA57" i="5"/>
  <c r="AB57" i="5"/>
  <c r="AB259" i="5"/>
  <c r="AA259" i="5"/>
  <c r="AA181" i="5"/>
  <c r="AB181" i="5"/>
  <c r="AA78" i="5"/>
  <c r="AB78" i="5"/>
  <c r="AA376" i="5"/>
  <c r="AB376" i="5"/>
  <c r="AA509" i="5"/>
  <c r="AB509" i="5"/>
  <c r="AA233" i="5"/>
  <c r="AB233" i="5"/>
  <c r="AA554" i="5"/>
  <c r="AB554" i="5"/>
  <c r="AA417" i="5"/>
  <c r="AB417" i="5"/>
  <c r="AB379" i="5"/>
  <c r="AA379" i="5"/>
  <c r="AB211" i="5"/>
  <c r="AA211" i="5"/>
  <c r="AB528" i="5"/>
  <c r="AA528" i="5"/>
  <c r="AA459" i="5"/>
  <c r="AB459" i="5"/>
  <c r="AB350" i="5"/>
  <c r="AA350" i="5"/>
  <c r="AA243" i="5"/>
  <c r="AB243" i="5"/>
  <c r="AB451" i="5"/>
  <c r="AA451" i="5"/>
  <c r="AA444" i="5"/>
  <c r="AB444" i="5"/>
  <c r="AB385" i="5"/>
  <c r="AA385" i="5"/>
  <c r="AA323" i="5"/>
  <c r="AB323" i="5"/>
  <c r="AA99" i="5"/>
  <c r="AB99" i="5"/>
  <c r="AB136" i="5"/>
  <c r="AA136" i="5"/>
  <c r="AA157" i="5"/>
  <c r="AB157" i="5"/>
  <c r="AB210" i="5"/>
  <c r="AA210" i="5"/>
  <c r="AB49" i="5"/>
  <c r="AA49" i="5"/>
  <c r="AB201" i="5"/>
  <c r="AA201" i="5"/>
  <c r="AB383" i="5"/>
  <c r="AA383" i="5"/>
  <c r="AA153" i="5"/>
  <c r="AB153" i="5"/>
  <c r="AB479" i="5"/>
  <c r="AA479" i="5"/>
  <c r="AB224" i="5"/>
  <c r="AA224" i="5"/>
  <c r="AB394" i="5"/>
  <c r="AA394" i="5"/>
  <c r="AB176" i="5"/>
  <c r="AA176" i="5"/>
  <c r="AB173" i="5"/>
  <c r="AA173" i="5"/>
  <c r="AB108" i="5"/>
  <c r="AA108" i="5"/>
  <c r="AA307" i="5"/>
  <c r="AB307" i="5"/>
  <c r="AA113" i="5"/>
  <c r="AB113" i="5"/>
  <c r="AB32" i="5"/>
  <c r="AA32" i="5"/>
  <c r="AB396" i="5"/>
  <c r="AA396" i="5"/>
  <c r="AA541" i="5"/>
  <c r="AB541" i="5"/>
  <c r="AA423" i="5"/>
  <c r="AB423" i="5"/>
  <c r="AB294" i="5"/>
  <c r="AA294" i="5"/>
  <c r="AB70" i="5"/>
  <c r="AA70" i="5"/>
  <c r="AB284" i="5"/>
  <c r="AA284" i="5"/>
  <c r="AB42" i="5"/>
  <c r="AA42" i="5"/>
  <c r="AA268" i="5"/>
  <c r="AB268" i="5"/>
  <c r="AB286" i="5"/>
  <c r="AA286" i="5"/>
  <c r="AB392" i="5"/>
  <c r="AA392" i="5"/>
  <c r="AA158" i="5"/>
  <c r="AB158" i="5"/>
  <c r="AB250" i="5"/>
  <c r="AA250" i="5"/>
  <c r="AA489" i="5"/>
  <c r="AB489" i="5"/>
  <c r="AA551" i="5"/>
  <c r="AB551" i="5"/>
  <c r="AA160" i="5"/>
  <c r="AB160" i="5"/>
  <c r="AB340" i="5"/>
  <c r="AA340" i="5"/>
  <c r="AB117" i="5"/>
  <c r="AA117" i="5"/>
  <c r="AB519" i="5"/>
  <c r="AA519" i="5"/>
  <c r="AA220" i="5"/>
  <c r="AB220" i="5"/>
  <c r="AB437" i="5"/>
  <c r="AA437" i="5"/>
  <c r="AA478" i="5"/>
  <c r="AB478" i="5"/>
  <c r="AA550" i="5"/>
  <c r="AB550" i="5"/>
  <c r="AB167" i="5"/>
  <c r="AA167" i="5"/>
  <c r="AB155" i="5"/>
  <c r="AA155" i="5"/>
  <c r="AA56" i="5"/>
  <c r="AB56" i="5"/>
  <c r="AA86" i="5"/>
  <c r="AB86" i="5"/>
  <c r="AA472" i="5"/>
  <c r="AB472" i="5"/>
  <c r="AB189" i="5"/>
  <c r="AA189" i="5"/>
  <c r="AA292" i="5"/>
  <c r="AB292" i="5"/>
  <c r="AB391" i="5"/>
  <c r="AA391" i="5"/>
  <c r="AB123" i="5"/>
  <c r="AA123" i="5"/>
  <c r="AA227" i="5"/>
  <c r="AB227" i="5"/>
  <c r="AB37" i="5"/>
  <c r="AA37" i="5"/>
  <c r="AB147" i="5"/>
  <c r="AA147" i="5"/>
  <c r="AB290" i="5"/>
  <c r="AA290" i="5"/>
  <c r="AB251" i="5"/>
  <c r="AA251" i="5"/>
  <c r="AB421" i="5"/>
  <c r="AA421" i="5"/>
  <c r="AA168" i="5"/>
  <c r="AB168" i="5"/>
  <c r="AA126" i="5"/>
  <c r="AB126" i="5"/>
  <c r="AA103" i="5"/>
  <c r="AB103" i="5"/>
  <c r="AB369" i="5"/>
  <c r="AA369" i="5"/>
  <c r="AA61" i="5"/>
  <c r="AB61" i="5"/>
  <c r="AB272" i="5"/>
  <c r="AA272" i="5"/>
  <c r="AA118" i="5"/>
  <c r="AB118" i="5"/>
  <c r="AA266" i="5"/>
  <c r="AB266" i="5"/>
  <c r="AB195" i="5"/>
  <c r="AA195" i="5"/>
  <c r="AA287" i="5"/>
  <c r="AB287" i="5"/>
  <c r="AB270" i="5"/>
  <c r="AA270" i="5"/>
  <c r="AA428" i="5"/>
  <c r="AB428" i="5"/>
  <c r="AB351" i="5"/>
  <c r="AA351" i="5"/>
  <c r="AA387" i="5"/>
  <c r="AB387" i="5"/>
  <c r="AB513" i="5"/>
  <c r="AA513" i="5"/>
  <c r="AA373" i="5"/>
  <c r="AB373" i="5"/>
  <c r="AA180" i="5"/>
  <c r="AB180" i="5"/>
  <c r="AB311" i="5"/>
  <c r="AA311" i="5"/>
  <c r="AA445" i="5"/>
  <c r="AB445" i="5"/>
  <c r="AA38" i="5"/>
  <c r="AB38" i="5"/>
  <c r="AB69" i="5"/>
  <c r="AA69" i="5"/>
  <c r="AA72" i="5"/>
  <c r="AB72" i="5"/>
  <c r="AA35" i="5"/>
  <c r="AB35" i="5"/>
  <c r="AB555" i="5"/>
  <c r="AA555" i="5"/>
  <c r="AA546" i="5"/>
  <c r="AB546" i="5"/>
  <c r="AA448" i="5"/>
  <c r="AB448" i="5"/>
  <c r="AB96" i="5"/>
  <c r="AA96" i="5"/>
  <c r="AB319" i="5"/>
  <c r="AA319" i="5"/>
  <c r="AA237" i="5"/>
  <c r="AB237" i="5"/>
  <c r="AA430" i="5"/>
  <c r="AB430" i="5"/>
  <c r="AB183" i="5"/>
  <c r="AA183" i="5"/>
  <c r="AA95" i="5"/>
  <c r="AB95" i="5"/>
  <c r="AA245" i="5"/>
  <c r="AB245" i="5"/>
  <c r="AA76" i="5"/>
  <c r="AB76" i="5"/>
  <c r="AB89" i="5"/>
  <c r="AA89" i="5"/>
  <c r="AB44" i="5"/>
  <c r="AA44" i="5"/>
  <c r="AB135" i="5"/>
  <c r="AA135" i="5"/>
  <c r="AB283" i="5"/>
  <c r="AA283" i="5"/>
  <c r="AB514" i="5"/>
  <c r="AA514" i="5"/>
  <c r="AA461" i="5"/>
  <c r="AB461" i="5"/>
  <c r="AB68" i="5"/>
  <c r="AA68" i="5"/>
  <c r="AA500" i="5"/>
  <c r="AB500" i="5"/>
  <c r="AA191" i="5"/>
  <c r="AB191" i="5"/>
  <c r="AA436" i="5"/>
  <c r="AB436" i="5"/>
  <c r="AA377" i="5"/>
  <c r="AB377" i="5"/>
  <c r="AB51" i="5"/>
  <c r="AA51" i="5"/>
  <c r="AA331" i="5"/>
  <c r="AB331" i="5"/>
  <c r="AA492" i="5"/>
  <c r="AB492" i="5"/>
  <c r="AB197" i="5"/>
  <c r="AA197" i="5"/>
  <c r="AA232" i="5"/>
  <c r="AB232" i="5"/>
  <c r="AB71" i="5"/>
  <c r="AA71" i="5"/>
  <c r="AB20" i="5"/>
  <c r="AA20" i="5"/>
  <c r="AA257" i="5"/>
  <c r="AB257" i="5"/>
  <c r="AA239" i="5"/>
  <c r="AB239" i="5"/>
  <c r="AA82" i="5"/>
  <c r="AB82" i="5"/>
  <c r="AB460" i="5"/>
  <c r="AA460" i="5"/>
  <c r="AB274" i="5"/>
  <c r="AA274" i="5"/>
  <c r="AB410" i="5"/>
  <c r="AA410" i="5"/>
  <c r="AB264" i="5"/>
  <c r="AA264" i="5"/>
  <c r="AA149" i="5"/>
  <c r="AB149" i="5"/>
  <c r="AB45" i="5"/>
  <c r="AA45" i="5"/>
  <c r="AA401" i="5"/>
  <c r="AB401" i="5"/>
  <c r="AA529" i="5"/>
  <c r="AB529" i="5"/>
  <c r="AA91" i="5"/>
  <c r="AB91" i="5"/>
  <c r="AB405" i="5"/>
  <c r="AA405" i="5"/>
  <c r="AB175" i="5"/>
  <c r="AA175" i="5"/>
  <c r="AA501" i="5"/>
  <c r="AB501" i="5"/>
  <c r="AA31" i="5"/>
  <c r="AB31" i="5"/>
  <c r="AA244" i="5"/>
  <c r="AB244" i="5"/>
  <c r="AB260" i="5"/>
  <c r="AA260" i="5"/>
  <c r="AB170" i="5"/>
  <c r="AA170" i="5"/>
  <c r="AA539" i="5"/>
  <c r="AB539" i="5"/>
  <c r="AB512" i="5"/>
  <c r="AA512" i="5"/>
  <c r="AA406" i="5"/>
  <c r="AB406" i="5"/>
  <c r="AB343" i="5"/>
  <c r="AA343" i="5"/>
  <c r="AB452" i="5"/>
  <c r="AA452" i="5"/>
  <c r="AA353" i="5"/>
  <c r="AB353" i="5"/>
  <c r="AA556" i="5"/>
  <c r="AB556" i="5"/>
  <c r="AB441" i="5"/>
  <c r="AA441" i="5"/>
  <c r="AB67" i="5"/>
  <c r="AA67" i="5"/>
  <c r="AA344" i="5"/>
  <c r="AB344" i="5"/>
  <c r="AA371" i="5"/>
  <c r="AB371" i="5"/>
  <c r="AA164" i="5"/>
  <c r="AB164" i="5"/>
  <c r="AB150" i="5"/>
  <c r="AA150" i="5"/>
  <c r="AA101" i="5"/>
  <c r="AB101" i="5"/>
  <c r="AA293" i="5"/>
  <c r="AB293" i="5"/>
  <c r="AB185" i="5"/>
  <c r="AA185" i="5"/>
  <c r="AB398" i="5"/>
  <c r="AA398" i="5"/>
  <c r="AA105" i="5"/>
  <c r="AB105" i="5"/>
  <c r="AB425" i="5"/>
  <c r="AA425" i="5"/>
  <c r="AA545" i="5"/>
  <c r="AB545" i="5"/>
  <c r="AA174" i="5"/>
  <c r="AB174" i="5"/>
  <c r="AA360" i="5"/>
  <c r="AB360" i="5"/>
  <c r="AB58" i="5"/>
  <c r="AA58" i="5"/>
  <c r="AA29" i="5"/>
  <c r="AB29" i="5"/>
  <c r="AA532" i="5"/>
  <c r="AB532" i="5"/>
  <c r="AB295" i="5"/>
  <c r="AA295" i="5"/>
  <c r="AB83" i="5"/>
  <c r="AA83" i="5"/>
  <c r="AB477" i="5"/>
  <c r="AA477" i="5"/>
  <c r="AA151" i="5"/>
  <c r="AB151" i="5"/>
  <c r="AB261" i="5"/>
  <c r="AA261" i="5"/>
  <c r="AA235" i="5"/>
  <c r="AB235" i="5"/>
  <c r="AB328" i="5"/>
  <c r="AA328" i="5"/>
  <c r="AB381" i="5"/>
  <c r="AA381" i="5"/>
  <c r="AA538" i="5"/>
  <c r="AB538" i="5"/>
  <c r="AB540" i="5"/>
  <c r="AA540" i="5"/>
  <c r="AA298" i="5"/>
  <c r="AB298" i="5"/>
  <c r="AA74" i="5"/>
  <c r="AB74" i="5"/>
  <c r="AB370" i="5"/>
  <c r="AA370" i="5"/>
  <c r="AA231" i="5"/>
  <c r="AB231" i="5"/>
  <c r="AA384" i="5"/>
  <c r="AB384" i="5"/>
  <c r="AA523" i="5"/>
  <c r="AB523" i="5"/>
  <c r="AA214" i="5"/>
  <c r="AB214" i="5"/>
  <c r="AA140" i="5"/>
  <c r="AB140" i="5"/>
  <c r="AA326" i="5"/>
  <c r="AB326" i="5"/>
  <c r="AA213" i="5"/>
  <c r="AB213" i="5"/>
  <c r="AA73" i="5"/>
  <c r="AB73" i="5"/>
  <c r="AA339" i="5"/>
  <c r="AB339" i="5"/>
  <c r="AA258" i="5"/>
  <c r="AB258" i="5"/>
  <c r="AA508" i="5"/>
  <c r="AB508" i="5"/>
  <c r="AA517" i="5"/>
  <c r="AB517" i="5"/>
  <c r="AB466" i="5"/>
  <c r="AA466" i="5"/>
  <c r="AA301" i="5"/>
  <c r="AB301" i="5"/>
  <c r="AA413" i="5"/>
  <c r="AB413" i="5"/>
  <c r="AA534" i="5"/>
  <c r="AB534" i="5"/>
  <c r="AA48" i="5"/>
  <c r="AB48" i="5"/>
  <c r="AA547" i="5"/>
  <c r="AB547" i="5"/>
  <c r="AB36" i="5"/>
  <c r="AA36" i="5"/>
  <c r="AB156" i="5"/>
  <c r="AA156" i="5"/>
  <c r="AB321" i="5"/>
  <c r="AA321" i="5"/>
  <c r="AA212" i="5"/>
  <c r="AB212" i="5"/>
  <c r="AB474" i="5"/>
  <c r="AA474" i="5"/>
  <c r="AB476" i="5"/>
  <c r="AA476" i="5"/>
  <c r="AA228" i="5"/>
  <c r="AB228" i="5"/>
  <c r="AB30" i="5"/>
  <c r="AA30" i="5"/>
  <c r="AA521" i="5"/>
  <c r="AB521" i="5"/>
  <c r="AA458" i="5"/>
  <c r="AB458" i="5"/>
  <c r="AA254" i="5"/>
  <c r="AB254" i="5"/>
  <c r="AB247" i="5"/>
  <c r="AA247" i="5"/>
  <c r="AA75" i="5"/>
  <c r="AB75" i="5"/>
  <c r="AB46" i="5"/>
  <c r="AA46" i="5"/>
  <c r="AB380" i="5"/>
  <c r="AA380" i="5"/>
  <c r="AB310" i="5"/>
  <c r="AA310" i="5"/>
  <c r="AB256" i="5"/>
  <c r="AA256" i="5"/>
  <c r="AA325" i="5"/>
  <c r="AB325" i="5"/>
  <c r="AB28" i="5"/>
  <c r="AA28" i="5"/>
  <c r="AB400" i="5"/>
  <c r="AA400" i="5"/>
  <c r="AA127" i="5"/>
  <c r="AB127" i="5"/>
  <c r="AB279" i="5"/>
  <c r="AA279" i="5"/>
  <c r="AB442" i="5"/>
  <c r="AA442" i="5"/>
  <c r="AA22" i="5"/>
  <c r="AB22" i="5"/>
  <c r="AA208" i="5"/>
  <c r="AB208" i="5"/>
  <c r="AB302" i="5"/>
  <c r="AA302" i="5"/>
  <c r="AB395" i="5"/>
  <c r="AA395" i="5"/>
  <c r="AA465" i="5"/>
  <c r="AB465" i="5"/>
  <c r="AB207" i="5"/>
  <c r="AA207" i="5"/>
  <c r="AB236" i="5"/>
  <c r="AA236" i="5"/>
  <c r="AA506" i="5"/>
  <c r="AB506" i="5"/>
  <c r="AA55" i="5"/>
  <c r="AB55" i="5"/>
  <c r="AA143" i="5"/>
  <c r="AB143" i="5"/>
  <c r="AA315" i="5"/>
  <c r="AB315" i="5"/>
  <c r="AA407" i="5"/>
  <c r="AB407" i="5"/>
  <c r="AB265" i="5"/>
  <c r="AA265" i="5"/>
  <c r="AA415" i="5"/>
  <c r="AB415" i="5"/>
  <c r="AA59" i="5"/>
  <c r="AB59" i="5"/>
  <c r="AB171" i="5"/>
  <c r="AA171" i="5"/>
  <c r="AB25" i="5"/>
  <c r="AA25" i="5"/>
  <c r="AA110" i="5"/>
  <c r="AB110" i="5"/>
  <c r="AA498" i="5"/>
  <c r="AB498" i="5"/>
  <c r="AA64" i="5"/>
  <c r="AB64" i="5"/>
  <c r="AB349" i="5"/>
  <c r="AA349" i="5"/>
  <c r="AA85" i="5"/>
  <c r="AB85" i="5"/>
  <c r="AA280" i="5"/>
  <c r="AB280" i="5"/>
  <c r="AA493" i="5"/>
  <c r="AB493" i="5"/>
  <c r="AA198" i="5"/>
  <c r="AB198" i="5"/>
  <c r="AB296" i="5"/>
  <c r="AA296" i="5"/>
  <c r="AA533" i="5"/>
  <c r="AB533" i="5"/>
  <c r="AB313" i="5"/>
  <c r="AA313" i="5"/>
  <c r="AB386" i="5"/>
  <c r="AA386" i="5"/>
  <c r="AB482" i="5"/>
  <c r="AA482" i="5"/>
  <c r="AA399" i="5"/>
  <c r="AB399" i="5"/>
  <c r="AA275" i="5"/>
  <c r="AB275" i="5"/>
  <c r="AB306" i="5"/>
  <c r="AA306" i="5"/>
  <c r="AB412" i="5"/>
  <c r="AA412" i="5"/>
  <c r="AA152" i="5"/>
  <c r="AB152" i="5"/>
  <c r="AB262" i="5"/>
  <c r="AA262" i="5"/>
  <c r="AB368" i="5"/>
  <c r="AA368" i="5"/>
  <c r="AA332" i="5"/>
  <c r="AB332" i="5"/>
  <c r="AB141" i="5"/>
  <c r="AA141" i="5"/>
  <c r="AA50" i="5"/>
  <c r="AB50" i="5"/>
  <c r="AA422" i="5"/>
  <c r="AB422" i="5"/>
  <c r="AB269" i="5"/>
  <c r="AA269" i="5"/>
  <c r="AB324" i="5"/>
  <c r="AA324" i="5"/>
  <c r="AB229" i="5"/>
  <c r="AA229" i="5"/>
  <c r="AA446" i="5"/>
  <c r="AB446" i="5"/>
  <c r="AB347" i="5"/>
  <c r="AA347" i="5"/>
  <c r="AB515" i="5"/>
  <c r="AA515" i="5"/>
  <c r="AA139" i="5"/>
  <c r="AB139" i="5"/>
  <c r="AA39" i="5"/>
  <c r="AB39" i="5"/>
  <c r="AB87" i="5"/>
  <c r="AA87" i="5"/>
  <c r="AB122" i="5"/>
  <c r="AA122" i="5"/>
  <c r="AB33" i="5"/>
  <c r="AA33" i="5"/>
  <c r="AB467" i="5"/>
  <c r="AA467" i="5"/>
  <c r="AB393" i="5"/>
  <c r="AA393" i="5"/>
  <c r="AB206" i="5"/>
  <c r="AA206" i="5"/>
  <c r="AB199" i="5"/>
  <c r="AA199" i="5"/>
  <c r="AA525" i="5"/>
  <c r="AB525" i="5"/>
  <c r="AB148" i="5"/>
  <c r="AA148" i="5"/>
  <c r="AA511" i="5"/>
  <c r="AB511" i="5"/>
  <c r="AB203" i="5"/>
  <c r="AA203" i="5"/>
  <c r="AA455" i="5"/>
  <c r="AB455" i="5"/>
  <c r="AA308" i="5"/>
  <c r="AB308" i="5"/>
  <c r="AA252" i="5"/>
  <c r="AB252" i="5"/>
  <c r="B13" i="2" l="1"/>
  <c r="B31" i="5" l="1"/>
  <c r="O10" i="5" s="1"/>
  <c r="B70" i="2"/>
  <c r="B71" i="2" s="1"/>
  <c r="B54" i="2"/>
  <c r="B55" i="2" s="1"/>
  <c r="B62" i="2"/>
  <c r="B20" i="5"/>
  <c r="B14" i="2"/>
  <c r="B156" i="2"/>
  <c r="B162" i="2" s="1"/>
  <c r="B42" i="2"/>
  <c r="B168" i="2"/>
  <c r="B57" i="2"/>
  <c r="B70" i="5"/>
  <c r="O12" i="4"/>
  <c r="B248" i="2"/>
  <c r="B17" i="5"/>
  <c r="B197" i="2"/>
  <c r="B198" i="2" s="1"/>
  <c r="B206" i="2" s="1"/>
  <c r="B117" i="2"/>
  <c r="H41" i="1" s="1"/>
  <c r="B15" i="2"/>
  <c r="H15" i="1" s="1"/>
  <c r="B42" i="5"/>
  <c r="B65" i="2"/>
  <c r="B73" i="2"/>
  <c r="B35" i="2"/>
  <c r="B36" i="2" s="1"/>
  <c r="B40" i="2"/>
  <c r="B107" i="2"/>
  <c r="B266" i="2"/>
  <c r="B43" i="2" l="1"/>
  <c r="B45" i="2" s="1"/>
  <c r="H22" i="1" s="1"/>
  <c r="B104" i="2"/>
  <c r="B105" i="2" s="1"/>
  <c r="B63" i="2"/>
  <c r="K93" i="2"/>
  <c r="B204" i="2"/>
  <c r="B201" i="2"/>
  <c r="B202" i="2" s="1"/>
  <c r="B56" i="2"/>
  <c r="B94" i="2"/>
  <c r="B83" i="2"/>
  <c r="B58" i="2"/>
  <c r="B109" i="2" s="1"/>
  <c r="B196" i="2"/>
  <c r="B72" i="2"/>
  <c r="B95" i="2"/>
  <c r="B74" i="2"/>
  <c r="B75" i="2" s="1"/>
  <c r="AW10" i="5"/>
  <c r="AZ10" i="5"/>
  <c r="AT10" i="5"/>
  <c r="T10" i="5"/>
  <c r="AJ10" i="5"/>
  <c r="Z10" i="5"/>
  <c r="B43" i="5"/>
  <c r="W231" i="5"/>
  <c r="W249" i="5"/>
  <c r="W400" i="5"/>
  <c r="W436" i="5"/>
  <c r="W148" i="5"/>
  <c r="W20" i="5"/>
  <c r="W376" i="5"/>
  <c r="W410" i="5"/>
  <c r="W499" i="5"/>
  <c r="W109" i="5"/>
  <c r="W501" i="5"/>
  <c r="W262" i="5"/>
  <c r="W416" i="5"/>
  <c r="W83" i="5"/>
  <c r="W23" i="5"/>
  <c r="W511" i="5"/>
  <c r="W168" i="5"/>
  <c r="W317" i="5"/>
  <c r="W151" i="5"/>
  <c r="W212" i="5"/>
  <c r="W229" i="5"/>
  <c r="W541" i="5"/>
  <c r="W388" i="5"/>
  <c r="W305" i="5"/>
  <c r="W466" i="5"/>
  <c r="W381" i="5"/>
  <c r="W343" i="5"/>
  <c r="W239" i="5"/>
  <c r="W89" i="5"/>
  <c r="W115" i="5"/>
  <c r="W187" i="5"/>
  <c r="W497" i="5"/>
  <c r="W140" i="5"/>
  <c r="W253" i="5"/>
  <c r="W179" i="5"/>
  <c r="W207" i="5"/>
  <c r="W379" i="5"/>
  <c r="W217" i="5"/>
  <c r="W10" i="5"/>
  <c r="W293" i="5"/>
  <c r="W413" i="5"/>
  <c r="W415" i="5"/>
  <c r="W418" i="5"/>
  <c r="W297" i="5"/>
  <c r="W160" i="5"/>
  <c r="W110" i="5"/>
  <c r="W180" i="5"/>
  <c r="W144" i="5"/>
  <c r="W339" i="5"/>
  <c r="W36" i="5"/>
  <c r="W480" i="5"/>
  <c r="W42" i="5"/>
  <c r="W311" i="5"/>
  <c r="W198" i="5"/>
  <c r="W101" i="5"/>
  <c r="W422" i="5"/>
  <c r="W485" i="5"/>
  <c r="W30" i="5"/>
  <c r="W19" i="5"/>
  <c r="W552" i="5"/>
  <c r="W348" i="5"/>
  <c r="W166" i="5"/>
  <c r="W215" i="5"/>
  <c r="W414" i="5"/>
  <c r="W246" i="5"/>
  <c r="W121" i="5"/>
  <c r="W368" i="5"/>
  <c r="W84" i="5"/>
  <c r="W200" i="5"/>
  <c r="W393" i="5"/>
  <c r="W173" i="5"/>
  <c r="W443" i="5"/>
  <c r="W74" i="5"/>
  <c r="W296" i="5"/>
  <c r="W267" i="5"/>
  <c r="W133" i="5"/>
  <c r="W334" i="5"/>
  <c r="W25" i="5"/>
  <c r="W165" i="5"/>
  <c r="W142" i="5"/>
  <c r="W437" i="5"/>
  <c r="W295" i="5"/>
  <c r="W369" i="5"/>
  <c r="W278" i="5"/>
  <c r="W92" i="5"/>
  <c r="W482" i="5"/>
  <c r="W105" i="5"/>
  <c r="W351" i="5"/>
  <c r="W208" i="5"/>
  <c r="W507" i="5"/>
  <c r="W233" i="5"/>
  <c r="W438" i="5"/>
  <c r="W221" i="5"/>
  <c r="W395" i="5"/>
  <c r="W98" i="5"/>
  <c r="W52" i="5"/>
  <c r="W269" i="5"/>
  <c r="W209" i="5"/>
  <c r="W122" i="5"/>
  <c r="W540" i="5"/>
  <c r="W145" i="5"/>
  <c r="W440" i="5"/>
  <c r="W237" i="5"/>
  <c r="W314" i="5"/>
  <c r="W301" i="5"/>
  <c r="W352" i="5"/>
  <c r="W548" i="5"/>
  <c r="W412" i="5"/>
  <c r="W177" i="5"/>
  <c r="W248" i="5"/>
  <c r="W93" i="5"/>
  <c r="W327" i="5"/>
  <c r="W34" i="5"/>
  <c r="W555" i="5"/>
  <c r="W522" i="5"/>
  <c r="W409" i="5"/>
  <c r="W199" i="5"/>
  <c r="W335" i="5"/>
  <c r="W329" i="5"/>
  <c r="W473" i="5"/>
  <c r="W312" i="5"/>
  <c r="W238" i="5"/>
  <c r="W150" i="5"/>
  <c r="W380" i="5"/>
  <c r="W322" i="5"/>
  <c r="W331" i="5"/>
  <c r="W255" i="5"/>
  <c r="W474" i="5"/>
  <c r="W29" i="5"/>
  <c r="W556" i="5"/>
  <c r="W386" i="5"/>
  <c r="W375" i="5"/>
  <c r="W471" i="5"/>
  <c r="W80" i="5"/>
  <c r="W515" i="5"/>
  <c r="W87" i="5"/>
  <c r="W472" i="5"/>
  <c r="W496" i="5"/>
  <c r="W226" i="5"/>
  <c r="W508" i="5"/>
  <c r="W408" i="5"/>
  <c r="W65" i="5"/>
  <c r="W519" i="5"/>
  <c r="W182" i="5"/>
  <c r="W542" i="5"/>
  <c r="W433" i="5"/>
  <c r="W28" i="5"/>
  <c r="W154" i="5"/>
  <c r="W38" i="5"/>
  <c r="W242" i="5"/>
  <c r="W169" i="5"/>
  <c r="W90" i="5"/>
  <c r="W68" i="5"/>
  <c r="W271" i="5"/>
  <c r="W40" i="5"/>
  <c r="W423" i="5"/>
  <c r="W385" i="5"/>
  <c r="W315" i="5"/>
  <c r="W323" i="5"/>
  <c r="W453" i="5"/>
  <c r="W359" i="5"/>
  <c r="W69" i="5"/>
  <c r="W94" i="5"/>
  <c r="W537" i="5"/>
  <c r="W491" i="5"/>
  <c r="W70" i="5"/>
  <c r="W425" i="5"/>
  <c r="W158" i="5"/>
  <c r="W178" i="5"/>
  <c r="W476" i="5"/>
  <c r="W203" i="5"/>
  <c r="W44" i="5"/>
  <c r="W294" i="5"/>
  <c r="W60" i="5"/>
  <c r="W131" i="5"/>
  <c r="W454" i="5"/>
  <c r="W75" i="5"/>
  <c r="W426" i="5"/>
  <c r="W172" i="5"/>
  <c r="W256" i="5"/>
  <c r="W326" i="5"/>
  <c r="W553" i="5"/>
  <c r="W447" i="5"/>
  <c r="W434" i="5"/>
  <c r="W467" i="5"/>
  <c r="W37" i="5"/>
  <c r="W464" i="5"/>
  <c r="W358" i="5"/>
  <c r="W228" i="5"/>
  <c r="W300" i="5"/>
  <c r="W407" i="5"/>
  <c r="W486" i="5"/>
  <c r="W350" i="5"/>
  <c r="W549" i="5"/>
  <c r="W536" i="5"/>
  <c r="W117" i="5"/>
  <c r="W390" i="5"/>
  <c r="W214" i="5"/>
  <c r="W399" i="5"/>
  <c r="W371" i="5"/>
  <c r="W273" i="5"/>
  <c r="W492" i="5"/>
  <c r="W532" i="5"/>
  <c r="W204" i="5"/>
  <c r="W136" i="5"/>
  <c r="W243" i="5"/>
  <c r="W95" i="5"/>
  <c r="W216" i="5"/>
  <c r="W282" i="5"/>
  <c r="W302" i="5"/>
  <c r="W279" i="5"/>
  <c r="W31" i="5"/>
  <c r="W543" i="5"/>
  <c r="W106" i="5"/>
  <c r="W251" i="5"/>
  <c r="W245" i="5"/>
  <c r="W506" i="5"/>
  <c r="W505" i="5"/>
  <c r="W502" i="5"/>
  <c r="W235" i="5"/>
  <c r="W62" i="5"/>
  <c r="W224" i="5"/>
  <c r="W487" i="5"/>
  <c r="W47" i="5"/>
  <c r="W382" i="5"/>
  <c r="W220" i="5"/>
  <c r="W35" i="5"/>
  <c r="W420" i="5"/>
  <c r="W266" i="5"/>
  <c r="W394" i="5"/>
  <c r="W364" i="5"/>
  <c r="W435" i="5"/>
  <c r="W164" i="5"/>
  <c r="W114" i="5"/>
  <c r="W392" i="5"/>
  <c r="W465" i="5"/>
  <c r="W59" i="5"/>
  <c r="W349" i="5"/>
  <c r="W211" i="5"/>
  <c r="W167" i="5"/>
  <c r="W138" i="5"/>
  <c r="W504" i="5"/>
  <c r="W257" i="5"/>
  <c r="W247" i="5"/>
  <c r="W517" i="5"/>
  <c r="W461" i="5"/>
  <c r="W360" i="5"/>
  <c r="W64" i="5"/>
  <c r="W123" i="5"/>
  <c r="W298" i="5"/>
  <c r="W141" i="5"/>
  <c r="W307" i="5"/>
  <c r="W325" i="5"/>
  <c r="W452" i="5"/>
  <c r="W32" i="5"/>
  <c r="W442" i="5"/>
  <c r="W469" i="5"/>
  <c r="W196" i="5"/>
  <c r="W367" i="5"/>
  <c r="W459" i="5"/>
  <c r="W421" i="5"/>
  <c r="W281" i="5"/>
  <c r="W355" i="5"/>
  <c r="W85" i="5"/>
  <c r="W139" i="5"/>
  <c r="W76" i="5"/>
  <c r="W526" i="5"/>
  <c r="W309" i="5"/>
  <c r="W468" i="5"/>
  <c r="W191" i="5"/>
  <c r="W176" i="5"/>
  <c r="W265" i="5"/>
  <c r="W374" i="5"/>
  <c r="W332" i="5"/>
  <c r="W272" i="5"/>
  <c r="W346" i="5"/>
  <c r="W67" i="5"/>
  <c r="W481" i="5"/>
  <c r="W450" i="5"/>
  <c r="W488" i="5"/>
  <c r="W189" i="5"/>
  <c r="W119" i="5"/>
  <c r="W197" i="5"/>
  <c r="W304" i="5"/>
  <c r="W299" i="5"/>
  <c r="W558" i="5"/>
  <c r="W268" i="5"/>
  <c r="W88" i="5"/>
  <c r="W523" i="5"/>
  <c r="W503" i="5"/>
  <c r="W303" i="5"/>
  <c r="W403" i="5"/>
  <c r="W475" i="5"/>
  <c r="W157" i="5"/>
  <c r="W50" i="5"/>
  <c r="W71" i="5"/>
  <c r="W56" i="5"/>
  <c r="W338" i="5"/>
  <c r="W186" i="5"/>
  <c r="W125" i="5"/>
  <c r="W354" i="5"/>
  <c r="W545" i="5"/>
  <c r="W111" i="5"/>
  <c r="W306" i="5"/>
  <c r="W33" i="5"/>
  <c r="W223" i="5"/>
  <c r="W534" i="5"/>
  <c r="W328" i="5"/>
  <c r="W82" i="5"/>
  <c r="W455" i="5"/>
  <c r="W49" i="5"/>
  <c r="W366" i="5"/>
  <c r="W183" i="5"/>
  <c r="W318" i="5"/>
  <c r="W533" i="5"/>
  <c r="W39" i="5"/>
  <c r="W495" i="5"/>
  <c r="W361" i="5"/>
  <c r="W402" i="5"/>
  <c r="W73" i="5"/>
  <c r="W405" i="5"/>
  <c r="W554" i="5"/>
  <c r="W58" i="5"/>
  <c r="W21" i="5"/>
  <c r="W97" i="5"/>
  <c r="W149" i="5"/>
  <c r="W347" i="5"/>
  <c r="W383" i="5"/>
  <c r="W451" i="5"/>
  <c r="W518" i="5"/>
  <c r="W406" i="5"/>
  <c r="W557" i="5"/>
  <c r="W462" i="5"/>
  <c r="W330" i="5"/>
  <c r="W100" i="5"/>
  <c r="W477" i="5"/>
  <c r="W108" i="5"/>
  <c r="W241" i="5"/>
  <c r="W77" i="5"/>
  <c r="W286" i="5"/>
  <c r="W490" i="5"/>
  <c r="W547" i="5"/>
  <c r="W458" i="5"/>
  <c r="W377" i="5"/>
  <c r="W72" i="5"/>
  <c r="W550" i="5"/>
  <c r="W512" i="5"/>
  <c r="W146" i="5"/>
  <c r="W270" i="5"/>
  <c r="W290" i="5"/>
  <c r="W531" i="5"/>
  <c r="W86" i="5"/>
  <c r="W161" i="5"/>
  <c r="W484" i="5"/>
  <c r="W356" i="5"/>
  <c r="W45" i="5"/>
  <c r="W539" i="5"/>
  <c r="W538" i="5"/>
  <c r="W316" i="5"/>
  <c r="W171" i="5"/>
  <c r="W24" i="5"/>
  <c r="W521" i="5"/>
  <c r="W446" i="5"/>
  <c r="W320" i="5"/>
  <c r="W510" i="5"/>
  <c r="W276" i="5"/>
  <c r="W46" i="5"/>
  <c r="W353" i="5"/>
  <c r="W188" i="5"/>
  <c r="W373" i="5"/>
  <c r="W513" i="5"/>
  <c r="W130" i="5"/>
  <c r="W127" i="5"/>
  <c r="W254" i="5"/>
  <c r="W288" i="5"/>
  <c r="W365" i="5"/>
  <c r="W193" i="5"/>
  <c r="W8" i="5"/>
  <c r="W258" i="5"/>
  <c r="W184" i="5"/>
  <c r="W509" i="5"/>
  <c r="W192" i="5"/>
  <c r="W124" i="5"/>
  <c r="W259" i="5"/>
  <c r="W551" i="5"/>
  <c r="W524" i="5"/>
  <c r="W389" i="5"/>
  <c r="W274" i="5"/>
  <c r="W120" i="5"/>
  <c r="W126" i="5"/>
  <c r="W12" i="5"/>
  <c r="W319" i="5"/>
  <c r="W457" i="5"/>
  <c r="W396" i="5"/>
  <c r="W53" i="5"/>
  <c r="W205" i="5"/>
  <c r="W445" i="5"/>
  <c r="W357" i="5"/>
  <c r="W287" i="5"/>
  <c r="W341" i="5"/>
  <c r="W308" i="5"/>
  <c r="W285" i="5"/>
  <c r="W345" i="5"/>
  <c r="W283" i="5"/>
  <c r="W61" i="5"/>
  <c r="W559" i="5"/>
  <c r="W132" i="5"/>
  <c r="W498" i="5"/>
  <c r="W63" i="5"/>
  <c r="W54" i="5"/>
  <c r="W181" i="5"/>
  <c r="W419" i="5"/>
  <c r="W48" i="5"/>
  <c r="W560" i="5"/>
  <c r="W91" i="5"/>
  <c r="W155" i="5"/>
  <c r="W222" i="5"/>
  <c r="W234" i="5"/>
  <c r="W170" i="5"/>
  <c r="W516" i="5"/>
  <c r="W236" i="5"/>
  <c r="W147" i="5"/>
  <c r="W444" i="5"/>
  <c r="W493" i="5"/>
  <c r="W252" i="5"/>
  <c r="W227" i="5"/>
  <c r="W225" i="5"/>
  <c r="W143" i="5"/>
  <c r="W194" i="5"/>
  <c r="W479" i="5"/>
  <c r="W404" i="5"/>
  <c r="W372" i="5"/>
  <c r="W441" i="5"/>
  <c r="W41" i="5"/>
  <c r="W213" i="5"/>
  <c r="W280" i="5"/>
  <c r="W162" i="5"/>
  <c r="W128" i="5"/>
  <c r="W107" i="5"/>
  <c r="W275" i="5"/>
  <c r="W134" i="5"/>
  <c r="W201" i="5"/>
  <c r="W514" i="5"/>
  <c r="W546" i="5"/>
  <c r="W470" i="5"/>
  <c r="W277" i="5"/>
  <c r="W289" i="5"/>
  <c r="W378" i="5"/>
  <c r="W432" i="5"/>
  <c r="W99" i="5"/>
  <c r="W51" i="5"/>
  <c r="W118" i="5"/>
  <c r="W78" i="5"/>
  <c r="W324" i="5"/>
  <c r="W460" i="5"/>
  <c r="W219" i="5"/>
  <c r="W313" i="5"/>
  <c r="W113" i="5"/>
  <c r="W363" i="5"/>
  <c r="W195" i="5"/>
  <c r="W528" i="5"/>
  <c r="W57" i="5"/>
  <c r="W103" i="5"/>
  <c r="W337" i="5"/>
  <c r="W244" i="5"/>
  <c r="W163" i="5"/>
  <c r="W439" i="5"/>
  <c r="W384" i="5"/>
  <c r="W342" i="5"/>
  <c r="W529" i="5"/>
  <c r="W431" i="5"/>
  <c r="W417" i="5"/>
  <c r="W478" i="5"/>
  <c r="W260" i="5"/>
  <c r="W261" i="5"/>
  <c r="W210" i="5"/>
  <c r="W153" i="5"/>
  <c r="W291" i="5"/>
  <c r="W500" i="5"/>
  <c r="W55" i="5"/>
  <c r="W530" i="5"/>
  <c r="W430" i="5"/>
  <c r="W232" i="5"/>
  <c r="W520" i="5"/>
  <c r="W240" i="5"/>
  <c r="W174" i="5"/>
  <c r="W340" i="5"/>
  <c r="W190" i="5"/>
  <c r="W387" i="5"/>
  <c r="W43" i="5"/>
  <c r="W250" i="5"/>
  <c r="W27" i="5"/>
  <c r="W401" i="5"/>
  <c r="O9" i="5"/>
  <c r="W333" i="5"/>
  <c r="W81" i="5"/>
  <c r="W427" i="5"/>
  <c r="W292" i="5"/>
  <c r="W456" i="5"/>
  <c r="W397" i="5"/>
  <c r="W129" i="5"/>
  <c r="W230" i="5"/>
  <c r="W489" i="5"/>
  <c r="W66" i="5"/>
  <c r="W362" i="5"/>
  <c r="W535" i="5"/>
  <c r="W424" i="5"/>
  <c r="W483" i="5"/>
  <c r="W391" i="5"/>
  <c r="W104" i="5"/>
  <c r="W22" i="5"/>
  <c r="W398" i="5"/>
  <c r="W159" i="5"/>
  <c r="W218" i="5"/>
  <c r="W202" i="5"/>
  <c r="W544" i="5"/>
  <c r="W429" i="5"/>
  <c r="W137" i="5"/>
  <c r="W449" i="5"/>
  <c r="W116" i="5"/>
  <c r="W96" i="5"/>
  <c r="W206" i="5"/>
  <c r="W264" i="5"/>
  <c r="W411" i="5"/>
  <c r="W102" i="5"/>
  <c r="W152" i="5"/>
  <c r="W525" i="5"/>
  <c r="W527" i="5"/>
  <c r="W284" i="5"/>
  <c r="W13" i="5"/>
  <c r="W336" i="5"/>
  <c r="W112" i="5"/>
  <c r="W321" i="5"/>
  <c r="W370" i="5"/>
  <c r="W310" i="5"/>
  <c r="W156" i="5"/>
  <c r="W263" i="5"/>
  <c r="W463" i="5"/>
  <c r="W428" i="5"/>
  <c r="W175" i="5"/>
  <c r="W79" i="5"/>
  <c r="W494" i="5"/>
  <c r="W448" i="5"/>
  <c r="W135" i="5"/>
  <c r="W26" i="5"/>
  <c r="W344" i="5"/>
  <c r="W185" i="5"/>
  <c r="B211" i="2"/>
  <c r="B216" i="2" s="1"/>
  <c r="B77" i="5"/>
  <c r="B72" i="5"/>
  <c r="B160" i="2"/>
  <c r="P7" i="5" s="1"/>
  <c r="B36" i="5"/>
  <c r="B73" i="5"/>
  <c r="B112" i="2"/>
  <c r="S21" i="4"/>
  <c r="V21" i="4" s="1"/>
  <c r="S61" i="4"/>
  <c r="V61" i="4" s="1"/>
  <c r="S142" i="4"/>
  <c r="V142" i="4" s="1"/>
  <c r="S9" i="4"/>
  <c r="V9" i="4" s="1"/>
  <c r="S12" i="4"/>
  <c r="V12" i="4" s="1"/>
  <c r="S154" i="4"/>
  <c r="V154" i="4" s="1"/>
  <c r="S80" i="4"/>
  <c r="V80" i="4" s="1"/>
  <c r="S25" i="4"/>
  <c r="V25" i="4" s="1"/>
  <c r="S103" i="4"/>
  <c r="V103" i="4" s="1"/>
  <c r="S67" i="4"/>
  <c r="V67" i="4" s="1"/>
  <c r="S150" i="4"/>
  <c r="V150" i="4" s="1"/>
  <c r="S39" i="4"/>
  <c r="V39" i="4" s="1"/>
  <c r="S71" i="4"/>
  <c r="V71" i="4" s="1"/>
  <c r="S36" i="4"/>
  <c r="V36" i="4" s="1"/>
  <c r="S54" i="4"/>
  <c r="V54" i="4" s="1"/>
  <c r="S95" i="4"/>
  <c r="V95" i="4" s="1"/>
  <c r="S19" i="4"/>
  <c r="V19" i="4" s="1"/>
  <c r="S141" i="4"/>
  <c r="V141" i="4" s="1"/>
  <c r="S57" i="4"/>
  <c r="V57" i="4" s="1"/>
  <c r="S108" i="4"/>
  <c r="V108" i="4" s="1"/>
  <c r="S49" i="4"/>
  <c r="V49" i="4" s="1"/>
  <c r="S143" i="4"/>
  <c r="V143" i="4" s="1"/>
  <c r="S138" i="4"/>
  <c r="V138" i="4" s="1"/>
  <c r="S62" i="4"/>
  <c r="V62" i="4" s="1"/>
  <c r="S111" i="4"/>
  <c r="V111" i="4" s="1"/>
  <c r="S31" i="4"/>
  <c r="V31" i="4" s="1"/>
  <c r="S70" i="4"/>
  <c r="V70" i="4" s="1"/>
  <c r="S102" i="4"/>
  <c r="V102" i="4" s="1"/>
  <c r="S157" i="4"/>
  <c r="V157" i="4" s="1"/>
  <c r="S14" i="4"/>
  <c r="V14" i="4" s="1"/>
  <c r="S51" i="4"/>
  <c r="V51" i="4" s="1"/>
  <c r="S28" i="4"/>
  <c r="V28" i="4" s="1"/>
  <c r="S13" i="4"/>
  <c r="V13" i="4" s="1"/>
  <c r="S33" i="4"/>
  <c r="V33" i="4" s="1"/>
  <c r="S148" i="4"/>
  <c r="V148" i="4" s="1"/>
  <c r="S46" i="4"/>
  <c r="V46" i="4" s="1"/>
  <c r="S155" i="4"/>
  <c r="V155" i="4" s="1"/>
  <c r="S52" i="4"/>
  <c r="V52" i="4" s="1"/>
  <c r="S10" i="4"/>
  <c r="V10" i="4" s="1"/>
  <c r="S56" i="4"/>
  <c r="V56" i="4" s="1"/>
  <c r="S92" i="4"/>
  <c r="V92" i="4" s="1"/>
  <c r="S145" i="4"/>
  <c r="V145" i="4" s="1"/>
  <c r="S84" i="4"/>
  <c r="V84" i="4" s="1"/>
  <c r="S50" i="4"/>
  <c r="V50" i="4" s="1"/>
  <c r="S73" i="4"/>
  <c r="V73" i="4" s="1"/>
  <c r="S101" i="4"/>
  <c r="V101" i="4" s="1"/>
  <c r="S24" i="4"/>
  <c r="V24" i="4" s="1"/>
  <c r="S68" i="4"/>
  <c r="V68" i="4" s="1"/>
  <c r="S133" i="4"/>
  <c r="V133" i="4" s="1"/>
  <c r="S117" i="4"/>
  <c r="V117" i="4" s="1"/>
  <c r="S144" i="4"/>
  <c r="V144" i="4" s="1"/>
  <c r="S96" i="4"/>
  <c r="V96" i="4" s="1"/>
  <c r="S152" i="4"/>
  <c r="V152" i="4" s="1"/>
  <c r="S44" i="4"/>
  <c r="V44" i="4" s="1"/>
  <c r="S35" i="4"/>
  <c r="V35" i="4" s="1"/>
  <c r="S37" i="4"/>
  <c r="V37" i="4" s="1"/>
  <c r="S38" i="4"/>
  <c r="V38" i="4" s="1"/>
  <c r="S17" i="4"/>
  <c r="V17" i="4" s="1"/>
  <c r="S128" i="4"/>
  <c r="V128" i="4" s="1"/>
  <c r="S48" i="4"/>
  <c r="V48" i="4" s="1"/>
  <c r="S124" i="4"/>
  <c r="V124" i="4" s="1"/>
  <c r="S93" i="4"/>
  <c r="V93" i="4" s="1"/>
  <c r="S118" i="4"/>
  <c r="V118" i="4" s="1"/>
  <c r="S41" i="4"/>
  <c r="V41" i="4" s="1"/>
  <c r="S75" i="4"/>
  <c r="V75" i="4" s="1"/>
  <c r="S7" i="4"/>
  <c r="V7" i="4" s="1"/>
  <c r="S106" i="4"/>
  <c r="V106" i="4" s="1"/>
  <c r="S83" i="4"/>
  <c r="V83" i="4" s="1"/>
  <c r="S26" i="4"/>
  <c r="V26" i="4" s="1"/>
  <c r="S30" i="4"/>
  <c r="V30" i="4" s="1"/>
  <c r="S97" i="4"/>
  <c r="V97" i="4" s="1"/>
  <c r="S76" i="4"/>
  <c r="V76" i="4" s="1"/>
  <c r="S127" i="4"/>
  <c r="V127" i="4" s="1"/>
  <c r="S132" i="4"/>
  <c r="V132" i="4" s="1"/>
  <c r="S88" i="4"/>
  <c r="V88" i="4" s="1"/>
  <c r="S34" i="4"/>
  <c r="V34" i="4" s="1"/>
  <c r="S110" i="4"/>
  <c r="V110" i="4" s="1"/>
  <c r="S59" i="4"/>
  <c r="V59" i="4" s="1"/>
  <c r="S114" i="4"/>
  <c r="V114" i="4" s="1"/>
  <c r="S53" i="4"/>
  <c r="V53" i="4" s="1"/>
  <c r="S18" i="4"/>
  <c r="V18" i="4" s="1"/>
  <c r="S42" i="4"/>
  <c r="V42" i="4" s="1"/>
  <c r="S140" i="4"/>
  <c r="V140" i="4" s="1"/>
  <c r="S113" i="4"/>
  <c r="V113" i="4" s="1"/>
  <c r="S123" i="4"/>
  <c r="V123" i="4" s="1"/>
  <c r="S15" i="4"/>
  <c r="V15" i="4" s="1"/>
  <c r="S69" i="4"/>
  <c r="V69" i="4" s="1"/>
  <c r="S87" i="4"/>
  <c r="V87" i="4" s="1"/>
  <c r="S156" i="4"/>
  <c r="V156" i="4" s="1"/>
  <c r="S94" i="4"/>
  <c r="V94" i="4" s="1"/>
  <c r="S20" i="4"/>
  <c r="V20" i="4" s="1"/>
  <c r="S109" i="4"/>
  <c r="V109" i="4" s="1"/>
  <c r="S60" i="4"/>
  <c r="V60" i="4" s="1"/>
  <c r="S86" i="4"/>
  <c r="V86" i="4" s="1"/>
  <c r="S27" i="4"/>
  <c r="V27" i="4" s="1"/>
  <c r="S91" i="4"/>
  <c r="V91" i="4" s="1"/>
  <c r="S77" i="4"/>
  <c r="V77" i="4" s="1"/>
  <c r="S8" i="4"/>
  <c r="V8" i="4" s="1"/>
  <c r="S135" i="4"/>
  <c r="V135" i="4" s="1"/>
  <c r="S136" i="4"/>
  <c r="V136" i="4" s="1"/>
  <c r="S58" i="4"/>
  <c r="V58" i="4" s="1"/>
  <c r="S120" i="4"/>
  <c r="V120" i="4" s="1"/>
  <c r="S47" i="4"/>
  <c r="V47" i="4" s="1"/>
  <c r="S151" i="4"/>
  <c r="V151" i="4" s="1"/>
  <c r="S40" i="4"/>
  <c r="V40" i="4" s="1"/>
  <c r="S32" i="4"/>
  <c r="V32" i="4" s="1"/>
  <c r="S55" i="4"/>
  <c r="V55" i="4" s="1"/>
  <c r="S89" i="4"/>
  <c r="V89" i="4" s="1"/>
  <c r="S153" i="4"/>
  <c r="V153" i="4" s="1"/>
  <c r="S121" i="4"/>
  <c r="V121" i="4" s="1"/>
  <c r="S104" i="4"/>
  <c r="V104" i="4" s="1"/>
  <c r="S129" i="4"/>
  <c r="V129" i="4" s="1"/>
  <c r="S22" i="4"/>
  <c r="V22" i="4" s="1"/>
  <c r="S90" i="4"/>
  <c r="V90" i="4" s="1"/>
  <c r="S105" i="4"/>
  <c r="V105" i="4" s="1"/>
  <c r="S122" i="4"/>
  <c r="V122" i="4" s="1"/>
  <c r="S149" i="4"/>
  <c r="V149" i="4" s="1"/>
  <c r="S147" i="4"/>
  <c r="V147" i="4" s="1"/>
  <c r="S78" i="4"/>
  <c r="V78" i="4" s="1"/>
  <c r="S98" i="4"/>
  <c r="V98" i="4" s="1"/>
  <c r="S125" i="4"/>
  <c r="V125" i="4" s="1"/>
  <c r="S72" i="4"/>
  <c r="V72" i="4" s="1"/>
  <c r="S16" i="4"/>
  <c r="V16" i="4" s="1"/>
  <c r="S29" i="4"/>
  <c r="V29" i="4" s="1"/>
  <c r="S66" i="4"/>
  <c r="V66" i="4" s="1"/>
  <c r="S126" i="4"/>
  <c r="V126" i="4" s="1"/>
  <c r="S82" i="4"/>
  <c r="V82" i="4" s="1"/>
  <c r="S64" i="4"/>
  <c r="V64" i="4" s="1"/>
  <c r="S115" i="4"/>
  <c r="V115" i="4" s="1"/>
  <c r="S45" i="4"/>
  <c r="V45" i="4" s="1"/>
  <c r="S130" i="4"/>
  <c r="V130" i="4" s="1"/>
  <c r="S99" i="4"/>
  <c r="V99" i="4" s="1"/>
  <c r="S23" i="4"/>
  <c r="V23" i="4" s="1"/>
  <c r="S116" i="4"/>
  <c r="V116" i="4" s="1"/>
  <c r="S139" i="4"/>
  <c r="V139" i="4" s="1"/>
  <c r="S146" i="4"/>
  <c r="V146" i="4" s="1"/>
  <c r="S134" i="4"/>
  <c r="V134" i="4" s="1"/>
  <c r="S81" i="4"/>
  <c r="V81" i="4" s="1"/>
  <c r="S43" i="4"/>
  <c r="V43" i="4" s="1"/>
  <c r="S79" i="4"/>
  <c r="V79" i="4" s="1"/>
  <c r="S112" i="4"/>
  <c r="V112" i="4" s="1"/>
  <c r="S137" i="4"/>
  <c r="V137" i="4" s="1"/>
  <c r="S100" i="4"/>
  <c r="V100" i="4" s="1"/>
  <c r="S65" i="4"/>
  <c r="V65" i="4" s="1"/>
  <c r="S11" i="4"/>
  <c r="V11" i="4" s="1"/>
  <c r="S107" i="4"/>
  <c r="V107" i="4" s="1"/>
  <c r="S119" i="4"/>
  <c r="V119" i="4" s="1"/>
  <c r="S85" i="4"/>
  <c r="V85" i="4" s="1"/>
  <c r="S131" i="4"/>
  <c r="V131" i="4" s="1"/>
  <c r="S74" i="4"/>
  <c r="V74" i="4" s="1"/>
  <c r="S63" i="4"/>
  <c r="V63" i="4" s="1"/>
  <c r="B268" i="2"/>
  <c r="B267" i="2"/>
  <c r="B249" i="2"/>
  <c r="B250" i="2"/>
  <c r="B169" i="2"/>
  <c r="W7" i="5"/>
  <c r="Q7" i="5"/>
  <c r="B163" i="2"/>
  <c r="B181" i="2" s="1"/>
  <c r="B80" i="2" l="1"/>
  <c r="B108" i="2"/>
  <c r="H36" i="1" s="1"/>
  <c r="B59" i="2"/>
  <c r="H25" i="1" s="1"/>
  <c r="W79" i="4"/>
  <c r="AM79" i="4"/>
  <c r="W64" i="4"/>
  <c r="Y64" i="4" s="1"/>
  <c r="AR64" i="4" s="1"/>
  <c r="AM64" i="4"/>
  <c r="AM122" i="4"/>
  <c r="W122" i="4"/>
  <c r="AM151" i="4"/>
  <c r="W151" i="4"/>
  <c r="W109" i="4"/>
  <c r="AM109" i="4"/>
  <c r="W53" i="4"/>
  <c r="Y53" i="4" s="1"/>
  <c r="AR53" i="4" s="1"/>
  <c r="AM53" i="4"/>
  <c r="AM83" i="4"/>
  <c r="W83" i="4"/>
  <c r="Y83" i="4" s="1"/>
  <c r="AR83" i="4" s="1"/>
  <c r="W37" i="4"/>
  <c r="Y37" i="4" s="1"/>
  <c r="AR37" i="4" s="1"/>
  <c r="AM37" i="4"/>
  <c r="W50" i="4"/>
  <c r="Y50" i="4" s="1"/>
  <c r="AR50" i="4" s="1"/>
  <c r="AM50" i="4"/>
  <c r="AM28" i="4"/>
  <c r="W28" i="4"/>
  <c r="Y28" i="4" s="1"/>
  <c r="AR28" i="4" s="1"/>
  <c r="W108" i="4"/>
  <c r="AM108" i="4"/>
  <c r="W25" i="4"/>
  <c r="Y25" i="4" s="1"/>
  <c r="AR25" i="4" s="1"/>
  <c r="AM25" i="4"/>
  <c r="W63" i="4"/>
  <c r="AM63" i="4"/>
  <c r="AM119" i="4"/>
  <c r="W119" i="4"/>
  <c r="Y119" i="4" s="1"/>
  <c r="AR119" i="4" s="1"/>
  <c r="AM139" i="4"/>
  <c r="W139" i="4"/>
  <c r="Y139" i="4" s="1"/>
  <c r="AR139" i="4" s="1"/>
  <c r="W16" i="4"/>
  <c r="Y16" i="4" s="1"/>
  <c r="AR16" i="4" s="1"/>
  <c r="AM16" i="4"/>
  <c r="W104" i="4"/>
  <c r="Y104" i="4" s="1"/>
  <c r="AR104" i="4" s="1"/>
  <c r="AM104" i="4"/>
  <c r="AM135" i="4"/>
  <c r="W135" i="4"/>
  <c r="AM69" i="4"/>
  <c r="W69" i="4"/>
  <c r="W88" i="4"/>
  <c r="Y88" i="4" s="1"/>
  <c r="AR88" i="4" s="1"/>
  <c r="AM88" i="4"/>
  <c r="AM97" i="4"/>
  <c r="W97" i="4"/>
  <c r="AM128" i="4"/>
  <c r="W128" i="4"/>
  <c r="W24" i="4"/>
  <c r="Y24" i="4" s="1"/>
  <c r="AR24" i="4" s="1"/>
  <c r="AM24" i="4"/>
  <c r="AM148" i="4"/>
  <c r="W148" i="4"/>
  <c r="W138" i="4"/>
  <c r="Y138" i="4" s="1"/>
  <c r="AR138" i="4" s="1"/>
  <c r="AM138" i="4"/>
  <c r="W150" i="4"/>
  <c r="Y150" i="4" s="1"/>
  <c r="AR150" i="4" s="1"/>
  <c r="AM150" i="4"/>
  <c r="AM80" i="4"/>
  <c r="W80" i="4"/>
  <c r="Y80" i="4" s="1"/>
  <c r="AR80" i="4" s="1"/>
  <c r="AM74" i="4"/>
  <c r="W74" i="4"/>
  <c r="W107" i="4"/>
  <c r="Y107" i="4" s="1"/>
  <c r="AR107" i="4" s="1"/>
  <c r="AM107" i="4"/>
  <c r="W137" i="4"/>
  <c r="AM137" i="4"/>
  <c r="W81" i="4"/>
  <c r="AM81" i="4"/>
  <c r="AM116" i="4"/>
  <c r="W116" i="4"/>
  <c r="AM45" i="4"/>
  <c r="W45" i="4"/>
  <c r="Y45" i="4" s="1"/>
  <c r="AR45" i="4" s="1"/>
  <c r="W126" i="4"/>
  <c r="AM126" i="4"/>
  <c r="AM72" i="4"/>
  <c r="W72" i="4"/>
  <c r="Y72" i="4" s="1"/>
  <c r="AR72" i="4" s="1"/>
  <c r="AM147" i="4"/>
  <c r="W147" i="4"/>
  <c r="Y147" i="4" s="1"/>
  <c r="AR147" i="4" s="1"/>
  <c r="AM90" i="4"/>
  <c r="W90" i="4"/>
  <c r="W121" i="4"/>
  <c r="AM121" i="4"/>
  <c r="AM32" i="4"/>
  <c r="W32" i="4"/>
  <c r="Y32" i="4" s="1"/>
  <c r="AR32" i="4" s="1"/>
  <c r="W120" i="4"/>
  <c r="Y120" i="4" s="1"/>
  <c r="AR120" i="4" s="1"/>
  <c r="AM120" i="4"/>
  <c r="W8" i="4"/>
  <c r="Y8" i="4" s="1"/>
  <c r="AR8" i="4" s="1"/>
  <c r="AM8" i="4"/>
  <c r="AM86" i="4"/>
  <c r="W86" i="4"/>
  <c r="W94" i="4"/>
  <c r="AM94" i="4"/>
  <c r="W15" i="4"/>
  <c r="Y15" i="4" s="1"/>
  <c r="AR15" i="4" s="1"/>
  <c r="AM15" i="4"/>
  <c r="AM42" i="4"/>
  <c r="W42" i="4"/>
  <c r="Y42" i="4" s="1"/>
  <c r="AR42" i="4" s="1"/>
  <c r="W59" i="4"/>
  <c r="AM59" i="4"/>
  <c r="W132" i="4"/>
  <c r="Y132" i="4" s="1"/>
  <c r="AR132" i="4" s="1"/>
  <c r="AM132" i="4"/>
  <c r="W30" i="4"/>
  <c r="Y30" i="4" s="1"/>
  <c r="AR30" i="4" s="1"/>
  <c r="AM30" i="4"/>
  <c r="AM7" i="4"/>
  <c r="W7" i="4"/>
  <c r="Y7" i="4" s="1"/>
  <c r="AR7" i="4" s="1"/>
  <c r="AM93" i="4"/>
  <c r="W93" i="4"/>
  <c r="W17" i="4"/>
  <c r="Y17" i="4" s="1"/>
  <c r="AR17" i="4" s="1"/>
  <c r="AM17" i="4"/>
  <c r="W44" i="4"/>
  <c r="Y44" i="4" s="1"/>
  <c r="AR44" i="4" s="1"/>
  <c r="AM44" i="4"/>
  <c r="AM117" i="4"/>
  <c r="W117" i="4"/>
  <c r="AM101" i="4"/>
  <c r="W101" i="4"/>
  <c r="W145" i="4"/>
  <c r="AM145" i="4"/>
  <c r="AM52" i="4"/>
  <c r="W52" i="4"/>
  <c r="Y52" i="4" s="1"/>
  <c r="AR52" i="4" s="1"/>
  <c r="AM33" i="4"/>
  <c r="W33" i="4"/>
  <c r="Y33" i="4" s="1"/>
  <c r="AR33" i="4" s="1"/>
  <c r="AM14" i="4"/>
  <c r="W14" i="4"/>
  <c r="Y14" i="4" s="1"/>
  <c r="AR14" i="4" s="1"/>
  <c r="AM31" i="4"/>
  <c r="W31" i="4"/>
  <c r="Y31" i="4" s="1"/>
  <c r="AR31" i="4" s="1"/>
  <c r="W143" i="4"/>
  <c r="AM143" i="4"/>
  <c r="W141" i="4"/>
  <c r="AM141" i="4"/>
  <c r="AM36" i="4"/>
  <c r="W36" i="4"/>
  <c r="Y36" i="4" s="1"/>
  <c r="AR36" i="4" s="1"/>
  <c r="AM67" i="4"/>
  <c r="W67" i="4"/>
  <c r="W154" i="4"/>
  <c r="AM154" i="4"/>
  <c r="W61" i="4"/>
  <c r="AM61" i="4"/>
  <c r="AA10" i="5"/>
  <c r="AB10" i="5"/>
  <c r="BA10" i="5"/>
  <c r="BB10" i="5"/>
  <c r="H32" i="1"/>
  <c r="B97" i="2"/>
  <c r="AM85" i="4"/>
  <c r="W85" i="4"/>
  <c r="AM99" i="4"/>
  <c r="W99" i="4"/>
  <c r="Y99" i="4" s="1"/>
  <c r="AR99" i="4" s="1"/>
  <c r="W29" i="4"/>
  <c r="Y29" i="4" s="1"/>
  <c r="AR29" i="4" s="1"/>
  <c r="AM29" i="4"/>
  <c r="W89" i="4"/>
  <c r="AM89" i="4"/>
  <c r="AM91" i="4"/>
  <c r="W91" i="4"/>
  <c r="Y91" i="4" s="1"/>
  <c r="AR91" i="4" s="1"/>
  <c r="W113" i="4"/>
  <c r="AM113" i="4"/>
  <c r="AM76" i="4"/>
  <c r="W76" i="4"/>
  <c r="W41" i="4"/>
  <c r="Y41" i="4" s="1"/>
  <c r="AR41" i="4" s="1"/>
  <c r="AM41" i="4"/>
  <c r="AM96" i="4"/>
  <c r="W96" i="4"/>
  <c r="AM56" i="4"/>
  <c r="W56" i="4"/>
  <c r="AM102" i="4"/>
  <c r="W102" i="4"/>
  <c r="AM95" i="4"/>
  <c r="W95" i="4"/>
  <c r="W43" i="4"/>
  <c r="Y43" i="4" s="1"/>
  <c r="AR43" i="4" s="1"/>
  <c r="AM43" i="4"/>
  <c r="W82" i="4"/>
  <c r="AM82" i="4"/>
  <c r="AM105" i="4"/>
  <c r="W105" i="4"/>
  <c r="W47" i="4"/>
  <c r="Y47" i="4" s="1"/>
  <c r="AR47" i="4" s="1"/>
  <c r="AM47" i="4"/>
  <c r="W20" i="4"/>
  <c r="Y20" i="4" s="1"/>
  <c r="AR20" i="4" s="1"/>
  <c r="AM20" i="4"/>
  <c r="W114" i="4"/>
  <c r="AM114" i="4"/>
  <c r="AM118" i="4"/>
  <c r="W118" i="4"/>
  <c r="AM144" i="4"/>
  <c r="W144" i="4"/>
  <c r="W84" i="4"/>
  <c r="Y84" i="4" s="1"/>
  <c r="AR84" i="4" s="1"/>
  <c r="AM84" i="4"/>
  <c r="W70" i="4"/>
  <c r="Y70" i="4" s="1"/>
  <c r="AR70" i="4" s="1"/>
  <c r="AM70" i="4"/>
  <c r="AM54" i="4"/>
  <c r="W54" i="4"/>
  <c r="AM131" i="4"/>
  <c r="W131" i="4"/>
  <c r="W11" i="4"/>
  <c r="Y11" i="4" s="1"/>
  <c r="AR11" i="4" s="1"/>
  <c r="AM11" i="4"/>
  <c r="AM112" i="4"/>
  <c r="W112" i="4"/>
  <c r="W134" i="4"/>
  <c r="AM134" i="4"/>
  <c r="W23" i="4"/>
  <c r="Y23" i="4" s="1"/>
  <c r="AR23" i="4" s="1"/>
  <c r="AM23" i="4"/>
  <c r="AM115" i="4"/>
  <c r="W115" i="4"/>
  <c r="Y115" i="4" s="1"/>
  <c r="AR115" i="4" s="1"/>
  <c r="W66" i="4"/>
  <c r="AM66" i="4"/>
  <c r="AM125" i="4"/>
  <c r="W125" i="4"/>
  <c r="AM149" i="4"/>
  <c r="W149" i="4"/>
  <c r="W22" i="4"/>
  <c r="Y22" i="4" s="1"/>
  <c r="AR22" i="4" s="1"/>
  <c r="AM22" i="4"/>
  <c r="AM153" i="4"/>
  <c r="W153" i="4"/>
  <c r="Y153" i="4" s="1"/>
  <c r="AR153" i="4" s="1"/>
  <c r="W40" i="4"/>
  <c r="Y40" i="4" s="1"/>
  <c r="AR40" i="4" s="1"/>
  <c r="AM40" i="4"/>
  <c r="AM58" i="4"/>
  <c r="W58" i="4"/>
  <c r="AM77" i="4"/>
  <c r="W77" i="4"/>
  <c r="W60" i="4"/>
  <c r="AM60" i="4"/>
  <c r="W156" i="4"/>
  <c r="AM156" i="4"/>
  <c r="W123" i="4"/>
  <c r="AM123" i="4"/>
  <c r="AM18" i="4"/>
  <c r="W18" i="4"/>
  <c r="Y18" i="4" s="1"/>
  <c r="AR18" i="4" s="1"/>
  <c r="W110" i="4"/>
  <c r="AM110" i="4"/>
  <c r="AM127" i="4"/>
  <c r="W127" i="4"/>
  <c r="W26" i="4"/>
  <c r="Y26" i="4" s="1"/>
  <c r="AR26" i="4" s="1"/>
  <c r="AM26" i="4"/>
  <c r="AM75" i="4"/>
  <c r="W75" i="4"/>
  <c r="W124" i="4"/>
  <c r="AM124" i="4"/>
  <c r="AM38" i="4"/>
  <c r="W38" i="4"/>
  <c r="Y38" i="4" s="1"/>
  <c r="AR38" i="4" s="1"/>
  <c r="AM152" i="4"/>
  <c r="W152" i="4"/>
  <c r="AM133" i="4"/>
  <c r="W133" i="4"/>
  <c r="W73" i="4"/>
  <c r="AM73" i="4"/>
  <c r="AM92" i="4"/>
  <c r="W92" i="4"/>
  <c r="AM155" i="4"/>
  <c r="W155" i="4"/>
  <c r="W13" i="4"/>
  <c r="Y13" i="4" s="1"/>
  <c r="AR13" i="4" s="1"/>
  <c r="AM13" i="4"/>
  <c r="W157" i="4"/>
  <c r="Y157" i="4" s="1"/>
  <c r="AR157" i="4" s="1"/>
  <c r="AM157" i="4"/>
  <c r="AM111" i="4"/>
  <c r="W111" i="4"/>
  <c r="W49" i="4"/>
  <c r="Y49" i="4" s="1"/>
  <c r="AR49" i="4" s="1"/>
  <c r="AM49" i="4"/>
  <c r="AM19" i="4"/>
  <c r="W19" i="4"/>
  <c r="Y19" i="4" s="1"/>
  <c r="AR19" i="4" s="1"/>
  <c r="W71" i="4"/>
  <c r="Y71" i="4" s="1"/>
  <c r="AR71" i="4" s="1"/>
  <c r="AM71" i="4"/>
  <c r="AM103" i="4"/>
  <c r="W103" i="4"/>
  <c r="Y103" i="4" s="1"/>
  <c r="AR103" i="4" s="1"/>
  <c r="W12" i="4"/>
  <c r="Y12" i="4" s="1"/>
  <c r="AR12" i="4" s="1"/>
  <c r="AM12" i="4"/>
  <c r="W21" i="4"/>
  <c r="Y21" i="4" s="1"/>
  <c r="AR21" i="4" s="1"/>
  <c r="AM21" i="4"/>
  <c r="AL10" i="5"/>
  <c r="AK10" i="5"/>
  <c r="AX10" i="5"/>
  <c r="AY10" i="5"/>
  <c r="U10" i="5"/>
  <c r="V10" i="5"/>
  <c r="AM65" i="4"/>
  <c r="W65" i="4"/>
  <c r="AM146" i="4"/>
  <c r="W146" i="4"/>
  <c r="Y146" i="4" s="1"/>
  <c r="AR146" i="4" s="1"/>
  <c r="W98" i="4"/>
  <c r="AM98" i="4"/>
  <c r="AM129" i="4"/>
  <c r="W129" i="4"/>
  <c r="AM136" i="4"/>
  <c r="W136" i="4"/>
  <c r="W87" i="4"/>
  <c r="Y87" i="4" s="1"/>
  <c r="AR87" i="4" s="1"/>
  <c r="AM87" i="4"/>
  <c r="W34" i="4"/>
  <c r="Y34" i="4" s="1"/>
  <c r="AR34" i="4" s="1"/>
  <c r="AM34" i="4"/>
  <c r="W48" i="4"/>
  <c r="Y48" i="4" s="1"/>
  <c r="AR48" i="4" s="1"/>
  <c r="AM48" i="4"/>
  <c r="W68" i="4"/>
  <c r="Y68" i="4" s="1"/>
  <c r="AR68" i="4" s="1"/>
  <c r="AM68" i="4"/>
  <c r="AM46" i="4"/>
  <c r="W46" i="4"/>
  <c r="Y46" i="4" s="1"/>
  <c r="AR46" i="4" s="1"/>
  <c r="AM62" i="4"/>
  <c r="W62" i="4"/>
  <c r="W39" i="4"/>
  <c r="Y39" i="4" s="1"/>
  <c r="AR39" i="4" s="1"/>
  <c r="AM39" i="4"/>
  <c r="W9" i="4"/>
  <c r="Y9" i="4" s="1"/>
  <c r="AR9" i="4" s="1"/>
  <c r="AM9" i="4"/>
  <c r="AM100" i="4"/>
  <c r="W100" i="4"/>
  <c r="Y100" i="4" s="1"/>
  <c r="AR100" i="4" s="1"/>
  <c r="AM130" i="4"/>
  <c r="W130" i="4"/>
  <c r="AM78" i="4"/>
  <c r="W78" i="4"/>
  <c r="W55" i="4"/>
  <c r="AM55" i="4"/>
  <c r="W27" i="4"/>
  <c r="Y27" i="4" s="1"/>
  <c r="AR27" i="4" s="1"/>
  <c r="AM27" i="4"/>
  <c r="AM140" i="4"/>
  <c r="W140" i="4"/>
  <c r="W106" i="4"/>
  <c r="AM106" i="4"/>
  <c r="W35" i="4"/>
  <c r="Y35" i="4" s="1"/>
  <c r="AR35" i="4" s="1"/>
  <c r="AM35" i="4"/>
  <c r="W10" i="4"/>
  <c r="Y10" i="4" s="1"/>
  <c r="AR10" i="4" s="1"/>
  <c r="AM10" i="4"/>
  <c r="W51" i="4"/>
  <c r="Y51" i="4" s="1"/>
  <c r="AR51" i="4" s="1"/>
  <c r="AM51" i="4"/>
  <c r="W57" i="4"/>
  <c r="AM57" i="4"/>
  <c r="AM142" i="4"/>
  <c r="W142" i="4"/>
  <c r="AV10" i="5"/>
  <c r="AU10" i="5"/>
  <c r="BC10" i="5"/>
  <c r="B64" i="2"/>
  <c r="B66" i="2"/>
  <c r="B67" i="2" s="1"/>
  <c r="AV107" i="4"/>
  <c r="U107" i="4"/>
  <c r="AV116" i="4"/>
  <c r="U116" i="4"/>
  <c r="AV45" i="4"/>
  <c r="U45" i="4"/>
  <c r="AV72" i="4"/>
  <c r="U72" i="4"/>
  <c r="AV90" i="4"/>
  <c r="U90" i="4"/>
  <c r="AV32" i="4"/>
  <c r="U32" i="4"/>
  <c r="AV86" i="4"/>
  <c r="U86" i="4"/>
  <c r="AV42" i="4"/>
  <c r="U42" i="4"/>
  <c r="AV132" i="4"/>
  <c r="U132" i="4"/>
  <c r="U7" i="4"/>
  <c r="AV7" i="4"/>
  <c r="AV17" i="4"/>
  <c r="U17" i="4"/>
  <c r="U101" i="4"/>
  <c r="AV101" i="4"/>
  <c r="AV52" i="4"/>
  <c r="U52" i="4"/>
  <c r="AV14" i="4"/>
  <c r="U14" i="4"/>
  <c r="AV143" i="4"/>
  <c r="U143" i="4"/>
  <c r="AV36" i="4"/>
  <c r="U36" i="4"/>
  <c r="AV154" i="4"/>
  <c r="U154" i="4"/>
  <c r="X185" i="5"/>
  <c r="Y185" i="5"/>
  <c r="X310" i="5"/>
  <c r="Y310" i="5"/>
  <c r="X264" i="5"/>
  <c r="Y264" i="5"/>
  <c r="Y202" i="5"/>
  <c r="X202" i="5"/>
  <c r="X489" i="5"/>
  <c r="Y489" i="5"/>
  <c r="Y250" i="5"/>
  <c r="X250" i="5"/>
  <c r="X232" i="5"/>
  <c r="Y232" i="5"/>
  <c r="X431" i="5"/>
  <c r="Y431" i="5"/>
  <c r="Y363" i="5"/>
  <c r="X363" i="5"/>
  <c r="Y51" i="5"/>
  <c r="X51" i="5"/>
  <c r="X107" i="5"/>
  <c r="Y107" i="5"/>
  <c r="X225" i="5"/>
  <c r="Y225" i="5"/>
  <c r="X91" i="5"/>
  <c r="Y91" i="5"/>
  <c r="X132" i="5"/>
  <c r="Y132" i="5"/>
  <c r="X12" i="5"/>
  <c r="Y12" i="5"/>
  <c r="X258" i="5"/>
  <c r="Y258" i="5"/>
  <c r="Y513" i="5"/>
  <c r="X513" i="5"/>
  <c r="Y316" i="5"/>
  <c r="X316" i="5"/>
  <c r="X512" i="5"/>
  <c r="Y512" i="5"/>
  <c r="X100" i="5"/>
  <c r="Y100" i="5"/>
  <c r="X347" i="5"/>
  <c r="Y347" i="5"/>
  <c r="Y533" i="5"/>
  <c r="X533" i="5"/>
  <c r="X111" i="5"/>
  <c r="Y111" i="5"/>
  <c r="X303" i="5"/>
  <c r="Y303" i="5"/>
  <c r="X197" i="5"/>
  <c r="Y197" i="5"/>
  <c r="Y176" i="5"/>
  <c r="X176" i="5"/>
  <c r="Y367" i="5"/>
  <c r="X367" i="5"/>
  <c r="X141" i="5"/>
  <c r="Y141" i="5"/>
  <c r="X211" i="5"/>
  <c r="Y211" i="5"/>
  <c r="Y35" i="5"/>
  <c r="X35" i="5"/>
  <c r="X502" i="5"/>
  <c r="Y502" i="5"/>
  <c r="X95" i="5"/>
  <c r="Y95" i="5"/>
  <c r="Y407" i="5"/>
  <c r="X407" i="5"/>
  <c r="X172" i="5"/>
  <c r="Y172" i="5"/>
  <c r="X203" i="5"/>
  <c r="Y203" i="5"/>
  <c r="Y323" i="5"/>
  <c r="X323" i="5"/>
  <c r="Y28" i="5"/>
  <c r="X28" i="5"/>
  <c r="Y515" i="5"/>
  <c r="X515" i="5"/>
  <c r="Y255" i="5"/>
  <c r="X255" i="5"/>
  <c r="Y522" i="5"/>
  <c r="X522" i="5"/>
  <c r="X237" i="5"/>
  <c r="Y237" i="5"/>
  <c r="Y98" i="5"/>
  <c r="X98" i="5"/>
  <c r="Y233" i="5"/>
  <c r="X233" i="5"/>
  <c r="Y165" i="5"/>
  <c r="X165" i="5"/>
  <c r="X267" i="5"/>
  <c r="Y267" i="5"/>
  <c r="X173" i="5"/>
  <c r="Y173" i="5"/>
  <c r="X368" i="5"/>
  <c r="Y368" i="5"/>
  <c r="X215" i="5"/>
  <c r="Y215" i="5"/>
  <c r="X19" i="5"/>
  <c r="Y19" i="5"/>
  <c r="Y101" i="5"/>
  <c r="X101" i="5"/>
  <c r="Y480" i="5"/>
  <c r="X480" i="5"/>
  <c r="Y180" i="5"/>
  <c r="X180" i="5"/>
  <c r="Y418" i="5"/>
  <c r="X418" i="5"/>
  <c r="Y10" i="5"/>
  <c r="X10" i="5"/>
  <c r="X179" i="5"/>
  <c r="Y179" i="5"/>
  <c r="Y187" i="5"/>
  <c r="X187" i="5"/>
  <c r="Y343" i="5"/>
  <c r="X343" i="5"/>
  <c r="X388" i="5"/>
  <c r="Y388" i="5"/>
  <c r="X151" i="5"/>
  <c r="Y151" i="5"/>
  <c r="X23" i="5"/>
  <c r="Y23" i="5"/>
  <c r="X501" i="5"/>
  <c r="Y501" i="5"/>
  <c r="Y376" i="5"/>
  <c r="X376" i="5"/>
  <c r="X400" i="5"/>
  <c r="Y400" i="5"/>
  <c r="Y7" i="5"/>
  <c r="X7" i="5"/>
  <c r="AV131" i="4"/>
  <c r="U131" i="4"/>
  <c r="AV11" i="4"/>
  <c r="U11" i="4"/>
  <c r="AV112" i="4"/>
  <c r="U112" i="4"/>
  <c r="AV134" i="4"/>
  <c r="U134" i="4"/>
  <c r="AV23" i="4"/>
  <c r="U23" i="4"/>
  <c r="AV115" i="4"/>
  <c r="U115" i="4"/>
  <c r="AV66" i="4"/>
  <c r="U66" i="4"/>
  <c r="AV125" i="4"/>
  <c r="U125" i="4"/>
  <c r="AV149" i="4"/>
  <c r="U149" i="4"/>
  <c r="AV22" i="4"/>
  <c r="U22" i="4"/>
  <c r="AV153" i="4"/>
  <c r="U153" i="4"/>
  <c r="AV40" i="4"/>
  <c r="U40" i="4"/>
  <c r="AV58" i="4"/>
  <c r="U58" i="4"/>
  <c r="AV77" i="4"/>
  <c r="U77" i="4"/>
  <c r="AV60" i="4"/>
  <c r="U60" i="4"/>
  <c r="AV156" i="4"/>
  <c r="U156" i="4"/>
  <c r="AV123" i="4"/>
  <c r="U123" i="4"/>
  <c r="AV18" i="4"/>
  <c r="U18" i="4"/>
  <c r="AV110" i="4"/>
  <c r="U110" i="4"/>
  <c r="AV127" i="4"/>
  <c r="U127" i="4"/>
  <c r="AV26" i="4"/>
  <c r="U26" i="4"/>
  <c r="U75" i="4"/>
  <c r="AV75" i="4"/>
  <c r="AV124" i="4"/>
  <c r="U124" i="4"/>
  <c r="AV38" i="4"/>
  <c r="U38" i="4"/>
  <c r="AV152" i="4"/>
  <c r="U152" i="4"/>
  <c r="AV133" i="4"/>
  <c r="U133" i="4"/>
  <c r="AV73" i="4"/>
  <c r="U73" i="4"/>
  <c r="AV92" i="4"/>
  <c r="U92" i="4"/>
  <c r="AV155" i="4"/>
  <c r="U155" i="4"/>
  <c r="AV13" i="4"/>
  <c r="U13" i="4"/>
  <c r="AV157" i="4"/>
  <c r="U157" i="4"/>
  <c r="AV111" i="4"/>
  <c r="U111" i="4"/>
  <c r="AV49" i="4"/>
  <c r="U49" i="4"/>
  <c r="AV19" i="4"/>
  <c r="U19" i="4"/>
  <c r="AV71" i="4"/>
  <c r="U71" i="4"/>
  <c r="U103" i="4"/>
  <c r="AV103" i="4"/>
  <c r="AV12" i="4"/>
  <c r="U12" i="4"/>
  <c r="AV21" i="4"/>
  <c r="U21" i="4"/>
  <c r="AG393" i="5"/>
  <c r="AG181" i="5"/>
  <c r="AG352" i="5"/>
  <c r="AG96" i="5"/>
  <c r="AG367" i="5"/>
  <c r="AG324" i="5"/>
  <c r="AG72" i="5"/>
  <c r="AG220" i="5"/>
  <c r="AG158" i="5"/>
  <c r="AG463" i="5"/>
  <c r="AG184" i="5"/>
  <c r="AG247" i="5"/>
  <c r="AG164" i="5"/>
  <c r="B74" i="5"/>
  <c r="AG88" i="5"/>
  <c r="AG134" i="5"/>
  <c r="AG192" i="5"/>
  <c r="AG165" i="5"/>
  <c r="AG13" i="5"/>
  <c r="AG411" i="5"/>
  <c r="AG298" i="5"/>
  <c r="AG29" i="5"/>
  <c r="AG155" i="5"/>
  <c r="AG112" i="5"/>
  <c r="AG213" i="5"/>
  <c r="AG84" i="5"/>
  <c r="AG374" i="5"/>
  <c r="AG186" i="5"/>
  <c r="AG274" i="5"/>
  <c r="AG89" i="5"/>
  <c r="AG450" i="5"/>
  <c r="AG448" i="5"/>
  <c r="AG483" i="5"/>
  <c r="AG94" i="5"/>
  <c r="AG30" i="5"/>
  <c r="AG236" i="5"/>
  <c r="AG321" i="5"/>
  <c r="AG170" i="5"/>
  <c r="AG98" i="5"/>
  <c r="AG416" i="5"/>
  <c r="AG378" i="5"/>
  <c r="AG22" i="5"/>
  <c r="AG243" i="5"/>
  <c r="AG116" i="5"/>
  <c r="AG66" i="5"/>
  <c r="AG377" i="5"/>
  <c r="AG110" i="5"/>
  <c r="AG195" i="5"/>
  <c r="AG355" i="5"/>
  <c r="AG219" i="5"/>
  <c r="AG149" i="5"/>
  <c r="AG35" i="5"/>
  <c r="AG143" i="5"/>
  <c r="AG360" i="5"/>
  <c r="AG252" i="5"/>
  <c r="AG468" i="5"/>
  <c r="AG269" i="5"/>
  <c r="AG266" i="5"/>
  <c r="AG150" i="5"/>
  <c r="AG451" i="5"/>
  <c r="AG364" i="5"/>
  <c r="AG383" i="5"/>
  <c r="AG182" i="5"/>
  <c r="AG496" i="5"/>
  <c r="AG510" i="5"/>
  <c r="AG46" i="5"/>
  <c r="AG418" i="5"/>
  <c r="AG199" i="5"/>
  <c r="AG81" i="5"/>
  <c r="AG71" i="5"/>
  <c r="AG249" i="5"/>
  <c r="AG459" i="5"/>
  <c r="AG331" i="5"/>
  <c r="AG441" i="5"/>
  <c r="AG508" i="5"/>
  <c r="AG458" i="5"/>
  <c r="AG506" i="5"/>
  <c r="AG144" i="5"/>
  <c r="AG351" i="5"/>
  <c r="AG261" i="5"/>
  <c r="AG407" i="5"/>
  <c r="AG348" i="5"/>
  <c r="AG500" i="5"/>
  <c r="AG415" i="5"/>
  <c r="AG344" i="5"/>
  <c r="AG555" i="5"/>
  <c r="AG193" i="5"/>
  <c r="AG54" i="5"/>
  <c r="AG521" i="5"/>
  <c r="AG73" i="5"/>
  <c r="AG311" i="5"/>
  <c r="AG163" i="5"/>
  <c r="AG504" i="5"/>
  <c r="AG542" i="5"/>
  <c r="AG475" i="5"/>
  <c r="AG502" i="5"/>
  <c r="AG467" i="5"/>
  <c r="AG205" i="5"/>
  <c r="AG400" i="5"/>
  <c r="AG420" i="5"/>
  <c r="AG290" i="5"/>
  <c r="AG47" i="5"/>
  <c r="AG145" i="5"/>
  <c r="AG267" i="5"/>
  <c r="AG361" i="5"/>
  <c r="AG142" i="5"/>
  <c r="AG183" i="5"/>
  <c r="AG226" i="5"/>
  <c r="AG187" i="5"/>
  <c r="AG75" i="5"/>
  <c r="AG68" i="5"/>
  <c r="AG52" i="5"/>
  <c r="AG224" i="5"/>
  <c r="AG547" i="5"/>
  <c r="AG190" i="5"/>
  <c r="AG173" i="5"/>
  <c r="AG437" i="5"/>
  <c r="AG436" i="5"/>
  <c r="AG172" i="5"/>
  <c r="AG40" i="5"/>
  <c r="AG336" i="5"/>
  <c r="AG390" i="5"/>
  <c r="AG202" i="5"/>
  <c r="AG534" i="5"/>
  <c r="AG365" i="5"/>
  <c r="AG325" i="5"/>
  <c r="AG117" i="5"/>
  <c r="AG526" i="5"/>
  <c r="AG453" i="5"/>
  <c r="AG97" i="5"/>
  <c r="AG101" i="5"/>
  <c r="AG515" i="5"/>
  <c r="AG303" i="5"/>
  <c r="AG211" i="5"/>
  <c r="AG301" i="5"/>
  <c r="AG215" i="5"/>
  <c r="AG412" i="5"/>
  <c r="AG295" i="5"/>
  <c r="AG346" i="5"/>
  <c r="AG402" i="5"/>
  <c r="AG42" i="5"/>
  <c r="AG503" i="5"/>
  <c r="AG449" i="5"/>
  <c r="AG85" i="5"/>
  <c r="AG131" i="5"/>
  <c r="AG111" i="5"/>
  <c r="AG532" i="5"/>
  <c r="AG341" i="5"/>
  <c r="AG241" i="5"/>
  <c r="AG345" i="5"/>
  <c r="AG263" i="5"/>
  <c r="AG444" i="5"/>
  <c r="AG105" i="5"/>
  <c r="AG552" i="5"/>
  <c r="AG357" i="5"/>
  <c r="AG371" i="5"/>
  <c r="AG498" i="5"/>
  <c r="AG93" i="5"/>
  <c r="AG197" i="5"/>
  <c r="AG27" i="5"/>
  <c r="AG80" i="5"/>
  <c r="AG115" i="5"/>
  <c r="AG489" i="5"/>
  <c r="AG442" i="5"/>
  <c r="AG476" i="5"/>
  <c r="AG531" i="5"/>
  <c r="AG545" i="5"/>
  <c r="AG512" i="5"/>
  <c r="AG445" i="5"/>
  <c r="AG353" i="5"/>
  <c r="AG179" i="5"/>
  <c r="AG39" i="5"/>
  <c r="AG235" i="5"/>
  <c r="AG491" i="5"/>
  <c r="AG537" i="5"/>
  <c r="AG517" i="5"/>
  <c r="AG394" i="5"/>
  <c r="AG25" i="5"/>
  <c r="AG139" i="5"/>
  <c r="AG315" i="5"/>
  <c r="AG556" i="5"/>
  <c r="AG369" i="5"/>
  <c r="AG559" i="5"/>
  <c r="AG388" i="5"/>
  <c r="AG434" i="5"/>
  <c r="AG514" i="5"/>
  <c r="AG44" i="5"/>
  <c r="AG160" i="5"/>
  <c r="AG466" i="5"/>
  <c r="AG395" i="5"/>
  <c r="AG191" i="5"/>
  <c r="AG140" i="5"/>
  <c r="AG478" i="5"/>
  <c r="AG76" i="5"/>
  <c r="AG95" i="5"/>
  <c r="AG350" i="5"/>
  <c r="AG106" i="5"/>
  <c r="AG340" i="5"/>
  <c r="AG232" i="5"/>
  <c r="AG404" i="5"/>
  <c r="AG318" i="5"/>
  <c r="AG276" i="5"/>
  <c r="AG544" i="5"/>
  <c r="AG379" i="5"/>
  <c r="AG399" i="5"/>
  <c r="AG154" i="5"/>
  <c r="AG471" i="5"/>
  <c r="AG138" i="5"/>
  <c r="AG372" i="5"/>
  <c r="AG530" i="5"/>
  <c r="AG157" i="5"/>
  <c r="AG20" i="5"/>
  <c r="AG306" i="5"/>
  <c r="AG322" i="5"/>
  <c r="AG148" i="5"/>
  <c r="AG310" i="5"/>
  <c r="AG465" i="5"/>
  <c r="AG258" i="5"/>
  <c r="AG501" i="5"/>
  <c r="AG147" i="5"/>
  <c r="AG285" i="5"/>
  <c r="AG505" i="5"/>
  <c r="AG49" i="5"/>
  <c r="AG535" i="5"/>
  <c r="AG177" i="5"/>
  <c r="AG329" i="5"/>
  <c r="AG487" i="5"/>
  <c r="AG440" i="5"/>
  <c r="AG278" i="5"/>
  <c r="AG171" i="5"/>
  <c r="AG474" i="5"/>
  <c r="AG438" i="5"/>
  <c r="AG273" i="5"/>
  <c r="AG349" i="5"/>
  <c r="AG516" i="5"/>
  <c r="AG507" i="5"/>
  <c r="AG433" i="5"/>
  <c r="AG107" i="5"/>
  <c r="AG86" i="5"/>
  <c r="AG53" i="5"/>
  <c r="AG221" i="5"/>
  <c r="AG79" i="5"/>
  <c r="AG533" i="5"/>
  <c r="AG370" i="5"/>
  <c r="AG100" i="5"/>
  <c r="AG12" i="5"/>
  <c r="AG338" i="5"/>
  <c r="AG228" i="5"/>
  <c r="AG282" i="5"/>
  <c r="AG188" i="5"/>
  <c r="AG122" i="5"/>
  <c r="AG426" i="5"/>
  <c r="AG166" i="5"/>
  <c r="AG334" i="5"/>
  <c r="AG246" i="5"/>
  <c r="AG203" i="5"/>
  <c r="AG244" i="5"/>
  <c r="AG366" i="5"/>
  <c r="AG135" i="5"/>
  <c r="AG114" i="5"/>
  <c r="AG391" i="5"/>
  <c r="AG271" i="5"/>
  <c r="AG169" i="5"/>
  <c r="AG196" i="5"/>
  <c r="AG41" i="5"/>
  <c r="AG527" i="5"/>
  <c r="AG528" i="5"/>
  <c r="AG132" i="5"/>
  <c r="AG330" i="5"/>
  <c r="AG55" i="5"/>
  <c r="AG245" i="5"/>
  <c r="AG206" i="5"/>
  <c r="AG408" i="5"/>
  <c r="AG262" i="5"/>
  <c r="AG461" i="5"/>
  <c r="AG470" i="5"/>
  <c r="AG541" i="5"/>
  <c r="AG396" i="5"/>
  <c r="AG477" i="5"/>
  <c r="AG554" i="5"/>
  <c r="AG121" i="5"/>
  <c r="AG33" i="5"/>
  <c r="AG485" i="5"/>
  <c r="AG64" i="5"/>
  <c r="AG230" i="5"/>
  <c r="AG120" i="5"/>
  <c r="AG137" i="5"/>
  <c r="AG289" i="5"/>
  <c r="AG560" i="5"/>
  <c r="AG540" i="5"/>
  <c r="AG223" i="5"/>
  <c r="AG287" i="5"/>
  <c r="AG189" i="5"/>
  <c r="AG61" i="5"/>
  <c r="AG387" i="5"/>
  <c r="AG293" i="5"/>
  <c r="AG439" i="5"/>
  <c r="AG422" i="5"/>
  <c r="AG525" i="5"/>
  <c r="AG380" i="5"/>
  <c r="AG292" i="5"/>
  <c r="AG494" i="5"/>
  <c r="AG104" i="5"/>
  <c r="AG119" i="5"/>
  <c r="AG34" i="5"/>
  <c r="AG495" i="5"/>
  <c r="AG279" i="5"/>
  <c r="AG397" i="5"/>
  <c r="AG259" i="5"/>
  <c r="AG410" i="5"/>
  <c r="AG109" i="5"/>
  <c r="AG339" i="5"/>
  <c r="AG354" i="5"/>
  <c r="AG45" i="5"/>
  <c r="AG256" i="5"/>
  <c r="AG26" i="5"/>
  <c r="AG82" i="5"/>
  <c r="AG430" i="5"/>
  <c r="AG65" i="5"/>
  <c r="AG307" i="5"/>
  <c r="AG208" i="5"/>
  <c r="AG314" i="5"/>
  <c r="AG214" i="5"/>
  <c r="AG456" i="5"/>
  <c r="AG136" i="5"/>
  <c r="AG543" i="5"/>
  <c r="AG304" i="5"/>
  <c r="AG272" i="5"/>
  <c r="AG48" i="5"/>
  <c r="AG457" i="5"/>
  <c r="AG180" i="5"/>
  <c r="AG62" i="5"/>
  <c r="AG405" i="5"/>
  <c r="AG553" i="5"/>
  <c r="AG275" i="5"/>
  <c r="AG257" i="5"/>
  <c r="AG233" i="5"/>
  <c r="AG37" i="5"/>
  <c r="AG99" i="5"/>
  <c r="AG58" i="5"/>
  <c r="AG239" i="5"/>
  <c r="AG429" i="5"/>
  <c r="AG201" i="5"/>
  <c r="AG67" i="5"/>
  <c r="AG36" i="5"/>
  <c r="AG60" i="5"/>
  <c r="AG227" i="5"/>
  <c r="AG92" i="5"/>
  <c r="AG43" i="5"/>
  <c r="AG337" i="5"/>
  <c r="AG251" i="5"/>
  <c r="AG432" i="5"/>
  <c r="AG519" i="5"/>
  <c r="AG392" i="5"/>
  <c r="AG305" i="5"/>
  <c r="AG469" i="5"/>
  <c r="AG493" i="5"/>
  <c r="AG320" i="5"/>
  <c r="AG481" i="5"/>
  <c r="AG490" i="5"/>
  <c r="AG21" i="5"/>
  <c r="AG300" i="5"/>
  <c r="AG124" i="5"/>
  <c r="AG435" i="5"/>
  <c r="AG447" i="5"/>
  <c r="AG123" i="5"/>
  <c r="AG332" i="5"/>
  <c r="AG240" i="5"/>
  <c r="AG87" i="5"/>
  <c r="AG102" i="5"/>
  <c r="AG452" i="5"/>
  <c r="AG520" i="5"/>
  <c r="AG425" i="5"/>
  <c r="AG381" i="5"/>
  <c r="AG492" i="5"/>
  <c r="AG359" i="5"/>
  <c r="AG462" i="5"/>
  <c r="AG294" i="5"/>
  <c r="AG277" i="5"/>
  <c r="AG557" i="5"/>
  <c r="AG317" i="5"/>
  <c r="AG523" i="5"/>
  <c r="AG130" i="5"/>
  <c r="AG128" i="5"/>
  <c r="AG253" i="5"/>
  <c r="AG57" i="5"/>
  <c r="AG362" i="5"/>
  <c r="AG486" i="5"/>
  <c r="AG10" i="5"/>
  <c r="AG242" i="5"/>
  <c r="AG428" i="5"/>
  <c r="AG141" i="5"/>
  <c r="AG59" i="5"/>
  <c r="AG327" i="5"/>
  <c r="AG185" i="5"/>
  <c r="AG209" i="5"/>
  <c r="AG319" i="5"/>
  <c r="AG255" i="5"/>
  <c r="AG129" i="5"/>
  <c r="AG175" i="5"/>
  <c r="AG63" i="5"/>
  <c r="AG347" i="5"/>
  <c r="AG238" i="5"/>
  <c r="AG419" i="5"/>
  <c r="AG382" i="5"/>
  <c r="AG316" i="5"/>
  <c r="AG363" i="5"/>
  <c r="AG151" i="5"/>
  <c r="AG499" i="5"/>
  <c r="AG356" i="5"/>
  <c r="AG159" i="5"/>
  <c r="AG312" i="5"/>
  <c r="AG146" i="5"/>
  <c r="AG413" i="5"/>
  <c r="AG133" i="5"/>
  <c r="AG313" i="5"/>
  <c r="AG174" i="5"/>
  <c r="AG7" i="5"/>
  <c r="AG403" i="5"/>
  <c r="AG443" i="5"/>
  <c r="AG50" i="5"/>
  <c r="AG125" i="5"/>
  <c r="AG302" i="5"/>
  <c r="AG473" i="5"/>
  <c r="AG283" i="5"/>
  <c r="AG161" i="5"/>
  <c r="AG24" i="5"/>
  <c r="AG231" i="5"/>
  <c r="AG69" i="5"/>
  <c r="AG91" i="5"/>
  <c r="AG70" i="5"/>
  <c r="AG156" i="5"/>
  <c r="AG389" i="5"/>
  <c r="AG250" i="5"/>
  <c r="AG168" i="5"/>
  <c r="AG333" i="5"/>
  <c r="AG291" i="5"/>
  <c r="AG77" i="5"/>
  <c r="AG207" i="5"/>
  <c r="AG222" i="5"/>
  <c r="AG78" i="5"/>
  <c r="AG56" i="5"/>
  <c r="AG19" i="5"/>
  <c r="AG167" i="5"/>
  <c r="AG178" i="5"/>
  <c r="AG225" i="5"/>
  <c r="AG472" i="5"/>
  <c r="AG200" i="5"/>
  <c r="AG518" i="5"/>
  <c r="AG342" i="5"/>
  <c r="AG260" i="5"/>
  <c r="AG539" i="5"/>
  <c r="AG152" i="5"/>
  <c r="AG28" i="5"/>
  <c r="AG511" i="5"/>
  <c r="AG153" i="5"/>
  <c r="AG268" i="5"/>
  <c r="AG308" i="5"/>
  <c r="AG509" i="5"/>
  <c r="AG118" i="5"/>
  <c r="AG103" i="5"/>
  <c r="AG558" i="5"/>
  <c r="AG270" i="5"/>
  <c r="AG323" i="5"/>
  <c r="AG212" i="5"/>
  <c r="AG113" i="5"/>
  <c r="AG284" i="5"/>
  <c r="AG488" i="5"/>
  <c r="AG358" i="5"/>
  <c r="AG204" i="5"/>
  <c r="AG538" i="5"/>
  <c r="AG234" i="5"/>
  <c r="AG548" i="5"/>
  <c r="AG409" i="5"/>
  <c r="AG237" i="5"/>
  <c r="AG522" i="5"/>
  <c r="AG296" i="5"/>
  <c r="AG427" i="5"/>
  <c r="AG176" i="5"/>
  <c r="AG127" i="5"/>
  <c r="AG265" i="5"/>
  <c r="AG368" i="5"/>
  <c r="AG281" i="5"/>
  <c r="AG38" i="5"/>
  <c r="AG23" i="5"/>
  <c r="AG248" i="5"/>
  <c r="AG108" i="5"/>
  <c r="AG217" i="5"/>
  <c r="AG385" i="5"/>
  <c r="AG254" i="5"/>
  <c r="AG373" i="5"/>
  <c r="AG297" i="5"/>
  <c r="AG549" i="5"/>
  <c r="AG328" i="5"/>
  <c r="AG32" i="5"/>
  <c r="AG210" i="5"/>
  <c r="AG74" i="5"/>
  <c r="AG384" i="5"/>
  <c r="AG126" i="5"/>
  <c r="AG83" i="5"/>
  <c r="AG31" i="5"/>
  <c r="AG280" i="5"/>
  <c r="AG431" i="5"/>
  <c r="AG479" i="5"/>
  <c r="AG198" i="5"/>
  <c r="AG536" i="5"/>
  <c r="AG90" i="5"/>
  <c r="AG454" i="5"/>
  <c r="AG406" i="5"/>
  <c r="AG229" i="5"/>
  <c r="AG309" i="5"/>
  <c r="AG551" i="5"/>
  <c r="AG464" i="5"/>
  <c r="AG401" i="5"/>
  <c r="AG529" i="5"/>
  <c r="AG376" i="5"/>
  <c r="AG550" i="5"/>
  <c r="AG484" i="5"/>
  <c r="AG455" i="5"/>
  <c r="AG326" i="5"/>
  <c r="AG414" i="5"/>
  <c r="AG375" i="5"/>
  <c r="AG497" i="5"/>
  <c r="AG288" i="5"/>
  <c r="AG421" i="5"/>
  <c r="AG460" i="5"/>
  <c r="AG8" i="5"/>
  <c r="AG480" i="5"/>
  <c r="AG417" i="5"/>
  <c r="AG546" i="5"/>
  <c r="AG162" i="5"/>
  <c r="AG423" i="5"/>
  <c r="AG286" i="5"/>
  <c r="AG194" i="5"/>
  <c r="AG386" i="5"/>
  <c r="AG398" i="5"/>
  <c r="AG51" i="5"/>
  <c r="AG524" i="5"/>
  <c r="AG446" i="5"/>
  <c r="AG299" i="5"/>
  <c r="AG424" i="5"/>
  <c r="AG513" i="5"/>
  <c r="AG482" i="5"/>
  <c r="AG343" i="5"/>
  <c r="AG216" i="5"/>
  <c r="AG264" i="5"/>
  <c r="AG335" i="5"/>
  <c r="AG218" i="5"/>
  <c r="AM430" i="5"/>
  <c r="AM417" i="5"/>
  <c r="AM516" i="5"/>
  <c r="AM232" i="5"/>
  <c r="AM467" i="5"/>
  <c r="AM175" i="5"/>
  <c r="AM245" i="5"/>
  <c r="AM280" i="5"/>
  <c r="AM373" i="5"/>
  <c r="AM257" i="5"/>
  <c r="AM261" i="5"/>
  <c r="AM235" i="5"/>
  <c r="AM139" i="5"/>
  <c r="AM157" i="5"/>
  <c r="AM114" i="5"/>
  <c r="AM40" i="5"/>
  <c r="AM429" i="5"/>
  <c r="AM424" i="5"/>
  <c r="AM80" i="5"/>
  <c r="AM212" i="5"/>
  <c r="AM322" i="5"/>
  <c r="AM489" i="5"/>
  <c r="AM60" i="5"/>
  <c r="AM221" i="5"/>
  <c r="AM546" i="5"/>
  <c r="AM21" i="5"/>
  <c r="AM92" i="5"/>
  <c r="AM298" i="5"/>
  <c r="AM288" i="5"/>
  <c r="AM514" i="5"/>
  <c r="AM486" i="5"/>
  <c r="AM321" i="5"/>
  <c r="AM376" i="5"/>
  <c r="AM525" i="5"/>
  <c r="AM441" i="5"/>
  <c r="AM307" i="5"/>
  <c r="AM226" i="5"/>
  <c r="AM87" i="5"/>
  <c r="AM188" i="5"/>
  <c r="AM364" i="5"/>
  <c r="AM418" i="5"/>
  <c r="AM272" i="5"/>
  <c r="AM330" i="5"/>
  <c r="AM51" i="5"/>
  <c r="AM182" i="5"/>
  <c r="AM345" i="5"/>
  <c r="AM395" i="5"/>
  <c r="AM278" i="5"/>
  <c r="AM380" i="5"/>
  <c r="AM391" i="5"/>
  <c r="AM121" i="5"/>
  <c r="AM405" i="5"/>
  <c r="AM374" i="5"/>
  <c r="AM390" i="5"/>
  <c r="AM89" i="5"/>
  <c r="AM350" i="5"/>
  <c r="AM124" i="5"/>
  <c r="AM409" i="5"/>
  <c r="AM253" i="5"/>
  <c r="AM487" i="5"/>
  <c r="AM224" i="5"/>
  <c r="AM246" i="5"/>
  <c r="AM534" i="5"/>
  <c r="AM269" i="5"/>
  <c r="AM539" i="5"/>
  <c r="AM351" i="5"/>
  <c r="AM289" i="5"/>
  <c r="AM142" i="5"/>
  <c r="AM48" i="5"/>
  <c r="AM63" i="5"/>
  <c r="AM130" i="5"/>
  <c r="AM204" i="5"/>
  <c r="AM171" i="5"/>
  <c r="AM478" i="5"/>
  <c r="AM8" i="5"/>
  <c r="AM147" i="5"/>
  <c r="AM31" i="5"/>
  <c r="AM211" i="5"/>
  <c r="AM484" i="5"/>
  <c r="AM96" i="5"/>
  <c r="AM133" i="5"/>
  <c r="AM132" i="5"/>
  <c r="AM346" i="5"/>
  <c r="AM191" i="5"/>
  <c r="AM277" i="5"/>
  <c r="AM483" i="5"/>
  <c r="AM7" i="5"/>
  <c r="AM315" i="5"/>
  <c r="AM445" i="5"/>
  <c r="AM531" i="5"/>
  <c r="AM493" i="5"/>
  <c r="AM381" i="5"/>
  <c r="AM201" i="5"/>
  <c r="AM521" i="5"/>
  <c r="AM123" i="5"/>
  <c r="AM296" i="5"/>
  <c r="AM282" i="5"/>
  <c r="AM118" i="5"/>
  <c r="AM91" i="5"/>
  <c r="AM126" i="5"/>
  <c r="AM71" i="5"/>
  <c r="AM406" i="5"/>
  <c r="AM75" i="5"/>
  <c r="AM70" i="5"/>
  <c r="AM507" i="5"/>
  <c r="AM385" i="5"/>
  <c r="AM223" i="5"/>
  <c r="AM501" i="5"/>
  <c r="AM242" i="5"/>
  <c r="AM490" i="5"/>
  <c r="AM423" i="5"/>
  <c r="AM205" i="5"/>
  <c r="AM443" i="5"/>
  <c r="AM378" i="5"/>
  <c r="AM522" i="5"/>
  <c r="AM466" i="5"/>
  <c r="AM74" i="5"/>
  <c r="AM79" i="5"/>
  <c r="AM339" i="5"/>
  <c r="AM549" i="5"/>
  <c r="AM518" i="5"/>
  <c r="AM314" i="5"/>
  <c r="AM379" i="5"/>
  <c r="AM168" i="5"/>
  <c r="AM414" i="5"/>
  <c r="AM550" i="5"/>
  <c r="AM58" i="5"/>
  <c r="AM392" i="5"/>
  <c r="AM285" i="5"/>
  <c r="AM141" i="5"/>
  <c r="AM47" i="5"/>
  <c r="AM388" i="5"/>
  <c r="AM156" i="5"/>
  <c r="AM128" i="5"/>
  <c r="AM538" i="5"/>
  <c r="AM323" i="5"/>
  <c r="AM117" i="5"/>
  <c r="AM214" i="5"/>
  <c r="AM449" i="5"/>
  <c r="AM218" i="5"/>
  <c r="AM268" i="5"/>
  <c r="AM172" i="5"/>
  <c r="AM271" i="5"/>
  <c r="AM520" i="5"/>
  <c r="AM83" i="5"/>
  <c r="AM371" i="5"/>
  <c r="AM119" i="5"/>
  <c r="AM24" i="5"/>
  <c r="AM57" i="5"/>
  <c r="AM231" i="5"/>
  <c r="AM35" i="5"/>
  <c r="AM435" i="5"/>
  <c r="AM305" i="5"/>
  <c r="AM25" i="5"/>
  <c r="AM99" i="5"/>
  <c r="AM407" i="5"/>
  <c r="AM210" i="5"/>
  <c r="AM553" i="5"/>
  <c r="AM161" i="5"/>
  <c r="AM199" i="5"/>
  <c r="AM86" i="5"/>
  <c r="AM254" i="5"/>
  <c r="AM111" i="5"/>
  <c r="AM93" i="5"/>
  <c r="AM341" i="5"/>
  <c r="AM207" i="5"/>
  <c r="AM23" i="5"/>
  <c r="B78" i="5"/>
  <c r="AM76" i="5"/>
  <c r="AM250" i="5"/>
  <c r="AM508" i="5"/>
  <c r="AM331" i="5"/>
  <c r="AM167" i="5"/>
  <c r="AM270" i="5"/>
  <c r="AM238" i="5"/>
  <c r="AM103" i="5"/>
  <c r="AM436" i="5"/>
  <c r="AM361" i="5"/>
  <c r="AM20" i="5"/>
  <c r="AM422" i="5"/>
  <c r="AM122" i="5"/>
  <c r="AM476" i="5"/>
  <c r="AM488" i="5"/>
  <c r="AM180" i="5"/>
  <c r="AM197" i="5"/>
  <c r="AM428" i="5"/>
  <c r="AM471" i="5"/>
  <c r="AM185" i="5"/>
  <c r="AM256" i="5"/>
  <c r="AM480" i="5"/>
  <c r="AM29" i="5"/>
  <c r="AM360" i="5"/>
  <c r="AM511" i="5"/>
  <c r="AM458" i="5"/>
  <c r="AM174" i="5"/>
  <c r="AM527" i="5"/>
  <c r="AM465" i="5"/>
  <c r="AM227" i="5"/>
  <c r="AM540" i="5"/>
  <c r="AM498" i="5"/>
  <c r="AM208" i="5"/>
  <c r="AM347" i="5"/>
  <c r="AM349" i="5"/>
  <c r="AM532" i="5"/>
  <c r="AM506" i="5"/>
  <c r="AM59" i="5"/>
  <c r="AM303" i="5"/>
  <c r="AM300" i="5"/>
  <c r="AM367" i="5"/>
  <c r="AM150" i="5"/>
  <c r="AM528" i="5"/>
  <c r="AM470" i="5"/>
  <c r="AM44" i="5"/>
  <c r="AM49" i="5"/>
  <c r="AM100" i="5"/>
  <c r="AM492" i="5"/>
  <c r="AM472" i="5"/>
  <c r="AM401" i="5"/>
  <c r="AM131" i="5"/>
  <c r="AM468" i="5"/>
  <c r="AM234" i="5"/>
  <c r="AM173" i="5"/>
  <c r="AM359" i="5"/>
  <c r="AM384" i="5"/>
  <c r="AM399" i="5"/>
  <c r="AM137" i="5"/>
  <c r="AM523" i="5"/>
  <c r="AM460" i="5"/>
  <c r="AM496" i="5"/>
  <c r="AM477" i="5"/>
  <c r="AM317" i="5"/>
  <c r="AM203" i="5"/>
  <c r="AM403" i="5"/>
  <c r="AM310" i="5"/>
  <c r="AM43" i="5"/>
  <c r="AM505" i="5"/>
  <c r="AM113" i="5"/>
  <c r="AM294" i="5"/>
  <c r="AM52" i="5"/>
  <c r="AM247" i="5"/>
  <c r="AM45" i="5"/>
  <c r="AM495" i="5"/>
  <c r="AM415" i="5"/>
  <c r="AM475" i="5"/>
  <c r="AM461" i="5"/>
  <c r="AM500" i="5"/>
  <c r="AM67" i="5"/>
  <c r="AM338" i="5"/>
  <c r="AM229" i="5"/>
  <c r="AM138" i="5"/>
  <c r="AM165" i="5"/>
  <c r="AM554" i="5"/>
  <c r="AM559" i="5"/>
  <c r="AM442" i="5"/>
  <c r="AM279" i="5"/>
  <c r="AM352" i="5"/>
  <c r="AM115" i="5"/>
  <c r="AM453" i="5"/>
  <c r="AM97" i="5"/>
  <c r="AM158" i="5"/>
  <c r="AM356" i="5"/>
  <c r="AM220" i="5"/>
  <c r="AM19" i="5"/>
  <c r="AM510" i="5"/>
  <c r="AM389" i="5"/>
  <c r="AM293" i="5"/>
  <c r="AM102" i="5"/>
  <c r="AM90" i="5"/>
  <c r="AM163" i="5"/>
  <c r="AM127" i="5"/>
  <c r="AM94" i="5"/>
  <c r="AM335" i="5"/>
  <c r="AM27" i="5"/>
  <c r="AM291" i="5"/>
  <c r="AM357" i="5"/>
  <c r="AM343" i="5"/>
  <c r="AM382" i="5"/>
  <c r="AM526" i="5"/>
  <c r="AM464" i="5"/>
  <c r="AM320" i="5"/>
  <c r="AM292" i="5"/>
  <c r="AM273" i="5"/>
  <c r="AM519" i="5"/>
  <c r="AM283" i="5"/>
  <c r="AM309" i="5"/>
  <c r="AM408" i="5"/>
  <c r="AM217" i="5"/>
  <c r="AM455" i="5"/>
  <c r="AM469" i="5"/>
  <c r="AM463" i="5"/>
  <c r="AM396" i="5"/>
  <c r="AM66" i="5"/>
  <c r="AM230" i="5"/>
  <c r="AM61" i="5"/>
  <c r="AM513" i="5"/>
  <c r="AM340" i="5"/>
  <c r="AM120" i="5"/>
  <c r="AM497" i="5"/>
  <c r="AM88" i="5"/>
  <c r="AM179" i="5"/>
  <c r="AM42" i="5"/>
  <c r="AM365" i="5"/>
  <c r="AM53" i="5"/>
  <c r="AM136" i="5"/>
  <c r="AM82" i="5"/>
  <c r="AM333" i="5"/>
  <c r="AM543" i="5"/>
  <c r="AM146" i="5"/>
  <c r="AM426" i="5"/>
  <c r="AM129" i="5"/>
  <c r="AM332" i="5"/>
  <c r="AM56" i="5"/>
  <c r="AM354" i="5"/>
  <c r="AM149" i="5"/>
  <c r="AM112" i="5"/>
  <c r="AM125" i="5"/>
  <c r="AM366" i="5"/>
  <c r="AM482" i="5"/>
  <c r="AM255" i="5"/>
  <c r="AM116" i="5"/>
  <c r="AM337" i="5"/>
  <c r="AM393" i="5"/>
  <c r="AM55" i="5"/>
  <c r="AM155" i="5"/>
  <c r="AM459" i="5"/>
  <c r="AM135" i="5"/>
  <c r="AM258" i="5"/>
  <c r="AM32" i="5"/>
  <c r="AM194" i="5"/>
  <c r="AM95" i="5"/>
  <c r="AM263" i="5"/>
  <c r="AM324" i="5"/>
  <c r="AM348" i="5"/>
  <c r="AM259" i="5"/>
  <c r="AM239" i="5"/>
  <c r="AM228" i="5"/>
  <c r="AM287" i="5"/>
  <c r="AM213" i="5"/>
  <c r="AM481" i="5"/>
  <c r="AM299" i="5"/>
  <c r="AM243" i="5"/>
  <c r="AM509" i="5"/>
  <c r="AM10" i="5"/>
  <c r="AM369" i="5"/>
  <c r="AM39" i="5"/>
  <c r="AM537" i="5"/>
  <c r="AM499" i="5"/>
  <c r="AM110" i="5"/>
  <c r="AM81" i="5"/>
  <c r="AM248" i="5"/>
  <c r="AM370" i="5"/>
  <c r="AM437" i="5"/>
  <c r="AM548" i="5"/>
  <c r="AM73" i="5"/>
  <c r="AM206" i="5"/>
  <c r="AM342" i="5"/>
  <c r="AM236" i="5"/>
  <c r="AM485" i="5"/>
  <c r="AM542" i="5"/>
  <c r="AM434" i="5"/>
  <c r="AM517" i="5"/>
  <c r="AM184" i="5"/>
  <c r="AM431" i="5"/>
  <c r="AM456" i="5"/>
  <c r="AM26" i="5"/>
  <c r="AM336" i="5"/>
  <c r="AM50" i="5"/>
  <c r="AM85" i="5"/>
  <c r="AM105" i="5"/>
  <c r="AM302" i="5"/>
  <c r="AM64" i="5"/>
  <c r="AM297" i="5"/>
  <c r="AM327" i="5"/>
  <c r="AM316" i="5"/>
  <c r="AM34" i="5"/>
  <c r="AM264" i="5"/>
  <c r="AM387" i="5"/>
  <c r="AM65" i="5"/>
  <c r="AM198" i="5"/>
  <c r="AM556" i="5"/>
  <c r="AM383" i="5"/>
  <c r="AM363" i="5"/>
  <c r="AM440" i="5"/>
  <c r="AM145" i="5"/>
  <c r="AM107" i="5"/>
  <c r="AM186" i="5"/>
  <c r="AM398" i="5"/>
  <c r="AM169" i="5"/>
  <c r="AM536" i="5"/>
  <c r="AM368" i="5"/>
  <c r="AM400" i="5"/>
  <c r="AM36" i="5"/>
  <c r="AM325" i="5"/>
  <c r="AM386" i="5"/>
  <c r="AM46" i="5"/>
  <c r="AM439" i="5"/>
  <c r="AM144" i="5"/>
  <c r="AM101" i="5"/>
  <c r="AM304" i="5"/>
  <c r="AM362" i="5"/>
  <c r="AM108" i="5"/>
  <c r="AM12" i="5"/>
  <c r="AM457" i="5"/>
  <c r="AM530" i="5"/>
  <c r="AM170" i="5"/>
  <c r="AM419" i="5"/>
  <c r="AM319" i="5"/>
  <c r="AM249" i="5"/>
  <c r="AM196" i="5"/>
  <c r="AM267" i="5"/>
  <c r="AM233" i="5"/>
  <c r="AM552" i="5"/>
  <c r="AM244" i="5"/>
  <c r="AM176" i="5"/>
  <c r="AM502" i="5"/>
  <c r="AM290" i="5"/>
  <c r="AM413" i="5"/>
  <c r="AM462" i="5"/>
  <c r="AM410" i="5"/>
  <c r="AM318" i="5"/>
  <c r="AM515" i="5"/>
  <c r="AM219" i="5"/>
  <c r="AM262" i="5"/>
  <c r="AM334" i="5"/>
  <c r="AM358" i="5"/>
  <c r="AM533" i="5"/>
  <c r="AM555" i="5"/>
  <c r="AM402" i="5"/>
  <c r="AM438" i="5"/>
  <c r="AM284" i="5"/>
  <c r="AM181" i="5"/>
  <c r="AM547" i="5"/>
  <c r="AM535" i="5"/>
  <c r="AM529" i="5"/>
  <c r="AM22" i="5"/>
  <c r="AM311" i="5"/>
  <c r="AM189" i="5"/>
  <c r="AM372" i="5"/>
  <c r="AM433" i="5"/>
  <c r="AM98" i="5"/>
  <c r="AM225" i="5"/>
  <c r="AM444" i="5"/>
  <c r="AM134" i="5"/>
  <c r="AM301" i="5"/>
  <c r="AM153" i="5"/>
  <c r="AM260" i="5"/>
  <c r="AM544" i="5"/>
  <c r="AM326" i="5"/>
  <c r="AM432" i="5"/>
  <c r="AM524" i="5"/>
  <c r="AM512" i="5"/>
  <c r="AM281" i="5"/>
  <c r="AM454" i="5"/>
  <c r="AM154" i="5"/>
  <c r="AM491" i="5"/>
  <c r="AM69" i="5"/>
  <c r="AM178" i="5"/>
  <c r="AM159" i="5"/>
  <c r="AM344" i="5"/>
  <c r="AM195" i="5"/>
  <c r="AM353" i="5"/>
  <c r="AM54" i="5"/>
  <c r="AM545" i="5"/>
  <c r="AM313" i="5"/>
  <c r="AM160" i="5"/>
  <c r="AM416" i="5"/>
  <c r="AM109" i="5"/>
  <c r="AM425" i="5"/>
  <c r="AM275" i="5"/>
  <c r="AM13" i="5"/>
  <c r="AM421" i="5"/>
  <c r="AM276" i="5"/>
  <c r="AM193" i="5"/>
  <c r="AM504" i="5"/>
  <c r="AM306" i="5"/>
  <c r="AM479" i="5"/>
  <c r="AM450" i="5"/>
  <c r="AM541" i="5"/>
  <c r="AM328" i="5"/>
  <c r="AM448" i="5"/>
  <c r="AM295" i="5"/>
  <c r="AM394" i="5"/>
  <c r="AM177" i="5"/>
  <c r="AM312" i="5"/>
  <c r="AM28" i="5"/>
  <c r="AM209" i="5"/>
  <c r="AM215" i="5"/>
  <c r="AM152" i="5"/>
  <c r="AM38" i="5"/>
  <c r="AM192" i="5"/>
  <c r="AM202" i="5"/>
  <c r="AM164" i="5"/>
  <c r="AM474" i="5"/>
  <c r="AM183" i="5"/>
  <c r="AM503" i="5"/>
  <c r="AM72" i="5"/>
  <c r="AM241" i="5"/>
  <c r="AM446" i="5"/>
  <c r="AM473" i="5"/>
  <c r="AM143" i="5"/>
  <c r="AM329" i="5"/>
  <c r="AM240" i="5"/>
  <c r="AM286" i="5"/>
  <c r="AM265" i="5"/>
  <c r="AM140" i="5"/>
  <c r="AM557" i="5"/>
  <c r="AM447" i="5"/>
  <c r="AM452" i="5"/>
  <c r="AM494" i="5"/>
  <c r="AM106" i="5"/>
  <c r="AM427" i="5"/>
  <c r="AM41" i="5"/>
  <c r="AM375" i="5"/>
  <c r="AM84" i="5"/>
  <c r="AM420" i="5"/>
  <c r="AM62" i="5"/>
  <c r="AM412" i="5"/>
  <c r="AM148" i="5"/>
  <c r="AM216" i="5"/>
  <c r="AM30" i="5"/>
  <c r="AM222" i="5"/>
  <c r="AM33" i="5"/>
  <c r="AM187" i="5"/>
  <c r="AM200" i="5"/>
  <c r="AM308" i="5"/>
  <c r="AM266" i="5"/>
  <c r="AM404" i="5"/>
  <c r="AM162" i="5"/>
  <c r="AM377" i="5"/>
  <c r="AM77" i="5"/>
  <c r="AM166" i="5"/>
  <c r="AM355" i="5"/>
  <c r="AM190" i="5"/>
  <c r="AM252" i="5"/>
  <c r="AM558" i="5"/>
  <c r="AM104" i="5"/>
  <c r="AM274" i="5"/>
  <c r="AM68" i="5"/>
  <c r="AM37" i="5"/>
  <c r="AM251" i="5"/>
  <c r="AM451" i="5"/>
  <c r="AM151" i="5"/>
  <c r="AM237" i="5"/>
  <c r="AM551" i="5"/>
  <c r="AM560" i="5"/>
  <c r="AM411" i="5"/>
  <c r="AM397" i="5"/>
  <c r="AM78" i="5"/>
  <c r="Y344" i="5"/>
  <c r="X344" i="5"/>
  <c r="Y494" i="5"/>
  <c r="X494" i="5"/>
  <c r="Y463" i="5"/>
  <c r="X463" i="5"/>
  <c r="Y370" i="5"/>
  <c r="X370" i="5"/>
  <c r="Y13" i="5"/>
  <c r="X13" i="5"/>
  <c r="Y152" i="5"/>
  <c r="X152" i="5"/>
  <c r="X206" i="5"/>
  <c r="Y206" i="5"/>
  <c r="X137" i="5"/>
  <c r="Y137" i="5"/>
  <c r="Y218" i="5"/>
  <c r="X218" i="5"/>
  <c r="Y104" i="5"/>
  <c r="X104" i="5"/>
  <c r="X535" i="5"/>
  <c r="Y535" i="5"/>
  <c r="X230" i="5"/>
  <c r="Y230" i="5"/>
  <c r="Y292" i="5"/>
  <c r="X292" i="5"/>
  <c r="W9" i="5"/>
  <c r="T9" i="5"/>
  <c r="AG9" i="5"/>
  <c r="AZ9" i="5"/>
  <c r="Z9" i="5"/>
  <c r="AW9" i="5"/>
  <c r="AJ9" i="5"/>
  <c r="AT9" i="5"/>
  <c r="AM9" i="5"/>
  <c r="X43" i="5"/>
  <c r="Y43" i="5"/>
  <c r="X174" i="5"/>
  <c r="Y174" i="5"/>
  <c r="X430" i="5"/>
  <c r="Y430" i="5"/>
  <c r="X291" i="5"/>
  <c r="Y291" i="5"/>
  <c r="X260" i="5"/>
  <c r="Y260" i="5"/>
  <c r="Y529" i="5"/>
  <c r="X529" i="5"/>
  <c r="X163" i="5"/>
  <c r="Y163" i="5"/>
  <c r="Y57" i="5"/>
  <c r="X57" i="5"/>
  <c r="X113" i="5"/>
  <c r="Y113" i="5"/>
  <c r="X324" i="5"/>
  <c r="Y324" i="5"/>
  <c r="Y99" i="5"/>
  <c r="X99" i="5"/>
  <c r="Y277" i="5"/>
  <c r="X277" i="5"/>
  <c r="X201" i="5"/>
  <c r="Y201" i="5"/>
  <c r="X128" i="5"/>
  <c r="Y128" i="5"/>
  <c r="X41" i="5"/>
  <c r="Y41" i="5"/>
  <c r="Y479" i="5"/>
  <c r="X479" i="5"/>
  <c r="Y227" i="5"/>
  <c r="X227" i="5"/>
  <c r="X147" i="5"/>
  <c r="Y147" i="5"/>
  <c r="Y234" i="5"/>
  <c r="X234" i="5"/>
  <c r="Y560" i="5"/>
  <c r="X560" i="5"/>
  <c r="X54" i="5"/>
  <c r="Y54" i="5"/>
  <c r="Y559" i="5"/>
  <c r="X559" i="5"/>
  <c r="X285" i="5"/>
  <c r="Y285" i="5"/>
  <c r="X357" i="5"/>
  <c r="Y357" i="5"/>
  <c r="Y396" i="5"/>
  <c r="X396" i="5"/>
  <c r="X126" i="5"/>
  <c r="Y126" i="5"/>
  <c r="Y524" i="5"/>
  <c r="X524" i="5"/>
  <c r="X192" i="5"/>
  <c r="Y192" i="5"/>
  <c r="X8" i="5"/>
  <c r="Y8" i="5"/>
  <c r="Y254" i="5"/>
  <c r="X254" i="5"/>
  <c r="X373" i="5"/>
  <c r="Y373" i="5"/>
  <c r="Y276" i="5"/>
  <c r="X276" i="5"/>
  <c r="Y521" i="5"/>
  <c r="X521" i="5"/>
  <c r="X538" i="5"/>
  <c r="Y538" i="5"/>
  <c r="X484" i="5"/>
  <c r="Y484" i="5"/>
  <c r="Y290" i="5"/>
  <c r="X290" i="5"/>
  <c r="X550" i="5"/>
  <c r="Y550" i="5"/>
  <c r="Y547" i="5"/>
  <c r="X547" i="5"/>
  <c r="X241" i="5"/>
  <c r="Y241" i="5"/>
  <c r="X330" i="5"/>
  <c r="Y330" i="5"/>
  <c r="Y518" i="5"/>
  <c r="X518" i="5"/>
  <c r="X149" i="5"/>
  <c r="Y149" i="5"/>
  <c r="X554" i="5"/>
  <c r="Y554" i="5"/>
  <c r="Y361" i="5"/>
  <c r="X361" i="5"/>
  <c r="Y318" i="5"/>
  <c r="X318" i="5"/>
  <c r="Y455" i="5"/>
  <c r="X455" i="5"/>
  <c r="Y223" i="5"/>
  <c r="X223" i="5"/>
  <c r="X545" i="5"/>
  <c r="Y545" i="5"/>
  <c r="X338" i="5"/>
  <c r="Y338" i="5"/>
  <c r="X157" i="5"/>
  <c r="Y157" i="5"/>
  <c r="X503" i="5"/>
  <c r="Y503" i="5"/>
  <c r="Y558" i="5"/>
  <c r="X558" i="5"/>
  <c r="X119" i="5"/>
  <c r="Y119" i="5"/>
  <c r="Y481" i="5"/>
  <c r="X481" i="5"/>
  <c r="X332" i="5"/>
  <c r="Y332" i="5"/>
  <c r="Y191" i="5"/>
  <c r="X191" i="5"/>
  <c r="X76" i="5"/>
  <c r="Y76" i="5"/>
  <c r="Y281" i="5"/>
  <c r="X281" i="5"/>
  <c r="Y196" i="5"/>
  <c r="X196" i="5"/>
  <c r="Y452" i="5"/>
  <c r="X452" i="5"/>
  <c r="Y298" i="5"/>
  <c r="X298" i="5"/>
  <c r="Y461" i="5"/>
  <c r="X461" i="5"/>
  <c r="Y504" i="5"/>
  <c r="X504" i="5"/>
  <c r="X349" i="5"/>
  <c r="Y349" i="5"/>
  <c r="Y114" i="5"/>
  <c r="X114" i="5"/>
  <c r="Y394" i="5"/>
  <c r="X394" i="5"/>
  <c r="Y220" i="5"/>
  <c r="X220" i="5"/>
  <c r="X224" i="5"/>
  <c r="Y224" i="5"/>
  <c r="Y505" i="5"/>
  <c r="X505" i="5"/>
  <c r="X106" i="5"/>
  <c r="Y106" i="5"/>
  <c r="X302" i="5"/>
  <c r="Y302" i="5"/>
  <c r="X243" i="5"/>
  <c r="Y243" i="5"/>
  <c r="Y492" i="5"/>
  <c r="X492" i="5"/>
  <c r="X214" i="5"/>
  <c r="Y214" i="5"/>
  <c r="X549" i="5"/>
  <c r="Y549" i="5"/>
  <c r="X300" i="5"/>
  <c r="Y300" i="5"/>
  <c r="X37" i="5"/>
  <c r="Y37" i="5"/>
  <c r="Y553" i="5"/>
  <c r="X553" i="5"/>
  <c r="X426" i="5"/>
  <c r="Y426" i="5"/>
  <c r="Y60" i="5"/>
  <c r="X60" i="5"/>
  <c r="X476" i="5"/>
  <c r="Y476" i="5"/>
  <c r="Y70" i="5"/>
  <c r="X70" i="5"/>
  <c r="X69" i="5"/>
  <c r="Y69" i="5"/>
  <c r="X315" i="5"/>
  <c r="Y315" i="5"/>
  <c r="X271" i="5"/>
  <c r="Y271" i="5"/>
  <c r="X242" i="5"/>
  <c r="Y242" i="5"/>
  <c r="X433" i="5"/>
  <c r="Y433" i="5"/>
  <c r="X65" i="5"/>
  <c r="Y65" i="5"/>
  <c r="Y496" i="5"/>
  <c r="X496" i="5"/>
  <c r="Y80" i="5"/>
  <c r="X80" i="5"/>
  <c r="X556" i="5"/>
  <c r="Y556" i="5"/>
  <c r="X331" i="5"/>
  <c r="Y331" i="5"/>
  <c r="X238" i="5"/>
  <c r="Y238" i="5"/>
  <c r="X335" i="5"/>
  <c r="Y335" i="5"/>
  <c r="Y555" i="5"/>
  <c r="X555" i="5"/>
  <c r="X248" i="5"/>
  <c r="Y248" i="5"/>
  <c r="X352" i="5"/>
  <c r="Y352" i="5"/>
  <c r="Y440" i="5"/>
  <c r="X440" i="5"/>
  <c r="Y209" i="5"/>
  <c r="X209" i="5"/>
  <c r="X395" i="5"/>
  <c r="Y395" i="5"/>
  <c r="X507" i="5"/>
  <c r="Y507" i="5"/>
  <c r="X482" i="5"/>
  <c r="Y482" i="5"/>
  <c r="Y295" i="5"/>
  <c r="X295" i="5"/>
  <c r="X25" i="5"/>
  <c r="Y25" i="5"/>
  <c r="X296" i="5"/>
  <c r="Y296" i="5"/>
  <c r="X393" i="5"/>
  <c r="Y393" i="5"/>
  <c r="X121" i="5"/>
  <c r="Y121" i="5"/>
  <c r="Y166" i="5"/>
  <c r="X166" i="5"/>
  <c r="X30" i="5"/>
  <c r="Y30" i="5"/>
  <c r="Y198" i="5"/>
  <c r="X198" i="5"/>
  <c r="X36" i="5"/>
  <c r="Y36" i="5"/>
  <c r="Y110" i="5"/>
  <c r="X110" i="5"/>
  <c r="X415" i="5"/>
  <c r="Y415" i="5"/>
  <c r="Y217" i="5"/>
  <c r="X217" i="5"/>
  <c r="X253" i="5"/>
  <c r="Y253" i="5"/>
  <c r="Y115" i="5"/>
  <c r="X115" i="5"/>
  <c r="X381" i="5"/>
  <c r="Y381" i="5"/>
  <c r="X541" i="5"/>
  <c r="Y541" i="5"/>
  <c r="Y317" i="5"/>
  <c r="X317" i="5"/>
  <c r="X83" i="5"/>
  <c r="Y83" i="5"/>
  <c r="Y109" i="5"/>
  <c r="X109" i="5"/>
  <c r="X20" i="5"/>
  <c r="Y20" i="5"/>
  <c r="X249" i="5"/>
  <c r="Y249" i="5"/>
  <c r="AV81" i="4"/>
  <c r="U81" i="4"/>
  <c r="AV120" i="4"/>
  <c r="U120" i="4"/>
  <c r="AV117" i="4"/>
  <c r="U117" i="4"/>
  <c r="H29" i="1"/>
  <c r="K94" i="2"/>
  <c r="B84" i="2"/>
  <c r="B86" i="2" s="1"/>
  <c r="B87" i="2" s="1"/>
  <c r="H30" i="1" s="1"/>
  <c r="Y448" i="5"/>
  <c r="X448" i="5"/>
  <c r="X525" i="5"/>
  <c r="Y525" i="5"/>
  <c r="X22" i="5"/>
  <c r="Y22" i="5"/>
  <c r="Y333" i="5"/>
  <c r="X333" i="5"/>
  <c r="X500" i="5"/>
  <c r="Y500" i="5"/>
  <c r="Y103" i="5"/>
  <c r="X103" i="5"/>
  <c r="Y289" i="5"/>
  <c r="X289" i="5"/>
  <c r="Y404" i="5"/>
  <c r="X404" i="5"/>
  <c r="Y170" i="5"/>
  <c r="X170" i="5"/>
  <c r="Y287" i="5"/>
  <c r="X287" i="5"/>
  <c r="X389" i="5"/>
  <c r="Y389" i="5"/>
  <c r="X46" i="5"/>
  <c r="Y46" i="5"/>
  <c r="Y356" i="5"/>
  <c r="X356" i="5"/>
  <c r="X77" i="5"/>
  <c r="Y77" i="5"/>
  <c r="X58" i="5"/>
  <c r="Y58" i="5"/>
  <c r="X534" i="5"/>
  <c r="Y534" i="5"/>
  <c r="X50" i="5"/>
  <c r="Y50" i="5"/>
  <c r="X272" i="5"/>
  <c r="Y272" i="5"/>
  <c r="X355" i="5"/>
  <c r="Y355" i="5"/>
  <c r="X257" i="5"/>
  <c r="Y257" i="5"/>
  <c r="X364" i="5"/>
  <c r="Y364" i="5"/>
  <c r="X251" i="5"/>
  <c r="Y251" i="5"/>
  <c r="Y399" i="5"/>
  <c r="X399" i="5"/>
  <c r="Y464" i="5"/>
  <c r="X464" i="5"/>
  <c r="Y425" i="5"/>
  <c r="X425" i="5"/>
  <c r="Y40" i="5"/>
  <c r="X40" i="5"/>
  <c r="Y226" i="5"/>
  <c r="X226" i="5"/>
  <c r="Y150" i="5"/>
  <c r="X150" i="5"/>
  <c r="Y548" i="5"/>
  <c r="X548" i="5"/>
  <c r="Y105" i="5"/>
  <c r="X105" i="5"/>
  <c r="AV79" i="4"/>
  <c r="U79" i="4"/>
  <c r="AV151" i="4"/>
  <c r="U151" i="4"/>
  <c r="AV83" i="4"/>
  <c r="U83" i="4"/>
  <c r="AV28" i="4"/>
  <c r="U28" i="4"/>
  <c r="Y79" i="5"/>
  <c r="X79" i="5"/>
  <c r="X284" i="5"/>
  <c r="Y284" i="5"/>
  <c r="X96" i="5"/>
  <c r="Y96" i="5"/>
  <c r="X391" i="5"/>
  <c r="Y391" i="5"/>
  <c r="X129" i="5"/>
  <c r="Y129" i="5"/>
  <c r="Y387" i="5"/>
  <c r="X387" i="5"/>
  <c r="X530" i="5"/>
  <c r="Y530" i="5"/>
  <c r="X342" i="5"/>
  <c r="Y342" i="5"/>
  <c r="X528" i="5"/>
  <c r="Y528" i="5"/>
  <c r="X432" i="5"/>
  <c r="Y432" i="5"/>
  <c r="X134" i="5"/>
  <c r="Y134" i="5"/>
  <c r="X162" i="5"/>
  <c r="Y162" i="5"/>
  <c r="Y441" i="5"/>
  <c r="X441" i="5"/>
  <c r="Y194" i="5"/>
  <c r="X194" i="5"/>
  <c r="X252" i="5"/>
  <c r="Y252" i="5"/>
  <c r="X236" i="5"/>
  <c r="Y236" i="5"/>
  <c r="X222" i="5"/>
  <c r="Y222" i="5"/>
  <c r="X48" i="5"/>
  <c r="Y48" i="5"/>
  <c r="X63" i="5"/>
  <c r="Y63" i="5"/>
  <c r="X61" i="5"/>
  <c r="Y61" i="5"/>
  <c r="Y308" i="5"/>
  <c r="X308" i="5"/>
  <c r="X445" i="5"/>
  <c r="Y445" i="5"/>
  <c r="X457" i="5"/>
  <c r="Y457" i="5"/>
  <c r="Y120" i="5"/>
  <c r="X120" i="5"/>
  <c r="Y551" i="5"/>
  <c r="X551" i="5"/>
  <c r="Y509" i="5"/>
  <c r="X509" i="5"/>
  <c r="Y193" i="5"/>
  <c r="X193" i="5"/>
  <c r="X127" i="5"/>
  <c r="Y127" i="5"/>
  <c r="X188" i="5"/>
  <c r="Y188" i="5"/>
  <c r="Y510" i="5"/>
  <c r="X510" i="5"/>
  <c r="Y24" i="5"/>
  <c r="X24" i="5"/>
  <c r="Y539" i="5"/>
  <c r="X539" i="5"/>
  <c r="X161" i="5"/>
  <c r="Y161" i="5"/>
  <c r="Y270" i="5"/>
  <c r="X270" i="5"/>
  <c r="X72" i="5"/>
  <c r="Y72" i="5"/>
  <c r="X490" i="5"/>
  <c r="Y490" i="5"/>
  <c r="X108" i="5"/>
  <c r="Y108" i="5"/>
  <c r="X462" i="5"/>
  <c r="Y462" i="5"/>
  <c r="Y451" i="5"/>
  <c r="X451" i="5"/>
  <c r="Y97" i="5"/>
  <c r="X97" i="5"/>
  <c r="X405" i="5"/>
  <c r="Y405" i="5"/>
  <c r="Y495" i="5"/>
  <c r="X495" i="5"/>
  <c r="X183" i="5"/>
  <c r="Y183" i="5"/>
  <c r="Y82" i="5"/>
  <c r="X82" i="5"/>
  <c r="X33" i="5"/>
  <c r="Y33" i="5"/>
  <c r="X354" i="5"/>
  <c r="Y354" i="5"/>
  <c r="X56" i="5"/>
  <c r="Y56" i="5"/>
  <c r="X475" i="5"/>
  <c r="Y475" i="5"/>
  <c r="X523" i="5"/>
  <c r="Y523" i="5"/>
  <c r="Y299" i="5"/>
  <c r="X299" i="5"/>
  <c r="Y189" i="5"/>
  <c r="X189" i="5"/>
  <c r="Y67" i="5"/>
  <c r="X67" i="5"/>
  <c r="X374" i="5"/>
  <c r="Y374" i="5"/>
  <c r="Y468" i="5"/>
  <c r="X468" i="5"/>
  <c r="Y139" i="5"/>
  <c r="X139" i="5"/>
  <c r="Y421" i="5"/>
  <c r="X421" i="5"/>
  <c r="X469" i="5"/>
  <c r="Y469" i="5"/>
  <c r="X325" i="5"/>
  <c r="Y325" i="5"/>
  <c r="X123" i="5"/>
  <c r="Y123" i="5"/>
  <c r="Y517" i="5"/>
  <c r="X517" i="5"/>
  <c r="X138" i="5"/>
  <c r="Y138" i="5"/>
  <c r="Y59" i="5"/>
  <c r="X59" i="5"/>
  <c r="Y164" i="5"/>
  <c r="X164" i="5"/>
  <c r="X266" i="5"/>
  <c r="Y266" i="5"/>
  <c r="Y382" i="5"/>
  <c r="X382" i="5"/>
  <c r="Y62" i="5"/>
  <c r="X62" i="5"/>
  <c r="X506" i="5"/>
  <c r="Y506" i="5"/>
  <c r="X543" i="5"/>
  <c r="Y543" i="5"/>
  <c r="X282" i="5"/>
  <c r="Y282" i="5"/>
  <c r="X136" i="5"/>
  <c r="Y136" i="5"/>
  <c r="X273" i="5"/>
  <c r="Y273" i="5"/>
  <c r="X390" i="5"/>
  <c r="Y390" i="5"/>
  <c r="X350" i="5"/>
  <c r="Y350" i="5"/>
  <c r="Y228" i="5"/>
  <c r="X228" i="5"/>
  <c r="X467" i="5"/>
  <c r="Y467" i="5"/>
  <c r="X326" i="5"/>
  <c r="Y326" i="5"/>
  <c r="Y75" i="5"/>
  <c r="X75" i="5"/>
  <c r="Y294" i="5"/>
  <c r="X294" i="5"/>
  <c r="X178" i="5"/>
  <c r="Y178" i="5"/>
  <c r="Y491" i="5"/>
  <c r="X491" i="5"/>
  <c r="Y359" i="5"/>
  <c r="X359" i="5"/>
  <c r="Y385" i="5"/>
  <c r="X385" i="5"/>
  <c r="Y68" i="5"/>
  <c r="X68" i="5"/>
  <c r="X38" i="5"/>
  <c r="Y38" i="5"/>
  <c r="X542" i="5"/>
  <c r="Y542" i="5"/>
  <c r="X408" i="5"/>
  <c r="Y408" i="5"/>
  <c r="Y472" i="5"/>
  <c r="X472" i="5"/>
  <c r="X471" i="5"/>
  <c r="Y471" i="5"/>
  <c r="X29" i="5"/>
  <c r="Y29" i="5"/>
  <c r="X322" i="5"/>
  <c r="Y322" i="5"/>
  <c r="Y312" i="5"/>
  <c r="X312" i="5"/>
  <c r="X199" i="5"/>
  <c r="Y199" i="5"/>
  <c r="X34" i="5"/>
  <c r="Y34" i="5"/>
  <c r="X177" i="5"/>
  <c r="Y177" i="5"/>
  <c r="Y301" i="5"/>
  <c r="X301" i="5"/>
  <c r="X145" i="5"/>
  <c r="Y145" i="5"/>
  <c r="X269" i="5"/>
  <c r="Y269" i="5"/>
  <c r="X221" i="5"/>
  <c r="Y221" i="5"/>
  <c r="Y208" i="5"/>
  <c r="X208" i="5"/>
  <c r="X92" i="5"/>
  <c r="Y92" i="5"/>
  <c r="Y437" i="5"/>
  <c r="X437" i="5"/>
  <c r="X334" i="5"/>
  <c r="Y334" i="5"/>
  <c r="X74" i="5"/>
  <c r="Y74" i="5"/>
  <c r="X200" i="5"/>
  <c r="Y200" i="5"/>
  <c r="X246" i="5"/>
  <c r="Y246" i="5"/>
  <c r="Y348" i="5"/>
  <c r="X348" i="5"/>
  <c r="Y485" i="5"/>
  <c r="X485" i="5"/>
  <c r="X311" i="5"/>
  <c r="Y311" i="5"/>
  <c r="Y339" i="5"/>
  <c r="X339" i="5"/>
  <c r="Y160" i="5"/>
  <c r="X160" i="5"/>
  <c r="Y413" i="5"/>
  <c r="X413" i="5"/>
  <c r="Y379" i="5"/>
  <c r="X379" i="5"/>
  <c r="Y140" i="5"/>
  <c r="X140" i="5"/>
  <c r="X89" i="5"/>
  <c r="Y89" i="5"/>
  <c r="X466" i="5"/>
  <c r="Y466" i="5"/>
  <c r="Y229" i="5"/>
  <c r="X229" i="5"/>
  <c r="X168" i="5"/>
  <c r="Y168" i="5"/>
  <c r="Y416" i="5"/>
  <c r="X416" i="5"/>
  <c r="X499" i="5"/>
  <c r="Y499" i="5"/>
  <c r="X148" i="5"/>
  <c r="Y148" i="5"/>
  <c r="Y231" i="5"/>
  <c r="X231" i="5"/>
  <c r="R7" i="5"/>
  <c r="S7" i="5"/>
  <c r="AV74" i="4"/>
  <c r="U74" i="4"/>
  <c r="AV137" i="4"/>
  <c r="U137" i="4"/>
  <c r="AV126" i="4"/>
  <c r="U126" i="4"/>
  <c r="AV147" i="4"/>
  <c r="U147" i="4"/>
  <c r="AV121" i="4"/>
  <c r="U121" i="4"/>
  <c r="AV8" i="4"/>
  <c r="U8" i="4"/>
  <c r="AV94" i="4"/>
  <c r="U94" i="4"/>
  <c r="AV15" i="4"/>
  <c r="U15" i="4"/>
  <c r="AV59" i="4"/>
  <c r="U59" i="4"/>
  <c r="AV30" i="4"/>
  <c r="U30" i="4"/>
  <c r="AV93" i="4"/>
  <c r="U93" i="4"/>
  <c r="AV44" i="4"/>
  <c r="U44" i="4"/>
  <c r="AV145" i="4"/>
  <c r="U145" i="4"/>
  <c r="AV33" i="4"/>
  <c r="U33" i="4"/>
  <c r="AV31" i="4"/>
  <c r="U31" i="4"/>
  <c r="AV141" i="4"/>
  <c r="U141" i="4"/>
  <c r="AV67" i="4"/>
  <c r="U67" i="4"/>
  <c r="AV61" i="4"/>
  <c r="U61" i="4"/>
  <c r="AF11" i="5"/>
  <c r="AF9" i="5"/>
  <c r="AF94" i="5"/>
  <c r="AF395" i="5"/>
  <c r="AF391" i="5"/>
  <c r="AF497" i="5"/>
  <c r="AF523" i="5"/>
  <c r="AF342" i="5"/>
  <c r="AF499" i="5"/>
  <c r="AF56" i="5"/>
  <c r="AF258" i="5"/>
  <c r="AF524" i="5"/>
  <c r="AF414" i="5"/>
  <c r="AF33" i="5"/>
  <c r="AF245" i="5"/>
  <c r="AF277" i="5"/>
  <c r="AF517" i="5"/>
  <c r="AF452" i="5"/>
  <c r="AF496" i="5"/>
  <c r="AF136" i="5"/>
  <c r="AF513" i="5"/>
  <c r="AF461" i="5"/>
  <c r="AF232" i="5"/>
  <c r="AF250" i="5"/>
  <c r="AF511" i="5"/>
  <c r="AF321" i="5"/>
  <c r="AF167" i="5"/>
  <c r="AF29" i="5"/>
  <c r="AF77" i="5"/>
  <c r="AF440" i="5"/>
  <c r="AF164" i="5"/>
  <c r="AF371" i="5"/>
  <c r="AF281" i="5"/>
  <c r="AF292" i="5"/>
  <c r="AF330" i="5"/>
  <c r="AF43" i="5"/>
  <c r="AF364" i="5"/>
  <c r="AF148" i="5"/>
  <c r="AF454" i="5"/>
  <c r="AF460" i="5"/>
  <c r="AF495" i="5"/>
  <c r="AF98" i="5"/>
  <c r="AF539" i="5"/>
  <c r="AF445" i="5"/>
  <c r="AF55" i="5"/>
  <c r="AF360" i="5"/>
  <c r="AF412" i="5"/>
  <c r="AF427" i="5"/>
  <c r="AF305" i="5"/>
  <c r="AF146" i="5"/>
  <c r="AF288" i="5"/>
  <c r="AF131" i="5"/>
  <c r="AF112" i="5"/>
  <c r="AF189" i="5"/>
  <c r="AF551" i="5"/>
  <c r="AF139" i="5"/>
  <c r="AF104" i="5"/>
  <c r="AF177" i="5"/>
  <c r="AF210" i="5"/>
  <c r="AF500" i="5"/>
  <c r="AF243" i="5"/>
  <c r="AF205" i="5"/>
  <c r="AF278" i="5"/>
  <c r="AF172" i="5"/>
  <c r="AF393" i="5"/>
  <c r="AF366" i="5"/>
  <c r="AF347" i="5"/>
  <c r="AF127" i="5"/>
  <c r="AF89" i="5"/>
  <c r="AF153" i="5"/>
  <c r="AF208" i="5"/>
  <c r="AF256" i="5"/>
  <c r="AF255" i="5"/>
  <c r="AF234" i="5"/>
  <c r="AF116" i="5"/>
  <c r="AF532" i="5"/>
  <c r="AF415" i="5"/>
  <c r="AP415" i="5" s="1"/>
  <c r="AF100" i="5"/>
  <c r="AF537" i="5"/>
  <c r="AF544" i="5"/>
  <c r="AF310" i="5"/>
  <c r="AF430" i="5"/>
  <c r="AF142" i="5"/>
  <c r="AF357" i="5"/>
  <c r="AF138" i="5"/>
  <c r="AF548" i="5"/>
  <c r="AF318" i="5"/>
  <c r="AF85" i="5"/>
  <c r="AF542" i="5"/>
  <c r="AF370" i="5"/>
  <c r="AF308" i="5"/>
  <c r="AF465" i="5"/>
  <c r="AF467" i="5"/>
  <c r="AF451" i="5"/>
  <c r="AF408" i="5"/>
  <c r="AF163" i="5"/>
  <c r="AF122" i="5"/>
  <c r="AF203" i="5"/>
  <c r="AF76" i="5"/>
  <c r="AF118" i="5"/>
  <c r="AF443" i="5"/>
  <c r="AF257" i="5"/>
  <c r="AF268" i="5"/>
  <c r="AF30" i="5"/>
  <c r="AF401" i="5"/>
  <c r="AF295" i="5"/>
  <c r="AF252" i="5"/>
  <c r="AF550" i="5"/>
  <c r="AF506" i="5"/>
  <c r="AF486" i="5"/>
  <c r="AF394" i="5"/>
  <c r="AF425" i="5"/>
  <c r="AF19" i="5"/>
  <c r="AF212" i="5"/>
  <c r="AF135" i="5"/>
  <c r="AF488" i="5"/>
  <c r="AF510" i="5"/>
  <c r="AF231" i="5"/>
  <c r="AF490" i="5"/>
  <c r="AF93" i="5"/>
  <c r="AF435" i="5"/>
  <c r="AF267" i="5"/>
  <c r="AF346" i="5"/>
  <c r="AF265" i="5"/>
  <c r="AF241" i="5"/>
  <c r="AF140" i="5"/>
  <c r="AF507" i="5"/>
  <c r="AF62" i="5"/>
  <c r="AF319" i="5"/>
  <c r="AF128" i="5"/>
  <c r="AF291" i="5"/>
  <c r="AF32" i="5"/>
  <c r="AF555" i="5"/>
  <c r="AF389" i="5"/>
  <c r="AF156" i="5"/>
  <c r="AF133" i="5"/>
  <c r="AF424" i="5"/>
  <c r="AF477" i="5"/>
  <c r="AF260" i="5"/>
  <c r="AF194" i="5"/>
  <c r="AF325" i="5"/>
  <c r="AF242" i="5"/>
  <c r="AF399" i="5"/>
  <c r="AF527" i="5"/>
  <c r="AF63" i="5"/>
  <c r="AF480" i="5"/>
  <c r="AF505" i="5"/>
  <c r="AF458" i="5"/>
  <c r="AF478" i="5"/>
  <c r="AF36" i="5"/>
  <c r="AF201" i="5"/>
  <c r="AF181" i="5"/>
  <c r="AF361" i="5"/>
  <c r="AF372" i="5"/>
  <c r="AF52" i="5"/>
  <c r="AF459" i="5"/>
  <c r="AF132" i="5"/>
  <c r="AF190" i="5"/>
  <c r="AF45" i="5"/>
  <c r="AF247" i="5"/>
  <c r="AF279" i="5"/>
  <c r="AF46" i="5"/>
  <c r="AF134" i="5"/>
  <c r="AF368" i="5"/>
  <c r="AF123" i="5"/>
  <c r="AF73" i="5"/>
  <c r="AF403" i="5"/>
  <c r="AF538" i="5"/>
  <c r="AF48" i="5"/>
  <c r="AF166" i="5"/>
  <c r="AF26" i="5"/>
  <c r="AF8" i="5"/>
  <c r="AF540" i="5"/>
  <c r="AF374" i="5"/>
  <c r="AF326" i="5"/>
  <c r="AF99" i="5"/>
  <c r="AF526" i="5"/>
  <c r="AF207" i="5"/>
  <c r="AF290" i="5"/>
  <c r="AF546" i="5"/>
  <c r="AF334" i="5"/>
  <c r="AF547" i="5"/>
  <c r="AF441" i="5"/>
  <c r="AF58" i="5"/>
  <c r="AF110" i="5"/>
  <c r="AF187" i="5"/>
  <c r="AF312" i="5"/>
  <c r="AF313" i="5"/>
  <c r="AF314" i="5"/>
  <c r="AF417" i="5"/>
  <c r="AF66" i="5"/>
  <c r="AF554" i="5"/>
  <c r="AF385" i="5"/>
  <c r="AF447" i="5"/>
  <c r="AF516" i="5"/>
  <c r="AF240" i="5"/>
  <c r="AF323" i="5"/>
  <c r="AF283" i="5"/>
  <c r="AF87" i="5"/>
  <c r="AF178" i="5"/>
  <c r="AF558" i="5"/>
  <c r="AF453" i="5"/>
  <c r="AF31" i="5"/>
  <c r="AP31" i="5" s="1"/>
  <c r="AF333" i="5"/>
  <c r="AF216" i="5"/>
  <c r="AF404" i="5"/>
  <c r="AF350" i="5"/>
  <c r="AF282" i="5"/>
  <c r="AF429" i="5"/>
  <c r="AF175" i="5"/>
  <c r="AF154" i="5"/>
  <c r="AF533" i="5"/>
  <c r="AF434" i="5"/>
  <c r="AF126" i="5"/>
  <c r="AF125" i="5"/>
  <c r="AF525" i="5"/>
  <c r="AF504" i="5"/>
  <c r="AF348" i="5"/>
  <c r="AF23" i="5"/>
  <c r="AF387" i="5"/>
  <c r="AF161" i="5"/>
  <c r="AF42" i="5"/>
  <c r="AF469" i="5"/>
  <c r="AF124" i="5"/>
  <c r="AP124" i="5" s="1"/>
  <c r="AF419" i="5"/>
  <c r="AF158" i="5"/>
  <c r="AF339" i="5"/>
  <c r="AF185" i="5"/>
  <c r="AF222" i="5"/>
  <c r="AF428" i="5"/>
  <c r="AF392" i="5"/>
  <c r="AF448" i="5"/>
  <c r="AF474" i="5"/>
  <c r="AF439" i="5"/>
  <c r="AF108" i="5"/>
  <c r="AF302" i="5"/>
  <c r="AF20" i="5"/>
  <c r="AF151" i="5"/>
  <c r="AF522" i="5"/>
  <c r="AF472" i="5"/>
  <c r="AF549" i="5"/>
  <c r="AF70" i="5"/>
  <c r="AF237" i="5"/>
  <c r="AF317" i="5"/>
  <c r="AF160" i="5"/>
  <c r="AF214" i="5"/>
  <c r="AF444" i="5"/>
  <c r="AF179" i="5"/>
  <c r="AF503" i="5"/>
  <c r="AF236" i="5"/>
  <c r="AF307" i="5"/>
  <c r="AF437" i="5"/>
  <c r="AF479" i="5"/>
  <c r="AF191" i="5"/>
  <c r="AF41" i="5"/>
  <c r="AF229" i="5"/>
  <c r="AF320" i="5"/>
  <c r="AF143" i="5"/>
  <c r="AF249" i="5"/>
  <c r="AF359" i="5"/>
  <c r="AF388" i="5"/>
  <c r="AF211" i="5"/>
  <c r="AF107" i="5"/>
  <c r="AF315" i="5"/>
  <c r="AF462" i="5"/>
  <c r="AF384" i="5"/>
  <c r="AF455" i="5"/>
  <c r="AF200" i="5"/>
  <c r="AF246" i="5"/>
  <c r="AF114" i="5"/>
  <c r="AF433" i="5"/>
  <c r="AF489" i="5"/>
  <c r="AF520" i="5"/>
  <c r="AF91" i="5"/>
  <c r="AF529" i="5"/>
  <c r="AF299" i="5"/>
  <c r="AF117" i="5"/>
  <c r="AF294" i="5"/>
  <c r="AF109" i="5"/>
  <c r="AF543" i="5"/>
  <c r="AF426" i="5"/>
  <c r="AF121" i="5"/>
  <c r="AF235" i="5"/>
  <c r="AF206" i="5"/>
  <c r="AF416" i="5"/>
  <c r="AF369" i="5"/>
  <c r="AF176" i="5"/>
  <c r="AF335" i="5"/>
  <c r="AF223" i="5"/>
  <c r="AF204" i="5"/>
  <c r="AF141" i="5"/>
  <c r="AF218" i="5"/>
  <c r="AF51" i="5"/>
  <c r="AF367" i="5"/>
  <c r="AF173" i="5"/>
  <c r="AF336" i="5"/>
  <c r="AF88" i="5"/>
  <c r="AF103" i="5"/>
  <c r="AP103" i="5" s="1"/>
  <c r="AF483" i="5"/>
  <c r="AF39" i="5"/>
  <c r="AF180" i="5"/>
  <c r="AF423" i="5"/>
  <c r="AF261" i="5"/>
  <c r="AF402" i="5"/>
  <c r="AF209" i="5"/>
  <c r="AF457" i="5"/>
  <c r="AF251" i="5"/>
  <c r="AF274" i="5"/>
  <c r="AF239" i="5"/>
  <c r="AP239" i="5" s="1"/>
  <c r="AF409" i="5"/>
  <c r="AF199" i="5"/>
  <c r="AF196" i="5"/>
  <c r="AF13" i="5"/>
  <c r="AF220" i="5"/>
  <c r="AF411" i="5"/>
  <c r="AF309" i="5"/>
  <c r="AF28" i="5"/>
  <c r="AF470" i="5"/>
  <c r="AF188" i="5"/>
  <c r="AF170" i="5"/>
  <c r="AF553" i="5"/>
  <c r="AF338" i="5"/>
  <c r="AF446" i="5"/>
  <c r="AF145" i="5"/>
  <c r="AF390" i="5"/>
  <c r="AF502" i="5"/>
  <c r="AF501" i="5"/>
  <c r="AF244" i="5"/>
  <c r="AF60" i="5"/>
  <c r="AF287" i="5"/>
  <c r="AF79" i="5"/>
  <c r="AF150" i="5"/>
  <c r="AF54" i="5"/>
  <c r="AF464" i="5"/>
  <c r="AF159" i="5"/>
  <c r="AF80" i="5"/>
  <c r="AF284" i="5"/>
  <c r="AF442" i="5"/>
  <c r="AF400" i="5"/>
  <c r="AF183" i="5"/>
  <c r="AF491" i="5"/>
  <c r="AF47" i="5"/>
  <c r="AF397" i="5"/>
  <c r="AF171" i="5"/>
  <c r="AF262" i="5"/>
  <c r="AF410" i="5"/>
  <c r="AF61" i="5"/>
  <c r="AF345" i="5"/>
  <c r="AF82" i="5"/>
  <c r="AF67" i="5"/>
  <c r="AF221" i="5"/>
  <c r="AF168" i="5"/>
  <c r="AF269" i="5"/>
  <c r="AF485" i="5"/>
  <c r="AF119" i="5"/>
  <c r="AF463" i="5"/>
  <c r="AF53" i="5"/>
  <c r="AF137" i="5"/>
  <c r="AF494" i="5"/>
  <c r="AF536" i="5"/>
  <c r="AF50" i="5"/>
  <c r="AF322" i="5"/>
  <c r="AF72" i="5"/>
  <c r="AF431" i="5"/>
  <c r="AF92" i="5"/>
  <c r="AF406" i="5"/>
  <c r="AF195" i="5"/>
  <c r="AF213" i="5"/>
  <c r="AF353" i="5"/>
  <c r="AF259" i="5"/>
  <c r="AF86" i="5"/>
  <c r="AF197" i="5"/>
  <c r="AF271" i="5"/>
  <c r="AF528" i="5"/>
  <c r="AF280" i="5"/>
  <c r="AF436" i="5"/>
  <c r="AF186" i="5"/>
  <c r="AF130" i="5"/>
  <c r="AF481" i="5"/>
  <c r="AF296" i="5"/>
  <c r="AF398" i="5"/>
  <c r="AF456" i="5"/>
  <c r="AF101" i="5"/>
  <c r="AF381" i="5"/>
  <c r="AF450" i="5"/>
  <c r="AF383" i="5"/>
  <c r="AF65" i="5"/>
  <c r="AF303" i="5"/>
  <c r="AF147" i="5"/>
  <c r="AF157" i="5"/>
  <c r="AF351" i="5"/>
  <c r="AF421" i="5"/>
  <c r="AF75" i="5"/>
  <c r="AF306" i="5"/>
  <c r="AF68" i="5"/>
  <c r="AF169" i="5"/>
  <c r="AF521" i="5"/>
  <c r="AF219" i="5"/>
  <c r="AF377" i="5"/>
  <c r="AF515" i="5"/>
  <c r="AF354" i="5"/>
  <c r="AF418" i="5"/>
  <c r="AF396" i="5"/>
  <c r="AF129" i="5"/>
  <c r="AF152" i="5"/>
  <c r="AF7" i="5"/>
  <c r="AF59" i="5"/>
  <c r="AF438" i="5"/>
  <c r="AF174" i="5"/>
  <c r="AF289" i="5"/>
  <c r="AF328" i="5"/>
  <c r="AF182" i="5"/>
  <c r="AF484" i="5"/>
  <c r="AF466" i="5"/>
  <c r="AF40" i="5"/>
  <c r="AF362" i="5"/>
  <c r="AF230" i="5"/>
  <c r="AF329" i="5"/>
  <c r="AF519" i="5"/>
  <c r="AF78" i="5"/>
  <c r="AF363" i="5"/>
  <c r="AF44" i="5"/>
  <c r="AF90" i="5"/>
  <c r="AF253" i="5"/>
  <c r="AF380" i="5"/>
  <c r="AF468" i="5"/>
  <c r="AF365" i="5"/>
  <c r="AF341" i="5"/>
  <c r="AF297" i="5"/>
  <c r="AF373" i="5"/>
  <c r="AF22" i="5"/>
  <c r="AF304" i="5"/>
  <c r="AF165" i="5"/>
  <c r="AF449" i="5"/>
  <c r="AF331" i="5"/>
  <c r="AF106" i="5"/>
  <c r="AF69" i="5"/>
  <c r="AF96" i="5"/>
  <c r="AF115" i="5"/>
  <c r="AF263" i="5"/>
  <c r="AF413" i="5"/>
  <c r="AF508" i="5"/>
  <c r="AF275" i="5"/>
  <c r="AF24" i="5"/>
  <c r="AF552" i="5"/>
  <c r="AF530" i="5"/>
  <c r="AF316" i="5"/>
  <c r="AF254" i="5"/>
  <c r="AF270" i="5"/>
  <c r="AF81" i="5"/>
  <c r="AF83" i="5"/>
  <c r="AF405" i="5"/>
  <c r="AF215" i="5"/>
  <c r="AF272" i="5"/>
  <c r="AF337" i="5"/>
  <c r="AF162" i="5"/>
  <c r="AF298" i="5"/>
  <c r="AF25" i="5"/>
  <c r="AF102" i="5"/>
  <c r="AF266" i="5"/>
  <c r="AF224" i="5"/>
  <c r="AF386" i="5"/>
  <c r="AF476" i="5"/>
  <c r="AF286" i="5"/>
  <c r="AF541" i="5"/>
  <c r="AF293" i="5"/>
  <c r="AF120" i="5"/>
  <c r="AF560" i="5"/>
  <c r="AF74" i="5"/>
  <c r="AF352" i="5"/>
  <c r="AP352" i="5" s="1"/>
  <c r="AF10" i="5"/>
  <c r="AF38" i="5"/>
  <c r="AF557" i="5"/>
  <c r="AF407" i="5"/>
  <c r="AF349" i="5"/>
  <c r="AF311" i="5"/>
  <c r="AF192" i="5"/>
  <c r="AF514" i="5"/>
  <c r="AF226" i="5"/>
  <c r="AF498" i="5"/>
  <c r="AF238" i="5"/>
  <c r="AF84" i="5"/>
  <c r="AF471" i="5"/>
  <c r="AF57" i="5"/>
  <c r="AF518" i="5"/>
  <c r="AF531" i="5"/>
  <c r="AF422" i="5"/>
  <c r="AF356" i="5"/>
  <c r="AF35" i="5"/>
  <c r="AF378" i="5"/>
  <c r="AF276" i="5"/>
  <c r="AF64" i="5"/>
  <c r="AF355" i="5"/>
  <c r="AF358" i="5"/>
  <c r="AF332" i="5"/>
  <c r="AF193" i="5"/>
  <c r="AF509" i="5"/>
  <c r="AF225" i="5"/>
  <c r="AF327" i="5"/>
  <c r="AF198" i="5"/>
  <c r="AF482" i="5"/>
  <c r="AF264" i="5"/>
  <c r="AF37" i="5"/>
  <c r="AF473" i="5"/>
  <c r="AF144" i="5"/>
  <c r="AF228" i="5"/>
  <c r="AF97" i="5"/>
  <c r="AF27" i="5"/>
  <c r="AF379" i="5"/>
  <c r="AF49" i="5"/>
  <c r="AF556" i="5"/>
  <c r="AF375" i="5"/>
  <c r="AF248" i="5"/>
  <c r="AF71" i="5"/>
  <c r="AF534" i="5"/>
  <c r="AF492" i="5"/>
  <c r="AF559" i="5"/>
  <c r="AP559" i="5" s="1"/>
  <c r="AF545" i="5"/>
  <c r="AF344" i="5"/>
  <c r="AF111" i="5"/>
  <c r="AF340" i="5"/>
  <c r="AF113" i="5"/>
  <c r="AF512" i="5"/>
  <c r="AF155" i="5"/>
  <c r="AF285" i="5"/>
  <c r="AF149" i="5"/>
  <c r="AF12" i="5"/>
  <c r="AF227" i="5"/>
  <c r="AF493" i="5"/>
  <c r="AF432" i="5"/>
  <c r="AF105" i="5"/>
  <c r="AF34" i="5"/>
  <c r="AF21" i="5"/>
  <c r="AF233" i="5"/>
  <c r="AF273" i="5"/>
  <c r="AF535" i="5"/>
  <c r="AF324" i="5"/>
  <c r="AF382" i="5"/>
  <c r="AF343" i="5"/>
  <c r="AF475" i="5"/>
  <c r="AF202" i="5"/>
  <c r="AF300" i="5"/>
  <c r="AF217" i="5"/>
  <c r="AF184" i="5"/>
  <c r="AF420" i="5"/>
  <c r="AF376" i="5"/>
  <c r="AF301" i="5"/>
  <c r="AF95" i="5"/>
  <c r="AF487" i="5"/>
  <c r="Y428" i="5"/>
  <c r="X428" i="5"/>
  <c r="Y336" i="5"/>
  <c r="X336" i="5"/>
  <c r="X449" i="5"/>
  <c r="Y449" i="5"/>
  <c r="X424" i="5"/>
  <c r="Y424" i="5"/>
  <c r="Y456" i="5"/>
  <c r="X456" i="5"/>
  <c r="X340" i="5"/>
  <c r="Y340" i="5"/>
  <c r="X261" i="5"/>
  <c r="Y261" i="5"/>
  <c r="X439" i="5"/>
  <c r="Y439" i="5"/>
  <c r="X460" i="5"/>
  <c r="Y460" i="5"/>
  <c r="X514" i="5"/>
  <c r="Y514" i="5"/>
  <c r="Y213" i="5"/>
  <c r="X213" i="5"/>
  <c r="X444" i="5"/>
  <c r="Y444" i="5"/>
  <c r="Y181" i="5"/>
  <c r="X181" i="5"/>
  <c r="Y345" i="5"/>
  <c r="X345" i="5"/>
  <c r="Y53" i="5"/>
  <c r="X53" i="5"/>
  <c r="X124" i="5"/>
  <c r="Y124" i="5"/>
  <c r="X288" i="5"/>
  <c r="Y288" i="5"/>
  <c r="Y446" i="5"/>
  <c r="X446" i="5"/>
  <c r="X531" i="5"/>
  <c r="Y531" i="5"/>
  <c r="Y458" i="5"/>
  <c r="X458" i="5"/>
  <c r="X406" i="5"/>
  <c r="Y406" i="5"/>
  <c r="Y402" i="5"/>
  <c r="X402" i="5"/>
  <c r="X49" i="5"/>
  <c r="Y49" i="5"/>
  <c r="Y186" i="5"/>
  <c r="X186" i="5"/>
  <c r="X268" i="5"/>
  <c r="Y268" i="5"/>
  <c r="Y450" i="5"/>
  <c r="X450" i="5"/>
  <c r="X526" i="5"/>
  <c r="Y526" i="5"/>
  <c r="X32" i="5"/>
  <c r="Y32" i="5"/>
  <c r="X360" i="5"/>
  <c r="Y360" i="5"/>
  <c r="X392" i="5"/>
  <c r="Y392" i="5"/>
  <c r="Y487" i="5"/>
  <c r="X487" i="5"/>
  <c r="X279" i="5"/>
  <c r="Y279" i="5"/>
  <c r="X532" i="5"/>
  <c r="Y532" i="5"/>
  <c r="X536" i="5"/>
  <c r="Y536" i="5"/>
  <c r="Y447" i="5"/>
  <c r="X447" i="5"/>
  <c r="Y131" i="5"/>
  <c r="X131" i="5"/>
  <c r="X94" i="5"/>
  <c r="Y94" i="5"/>
  <c r="X169" i="5"/>
  <c r="Y169" i="5"/>
  <c r="Y519" i="5"/>
  <c r="X519" i="5"/>
  <c r="Y386" i="5"/>
  <c r="X386" i="5"/>
  <c r="X329" i="5"/>
  <c r="Y329" i="5"/>
  <c r="X93" i="5"/>
  <c r="Y93" i="5"/>
  <c r="Y122" i="5"/>
  <c r="X122" i="5"/>
  <c r="X369" i="5"/>
  <c r="Y369" i="5"/>
  <c r="B182" i="2"/>
  <c r="B171" i="2"/>
  <c r="B179" i="2" s="1"/>
  <c r="B186" i="2" s="1"/>
  <c r="AV85" i="4"/>
  <c r="U85" i="4"/>
  <c r="AV65" i="4"/>
  <c r="U65" i="4"/>
  <c r="AV146" i="4"/>
  <c r="U146" i="4"/>
  <c r="AV99" i="4"/>
  <c r="U99" i="4"/>
  <c r="AV64" i="4"/>
  <c r="U64" i="4"/>
  <c r="AV29" i="4"/>
  <c r="U29" i="4"/>
  <c r="AV98" i="4"/>
  <c r="U98" i="4"/>
  <c r="AV122" i="4"/>
  <c r="U122" i="4"/>
  <c r="AV129" i="4"/>
  <c r="U129" i="4"/>
  <c r="AV89" i="4"/>
  <c r="U89" i="4"/>
  <c r="AV136" i="4"/>
  <c r="U136" i="4"/>
  <c r="AV91" i="4"/>
  <c r="U91" i="4"/>
  <c r="AV109" i="4"/>
  <c r="U109" i="4"/>
  <c r="AV87" i="4"/>
  <c r="U87" i="4"/>
  <c r="AV113" i="4"/>
  <c r="U113" i="4"/>
  <c r="AV53" i="4"/>
  <c r="U53" i="4"/>
  <c r="AV34" i="4"/>
  <c r="U34" i="4"/>
  <c r="AV76" i="4"/>
  <c r="U76" i="4"/>
  <c r="AV41" i="4"/>
  <c r="U41" i="4"/>
  <c r="AV48" i="4"/>
  <c r="U48" i="4"/>
  <c r="AV37" i="4"/>
  <c r="U37" i="4"/>
  <c r="AV96" i="4"/>
  <c r="U96" i="4"/>
  <c r="AV68" i="4"/>
  <c r="U68" i="4"/>
  <c r="AV50" i="4"/>
  <c r="U50" i="4"/>
  <c r="AV56" i="4"/>
  <c r="U56" i="4"/>
  <c r="AV46" i="4"/>
  <c r="U46" i="4"/>
  <c r="AV102" i="4"/>
  <c r="U102" i="4"/>
  <c r="AV62" i="4"/>
  <c r="U62" i="4"/>
  <c r="U108" i="4"/>
  <c r="AV108" i="4"/>
  <c r="AV95" i="4"/>
  <c r="U95" i="4"/>
  <c r="AV39" i="4"/>
  <c r="U39" i="4"/>
  <c r="AV25" i="4"/>
  <c r="U25" i="4"/>
  <c r="U9" i="4"/>
  <c r="AV9" i="4"/>
  <c r="B39" i="5"/>
  <c r="B38" i="5"/>
  <c r="X26" i="5"/>
  <c r="Y26" i="5"/>
  <c r="X263" i="5"/>
  <c r="Y263" i="5"/>
  <c r="X321" i="5"/>
  <c r="Y321" i="5"/>
  <c r="Y102" i="5"/>
  <c r="X102" i="5"/>
  <c r="Y429" i="5"/>
  <c r="X429" i="5"/>
  <c r="X159" i="5"/>
  <c r="Y159" i="5"/>
  <c r="X362" i="5"/>
  <c r="Y362" i="5"/>
  <c r="X427" i="5"/>
  <c r="Y427" i="5"/>
  <c r="X401" i="5"/>
  <c r="Y401" i="5"/>
  <c r="X240" i="5"/>
  <c r="Y240" i="5"/>
  <c r="X153" i="5"/>
  <c r="Y153" i="5"/>
  <c r="Y478" i="5"/>
  <c r="X478" i="5"/>
  <c r="X244" i="5"/>
  <c r="Y244" i="5"/>
  <c r="Y313" i="5"/>
  <c r="X313" i="5"/>
  <c r="Y78" i="5"/>
  <c r="X78" i="5"/>
  <c r="X470" i="5"/>
  <c r="Y470" i="5"/>
  <c r="AV63" i="4"/>
  <c r="U63" i="4"/>
  <c r="AV119" i="4"/>
  <c r="U119" i="4"/>
  <c r="AV100" i="4"/>
  <c r="U100" i="4"/>
  <c r="AV43" i="4"/>
  <c r="U43" i="4"/>
  <c r="AV139" i="4"/>
  <c r="U139" i="4"/>
  <c r="AV130" i="4"/>
  <c r="U130" i="4"/>
  <c r="AV82" i="4"/>
  <c r="U82" i="4"/>
  <c r="U16" i="4"/>
  <c r="AV16" i="4"/>
  <c r="AV78" i="4"/>
  <c r="U78" i="4"/>
  <c r="AV105" i="4"/>
  <c r="U105" i="4"/>
  <c r="AV104" i="4"/>
  <c r="U104" i="4"/>
  <c r="AV55" i="4"/>
  <c r="U55" i="4"/>
  <c r="AV47" i="4"/>
  <c r="U47" i="4"/>
  <c r="AV135" i="4"/>
  <c r="U135" i="4"/>
  <c r="AV27" i="4"/>
  <c r="U27" i="4"/>
  <c r="AV20" i="4"/>
  <c r="U20" i="4"/>
  <c r="AV69" i="4"/>
  <c r="U69" i="4"/>
  <c r="AV140" i="4"/>
  <c r="U140" i="4"/>
  <c r="AV114" i="4"/>
  <c r="U114" i="4"/>
  <c r="AV88" i="4"/>
  <c r="U88" i="4"/>
  <c r="AV97" i="4"/>
  <c r="U97" i="4"/>
  <c r="AV106" i="4"/>
  <c r="U106" i="4"/>
  <c r="AV118" i="4"/>
  <c r="U118" i="4"/>
  <c r="AV128" i="4"/>
  <c r="U128" i="4"/>
  <c r="AV35" i="4"/>
  <c r="U35" i="4"/>
  <c r="AV144" i="4"/>
  <c r="U144" i="4"/>
  <c r="U24" i="4"/>
  <c r="AV24" i="4"/>
  <c r="AV84" i="4"/>
  <c r="U84" i="4"/>
  <c r="AV10" i="4"/>
  <c r="U10" i="4"/>
  <c r="AV148" i="4"/>
  <c r="U148" i="4"/>
  <c r="AV51" i="4"/>
  <c r="U51" i="4"/>
  <c r="AV70" i="4"/>
  <c r="U70" i="4"/>
  <c r="AV138" i="4"/>
  <c r="U138" i="4"/>
  <c r="AV57" i="4"/>
  <c r="U57" i="4"/>
  <c r="U54" i="4"/>
  <c r="AV54" i="4"/>
  <c r="AV150" i="4"/>
  <c r="U150" i="4"/>
  <c r="AV80" i="4"/>
  <c r="U80" i="4"/>
  <c r="U142" i="4"/>
  <c r="AV142" i="4"/>
  <c r="AC7" i="5"/>
  <c r="Y135" i="5"/>
  <c r="X135" i="5"/>
  <c r="X175" i="5"/>
  <c r="Y175" i="5"/>
  <c r="Y156" i="5"/>
  <c r="X156" i="5"/>
  <c r="X112" i="5"/>
  <c r="Y112" i="5"/>
  <c r="Y527" i="5"/>
  <c r="X527" i="5"/>
  <c r="Y411" i="5"/>
  <c r="X411" i="5"/>
  <c r="X116" i="5"/>
  <c r="Y116" i="5"/>
  <c r="X544" i="5"/>
  <c r="Y544" i="5"/>
  <c r="X398" i="5"/>
  <c r="Y398" i="5"/>
  <c r="X483" i="5"/>
  <c r="Y483" i="5"/>
  <c r="Y66" i="5"/>
  <c r="X66" i="5"/>
  <c r="Y397" i="5"/>
  <c r="X397" i="5"/>
  <c r="X81" i="5"/>
  <c r="Y81" i="5"/>
  <c r="Y27" i="5"/>
  <c r="X27" i="5"/>
  <c r="X190" i="5"/>
  <c r="Y190" i="5"/>
  <c r="X520" i="5"/>
  <c r="Y520" i="5"/>
  <c r="X55" i="5"/>
  <c r="Y55" i="5"/>
  <c r="Y210" i="5"/>
  <c r="X210" i="5"/>
  <c r="Y417" i="5"/>
  <c r="X417" i="5"/>
  <c r="X384" i="5"/>
  <c r="Y384" i="5"/>
  <c r="X337" i="5"/>
  <c r="Y337" i="5"/>
  <c r="X195" i="5"/>
  <c r="Y195" i="5"/>
  <c r="X219" i="5"/>
  <c r="Y219" i="5"/>
  <c r="Y118" i="5"/>
  <c r="X118" i="5"/>
  <c r="X378" i="5"/>
  <c r="Y378" i="5"/>
  <c r="X546" i="5"/>
  <c r="Y546" i="5"/>
  <c r="X275" i="5"/>
  <c r="Y275" i="5"/>
  <c r="X280" i="5"/>
  <c r="Y280" i="5"/>
  <c r="X372" i="5"/>
  <c r="Y372" i="5"/>
  <c r="X143" i="5"/>
  <c r="Y143" i="5"/>
  <c r="X493" i="5"/>
  <c r="Y493" i="5"/>
  <c r="X516" i="5"/>
  <c r="Y516" i="5"/>
  <c r="X155" i="5"/>
  <c r="Y155" i="5"/>
  <c r="X419" i="5"/>
  <c r="Y419" i="5"/>
  <c r="Y498" i="5"/>
  <c r="X498" i="5"/>
  <c r="Y283" i="5"/>
  <c r="X283" i="5"/>
  <c r="Y341" i="5"/>
  <c r="X341" i="5"/>
  <c r="Y205" i="5"/>
  <c r="X205" i="5"/>
  <c r="X319" i="5"/>
  <c r="Y319" i="5"/>
  <c r="X274" i="5"/>
  <c r="Y274" i="5"/>
  <c r="X259" i="5"/>
  <c r="Y259" i="5"/>
  <c r="Y184" i="5"/>
  <c r="X184" i="5"/>
  <c r="Y365" i="5"/>
  <c r="X365" i="5"/>
  <c r="X130" i="5"/>
  <c r="Y130" i="5"/>
  <c r="Y353" i="5"/>
  <c r="X353" i="5"/>
  <c r="Y320" i="5"/>
  <c r="X320" i="5"/>
  <c r="X171" i="5"/>
  <c r="Y171" i="5"/>
  <c r="X45" i="5"/>
  <c r="Y45" i="5"/>
  <c r="Y86" i="5"/>
  <c r="X86" i="5"/>
  <c r="Y146" i="5"/>
  <c r="X146" i="5"/>
  <c r="X377" i="5"/>
  <c r="Y377" i="5"/>
  <c r="X286" i="5"/>
  <c r="Y286" i="5"/>
  <c r="X477" i="5"/>
  <c r="Y477" i="5"/>
  <c r="Y557" i="5"/>
  <c r="X557" i="5"/>
  <c r="Y383" i="5"/>
  <c r="X383" i="5"/>
  <c r="X21" i="5"/>
  <c r="Y21" i="5"/>
  <c r="Y73" i="5"/>
  <c r="X73" i="5"/>
  <c r="X39" i="5"/>
  <c r="Y39" i="5"/>
  <c r="X366" i="5"/>
  <c r="Y366" i="5"/>
  <c r="X328" i="5"/>
  <c r="Y328" i="5"/>
  <c r="Y306" i="5"/>
  <c r="X306" i="5"/>
  <c r="X125" i="5"/>
  <c r="Y125" i="5"/>
  <c r="Y71" i="5"/>
  <c r="X71" i="5"/>
  <c r="Y403" i="5"/>
  <c r="X403" i="5"/>
  <c r="X88" i="5"/>
  <c r="Y88" i="5"/>
  <c r="X304" i="5"/>
  <c r="Y304" i="5"/>
  <c r="X488" i="5"/>
  <c r="Y488" i="5"/>
  <c r="Y346" i="5"/>
  <c r="X346" i="5"/>
  <c r="X265" i="5"/>
  <c r="Y265" i="5"/>
  <c r="Y309" i="5"/>
  <c r="X309" i="5"/>
  <c r="Y85" i="5"/>
  <c r="X85" i="5"/>
  <c r="X459" i="5"/>
  <c r="Y459" i="5"/>
  <c r="Y442" i="5"/>
  <c r="X442" i="5"/>
  <c r="Y307" i="5"/>
  <c r="X307" i="5"/>
  <c r="X64" i="5"/>
  <c r="Y64" i="5"/>
  <c r="Y247" i="5"/>
  <c r="X247" i="5"/>
  <c r="X167" i="5"/>
  <c r="Y167" i="5"/>
  <c r="X465" i="5"/>
  <c r="Y465" i="5"/>
  <c r="Y435" i="5"/>
  <c r="X435" i="5"/>
  <c r="X420" i="5"/>
  <c r="Y420" i="5"/>
  <c r="Y47" i="5"/>
  <c r="X47" i="5"/>
  <c r="X235" i="5"/>
  <c r="Y235" i="5"/>
  <c r="X245" i="5"/>
  <c r="Y245" i="5"/>
  <c r="Y31" i="5"/>
  <c r="X31" i="5"/>
  <c r="X216" i="5"/>
  <c r="Y216" i="5"/>
  <c r="X204" i="5"/>
  <c r="Y204" i="5"/>
  <c r="X371" i="5"/>
  <c r="Y371" i="5"/>
  <c r="X117" i="5"/>
  <c r="Y117" i="5"/>
  <c r="Y486" i="5"/>
  <c r="X486" i="5"/>
  <c r="X358" i="5"/>
  <c r="Y358" i="5"/>
  <c r="X434" i="5"/>
  <c r="Y434" i="5"/>
  <c r="Y256" i="5"/>
  <c r="X256" i="5"/>
  <c r="Y454" i="5"/>
  <c r="X454" i="5"/>
  <c r="X44" i="5"/>
  <c r="Y44" i="5"/>
  <c r="X158" i="5"/>
  <c r="Y158" i="5"/>
  <c r="X537" i="5"/>
  <c r="Y537" i="5"/>
  <c r="Y453" i="5"/>
  <c r="X453" i="5"/>
  <c r="X423" i="5"/>
  <c r="Y423" i="5"/>
  <c r="X90" i="5"/>
  <c r="Y90" i="5"/>
  <c r="X154" i="5"/>
  <c r="Y154" i="5"/>
  <c r="X182" i="5"/>
  <c r="Y182" i="5"/>
  <c r="X508" i="5"/>
  <c r="Y508" i="5"/>
  <c r="Y87" i="5"/>
  <c r="X87" i="5"/>
  <c r="X375" i="5"/>
  <c r="Y375" i="5"/>
  <c r="Y474" i="5"/>
  <c r="X474" i="5"/>
  <c r="X380" i="5"/>
  <c r="Y380" i="5"/>
  <c r="Y473" i="5"/>
  <c r="X473" i="5"/>
  <c r="X409" i="5"/>
  <c r="Y409" i="5"/>
  <c r="Y327" i="5"/>
  <c r="X327" i="5"/>
  <c r="Y412" i="5"/>
  <c r="X412" i="5"/>
  <c r="Y314" i="5"/>
  <c r="X314" i="5"/>
  <c r="X540" i="5"/>
  <c r="Y540" i="5"/>
  <c r="Y52" i="5"/>
  <c r="X52" i="5"/>
  <c r="X438" i="5"/>
  <c r="Y438" i="5"/>
  <c r="X351" i="5"/>
  <c r="Y351" i="5"/>
  <c r="X278" i="5"/>
  <c r="Y278" i="5"/>
  <c r="Y142" i="5"/>
  <c r="X142" i="5"/>
  <c r="Y133" i="5"/>
  <c r="X133" i="5"/>
  <c r="X443" i="5"/>
  <c r="Y443" i="5"/>
  <c r="X84" i="5"/>
  <c r="Y84" i="5"/>
  <c r="X414" i="5"/>
  <c r="Y414" i="5"/>
  <c r="Y552" i="5"/>
  <c r="X552" i="5"/>
  <c r="Y422" i="5"/>
  <c r="X422" i="5"/>
  <c r="Y42" i="5"/>
  <c r="X42" i="5"/>
  <c r="X144" i="5"/>
  <c r="Y144" i="5"/>
  <c r="Y297" i="5"/>
  <c r="X297" i="5"/>
  <c r="X293" i="5"/>
  <c r="Y293" i="5"/>
  <c r="X207" i="5"/>
  <c r="Y207" i="5"/>
  <c r="Y497" i="5"/>
  <c r="X497" i="5"/>
  <c r="X239" i="5"/>
  <c r="Y239" i="5"/>
  <c r="X305" i="5"/>
  <c r="Y305" i="5"/>
  <c r="Y212" i="5"/>
  <c r="X212" i="5"/>
  <c r="X511" i="5"/>
  <c r="Y511" i="5"/>
  <c r="Y262" i="5"/>
  <c r="X262" i="5"/>
  <c r="X410" i="5"/>
  <c r="Y410" i="5"/>
  <c r="X436" i="5"/>
  <c r="Y436" i="5"/>
  <c r="AP49" i="5" l="1"/>
  <c r="AP128" i="5"/>
  <c r="AP343" i="5"/>
  <c r="AP456" i="5"/>
  <c r="AP178" i="5"/>
  <c r="AR178" i="5" s="1"/>
  <c r="AP112" i="5"/>
  <c r="AP482" i="5"/>
  <c r="AP535" i="5"/>
  <c r="AQ535" i="5" s="1"/>
  <c r="AP140" i="5"/>
  <c r="AQ140" i="5" s="1"/>
  <c r="AP270" i="5"/>
  <c r="AR270" i="5" s="1"/>
  <c r="AP338" i="5"/>
  <c r="AR338" i="5" s="1"/>
  <c r="AP193" i="5"/>
  <c r="AQ193" i="5" s="1"/>
  <c r="AP80" i="5"/>
  <c r="AQ80" i="5" s="1"/>
  <c r="AP418" i="5"/>
  <c r="AR418" i="5" s="1"/>
  <c r="AP250" i="5"/>
  <c r="AR250" i="5" s="1"/>
  <c r="AP399" i="5"/>
  <c r="BI399" i="5" s="1"/>
  <c r="AP368" i="5"/>
  <c r="AQ368" i="5" s="1"/>
  <c r="AP228" i="5"/>
  <c r="AR228" i="5" s="1"/>
  <c r="AP183" i="5"/>
  <c r="BI183" i="5" s="1"/>
  <c r="AP472" i="5"/>
  <c r="BI472" i="5" s="1"/>
  <c r="AP363" i="5"/>
  <c r="AR363" i="5" s="1"/>
  <c r="AP117" i="5"/>
  <c r="AR117" i="5" s="1"/>
  <c r="AP20" i="5"/>
  <c r="AQ20" i="5" s="1"/>
  <c r="AP526" i="5"/>
  <c r="AR526" i="5" s="1"/>
  <c r="AP70" i="5"/>
  <c r="AR70" i="5" s="1"/>
  <c r="AP321" i="5"/>
  <c r="AQ321" i="5" s="1"/>
  <c r="AP407" i="5"/>
  <c r="BI407" i="5" s="1"/>
  <c r="AP306" i="5"/>
  <c r="BI306" i="5" s="1"/>
  <c r="AP235" i="5"/>
  <c r="BI235" i="5" s="1"/>
  <c r="AP375" i="5"/>
  <c r="AQ375" i="5" s="1"/>
  <c r="AP518" i="5"/>
  <c r="BI518" i="5" s="1"/>
  <c r="AP541" i="5"/>
  <c r="BI541" i="5" s="1"/>
  <c r="AP224" i="5"/>
  <c r="AR224" i="5" s="1"/>
  <c r="AP243" i="5"/>
  <c r="AQ243" i="5" s="1"/>
  <c r="AP442" i="5"/>
  <c r="AR442" i="5" s="1"/>
  <c r="AP21" i="5"/>
  <c r="AR21" i="5" s="1"/>
  <c r="AP331" i="5"/>
  <c r="BI331" i="5" s="1"/>
  <c r="AP184" i="5"/>
  <c r="BI184" i="5" s="1"/>
  <c r="AP473" i="5"/>
  <c r="BI473" i="5" s="1"/>
  <c r="AP286" i="5"/>
  <c r="BI286" i="5" s="1"/>
  <c r="AP253" i="5"/>
  <c r="AQ253" i="5" s="1"/>
  <c r="AP431" i="5"/>
  <c r="BI431" i="5" s="1"/>
  <c r="AP171" i="5"/>
  <c r="AQ171" i="5" s="1"/>
  <c r="AP101" i="5"/>
  <c r="BI101" i="5" s="1"/>
  <c r="AP344" i="5"/>
  <c r="AQ344" i="5" s="1"/>
  <c r="AP483" i="5"/>
  <c r="BI483" i="5" s="1"/>
  <c r="AP108" i="5"/>
  <c r="AQ108" i="5" s="1"/>
  <c r="AP449" i="5"/>
  <c r="AQ449" i="5" s="1"/>
  <c r="AP285" i="5"/>
  <c r="AQ285" i="5" s="1"/>
  <c r="AP336" i="5"/>
  <c r="AQ336" i="5" s="1"/>
  <c r="AP229" i="5"/>
  <c r="AR229" i="5" s="1"/>
  <c r="AP43" i="5"/>
  <c r="AR43" i="5" s="1"/>
  <c r="AP52" i="5"/>
  <c r="AR52" i="5" s="1"/>
  <c r="AP367" i="5"/>
  <c r="AQ367" i="5" s="1"/>
  <c r="AP406" i="5"/>
  <c r="BI406" i="5" s="1"/>
  <c r="AP471" i="5"/>
  <c r="AR471" i="5" s="1"/>
  <c r="AP476" i="5"/>
  <c r="AR476" i="5" s="1"/>
  <c r="AP397" i="5"/>
  <c r="AR397" i="5" s="1"/>
  <c r="AP23" i="5"/>
  <c r="BI23" i="5" s="1"/>
  <c r="AP202" i="5"/>
  <c r="AQ202" i="5" s="1"/>
  <c r="AP515" i="5"/>
  <c r="AQ515" i="5" s="1"/>
  <c r="AP521" i="5"/>
  <c r="AR521" i="5" s="1"/>
  <c r="AP132" i="5"/>
  <c r="AR132" i="5" s="1"/>
  <c r="AP358" i="5"/>
  <c r="AQ358" i="5" s="1"/>
  <c r="AP466" i="5"/>
  <c r="AQ466" i="5" s="1"/>
  <c r="AP220" i="5"/>
  <c r="BI220" i="5" s="1"/>
  <c r="AP292" i="5"/>
  <c r="AQ292" i="5" s="1"/>
  <c r="AP414" i="5"/>
  <c r="AR414" i="5" s="1"/>
  <c r="AP105" i="5"/>
  <c r="AQ105" i="5" s="1"/>
  <c r="AP119" i="5"/>
  <c r="BI119" i="5" s="1"/>
  <c r="AP181" i="5"/>
  <c r="AQ181" i="5" s="1"/>
  <c r="AP259" i="5"/>
  <c r="AQ259" i="5" s="1"/>
  <c r="AP64" i="5"/>
  <c r="AQ64" i="5" s="1"/>
  <c r="AP213" i="5"/>
  <c r="AQ213" i="5" s="1"/>
  <c r="AP365" i="5"/>
  <c r="AR365" i="5" s="1"/>
  <c r="AP468" i="5"/>
  <c r="AR468" i="5" s="1"/>
  <c r="AP92" i="5"/>
  <c r="AQ92" i="5" s="1"/>
  <c r="AP160" i="5"/>
  <c r="BI160" i="5" s="1"/>
  <c r="AP216" i="5"/>
  <c r="BI216" i="5" s="1"/>
  <c r="AP241" i="5"/>
  <c r="AR241" i="5" s="1"/>
  <c r="AP138" i="5"/>
  <c r="BI138" i="5" s="1"/>
  <c r="AP391" i="5"/>
  <c r="AR391" i="5" s="1"/>
  <c r="AP111" i="5"/>
  <c r="BI111" i="5" s="1"/>
  <c r="AP96" i="5"/>
  <c r="AQ96" i="5" s="1"/>
  <c r="AP143" i="5"/>
  <c r="AQ143" i="5" s="1"/>
  <c r="AP231" i="5"/>
  <c r="AQ231" i="5" s="1"/>
  <c r="AP330" i="5"/>
  <c r="AQ330" i="5" s="1"/>
  <c r="AP304" i="5"/>
  <c r="BI304" i="5" s="1"/>
  <c r="AP421" i="5"/>
  <c r="AQ421" i="5" s="1"/>
  <c r="AP8" i="5"/>
  <c r="AQ8" i="5" s="1"/>
  <c r="AP432" i="5"/>
  <c r="AR432" i="5" s="1"/>
  <c r="AP289" i="5"/>
  <c r="BI289" i="5" s="1"/>
  <c r="AP287" i="5"/>
  <c r="AQ287" i="5" s="1"/>
  <c r="AP146" i="5"/>
  <c r="AQ146" i="5" s="1"/>
  <c r="AP379" i="5"/>
  <c r="BI379" i="5" s="1"/>
  <c r="AP298" i="5"/>
  <c r="AQ298" i="5" s="1"/>
  <c r="AP141" i="5"/>
  <c r="AR141" i="5" s="1"/>
  <c r="AP227" i="5"/>
  <c r="AQ227" i="5" s="1"/>
  <c r="AP438" i="5"/>
  <c r="BI438" i="5" s="1"/>
  <c r="AP274" i="5"/>
  <c r="AR274" i="5" s="1"/>
  <c r="AP282" i="5"/>
  <c r="AR282" i="5" s="1"/>
  <c r="AP339" i="5"/>
  <c r="BI339" i="5" s="1"/>
  <c r="AP98" i="5"/>
  <c r="BI98" i="5" s="1"/>
  <c r="AP546" i="5"/>
  <c r="BI546" i="5" s="1"/>
  <c r="AP192" i="5"/>
  <c r="AQ192" i="5" s="1"/>
  <c r="AP172" i="5"/>
  <c r="BI172" i="5" s="1"/>
  <c r="AP467" i="5"/>
  <c r="BI467" i="5" s="1"/>
  <c r="AP106" i="5"/>
  <c r="AQ106" i="5" s="1"/>
  <c r="AP244" i="5"/>
  <c r="AR244" i="5" s="1"/>
  <c r="AP356" i="5"/>
  <c r="BI356" i="5" s="1"/>
  <c r="AP345" i="5"/>
  <c r="BI345" i="5" s="1"/>
  <c r="AP487" i="5"/>
  <c r="AR487" i="5" s="1"/>
  <c r="AP512" i="5"/>
  <c r="AQ512" i="5" s="1"/>
  <c r="AP346" i="5"/>
  <c r="AQ346" i="5" s="1"/>
  <c r="AP170" i="5"/>
  <c r="BI170" i="5" s="1"/>
  <c r="AP481" i="5"/>
  <c r="AQ481" i="5" s="1"/>
  <c r="AP400" i="5"/>
  <c r="AR400" i="5" s="1"/>
  <c r="AP207" i="5"/>
  <c r="BI207" i="5" s="1"/>
  <c r="AP436" i="5"/>
  <c r="BI436" i="5" s="1"/>
  <c r="AP525" i="5"/>
  <c r="AQ525" i="5" s="1"/>
  <c r="AP99" i="5"/>
  <c r="AR99" i="5" s="1"/>
  <c r="AP139" i="5"/>
  <c r="BI139" i="5" s="1"/>
  <c r="AP277" i="5"/>
  <c r="AQ277" i="5" s="1"/>
  <c r="AP135" i="5"/>
  <c r="BI135" i="5" s="1"/>
  <c r="AP528" i="5"/>
  <c r="AR528" i="5" s="1"/>
  <c r="AP129" i="5"/>
  <c r="AQ129" i="5" s="1"/>
  <c r="AP86" i="5"/>
  <c r="AR86" i="5" s="1"/>
  <c r="AP197" i="5"/>
  <c r="AQ197" i="5" s="1"/>
  <c r="AP508" i="5"/>
  <c r="AQ508" i="5" s="1"/>
  <c r="AP266" i="5"/>
  <c r="AR266" i="5" s="1"/>
  <c r="AP65" i="5"/>
  <c r="AR65" i="5" s="1"/>
  <c r="AP291" i="5"/>
  <c r="AQ291" i="5" s="1"/>
  <c r="AP493" i="5"/>
  <c r="AR493" i="5" s="1"/>
  <c r="AP74" i="5"/>
  <c r="AR74" i="5" s="1"/>
  <c r="AP82" i="5"/>
  <c r="AQ82" i="5" s="1"/>
  <c r="AP478" i="5"/>
  <c r="AQ478" i="5" s="1"/>
  <c r="AP254" i="5"/>
  <c r="BI254" i="5" s="1"/>
  <c r="AP420" i="5"/>
  <c r="BI420" i="5" s="1"/>
  <c r="AP380" i="5"/>
  <c r="AQ380" i="5" s="1"/>
  <c r="AP511" i="5"/>
  <c r="AR511" i="5" s="1"/>
  <c r="AP376" i="5"/>
  <c r="AQ376" i="5" s="1"/>
  <c r="AP357" i="5"/>
  <c r="AR357" i="5" s="1"/>
  <c r="AP275" i="5"/>
  <c r="BI275" i="5" s="1"/>
  <c r="AP261" i="5"/>
  <c r="AQ261" i="5" s="1"/>
  <c r="AP237" i="5"/>
  <c r="AQ237" i="5" s="1"/>
  <c r="AP469" i="5"/>
  <c r="BI469" i="5" s="1"/>
  <c r="AP134" i="5"/>
  <c r="BI134" i="5" s="1"/>
  <c r="AP263" i="5"/>
  <c r="AR263" i="5" s="1"/>
  <c r="AP387" i="5"/>
  <c r="AQ387" i="5" s="1"/>
  <c r="AP109" i="5"/>
  <c r="AR109" i="5" s="1"/>
  <c r="AP522" i="5"/>
  <c r="BI522" i="5" s="1"/>
  <c r="AP470" i="5"/>
  <c r="BI470" i="5" s="1"/>
  <c r="AP203" i="5"/>
  <c r="AQ203" i="5" s="1"/>
  <c r="AP133" i="5"/>
  <c r="AR133" i="5" s="1"/>
  <c r="AP40" i="5"/>
  <c r="AQ40" i="5" s="1"/>
  <c r="AP173" i="5"/>
  <c r="AR173" i="5" s="1"/>
  <c r="AP191" i="5"/>
  <c r="AQ191" i="5" s="1"/>
  <c r="AP517" i="5"/>
  <c r="BI517" i="5" s="1"/>
  <c r="AP256" i="5"/>
  <c r="AQ256" i="5" s="1"/>
  <c r="AP26" i="5"/>
  <c r="BI26" i="5" s="1"/>
  <c r="AP88" i="5"/>
  <c r="AR88" i="5" s="1"/>
  <c r="AP147" i="5"/>
  <c r="BI147" i="5" s="1"/>
  <c r="AP223" i="5"/>
  <c r="BI223" i="5" s="1"/>
  <c r="AP246" i="5"/>
  <c r="AR246" i="5" s="1"/>
  <c r="AP222" i="5"/>
  <c r="BI222" i="5" s="1"/>
  <c r="AP506" i="5"/>
  <c r="AQ506" i="5" s="1"/>
  <c r="AP157" i="5"/>
  <c r="AR157" i="5" s="1"/>
  <c r="AP175" i="5"/>
  <c r="BI175" i="5" s="1"/>
  <c r="AP538" i="5"/>
  <c r="BI538" i="5" s="1"/>
  <c r="AP398" i="5"/>
  <c r="AQ398" i="5" s="1"/>
  <c r="AP53" i="5"/>
  <c r="AR53" i="5" s="1"/>
  <c r="AP215" i="5"/>
  <c r="BI215" i="5" s="1"/>
  <c r="AP83" i="5"/>
  <c r="AR83" i="5" s="1"/>
  <c r="AP27" i="5"/>
  <c r="BI27" i="5" s="1"/>
  <c r="AP480" i="5"/>
  <c r="AQ480" i="5" s="1"/>
  <c r="AP536" i="5"/>
  <c r="AR536" i="5" s="1"/>
  <c r="AP543" i="5"/>
  <c r="AQ543" i="5" s="1"/>
  <c r="AP519" i="5"/>
  <c r="BI519" i="5" s="1"/>
  <c r="AP490" i="5"/>
  <c r="BI490" i="5" s="1"/>
  <c r="AP496" i="5"/>
  <c r="AQ496" i="5" s="1"/>
  <c r="AP477" i="5"/>
  <c r="AQ477" i="5" s="1"/>
  <c r="AP534" i="5"/>
  <c r="BI534" i="5" s="1"/>
  <c r="AP516" i="5"/>
  <c r="AQ516" i="5" s="1"/>
  <c r="AP489" i="5"/>
  <c r="BI489" i="5" s="1"/>
  <c r="AP560" i="5"/>
  <c r="AQ560" i="5" s="1"/>
  <c r="AP550" i="5"/>
  <c r="BI550" i="5" s="1"/>
  <c r="AP507" i="5"/>
  <c r="AQ507" i="5" s="1"/>
  <c r="AP95" i="5"/>
  <c r="AR95" i="5" s="1"/>
  <c r="AP34" i="5"/>
  <c r="AQ34" i="5" s="1"/>
  <c r="AP198" i="5"/>
  <c r="AQ198" i="5" s="1"/>
  <c r="AP57" i="5"/>
  <c r="BI57" i="5" s="1"/>
  <c r="AP341" i="5"/>
  <c r="AQ341" i="5" s="1"/>
  <c r="AP182" i="5"/>
  <c r="BI182" i="5" s="1"/>
  <c r="AP303" i="5"/>
  <c r="AR303" i="5" s="1"/>
  <c r="AP463" i="5"/>
  <c r="AR463" i="5" s="1"/>
  <c r="AP150" i="5"/>
  <c r="AR150" i="5" s="1"/>
  <c r="AP309" i="5"/>
  <c r="BI309" i="5" s="1"/>
  <c r="AP317" i="5"/>
  <c r="AQ317" i="5" s="1"/>
  <c r="AP302" i="5"/>
  <c r="AR302" i="5" s="1"/>
  <c r="AP533" i="5"/>
  <c r="AR533" i="5" s="1"/>
  <c r="AP194" i="5"/>
  <c r="AR194" i="5" s="1"/>
  <c r="AP465" i="5"/>
  <c r="BI465" i="5" s="1"/>
  <c r="AP131" i="5"/>
  <c r="BI131" i="5" s="1"/>
  <c r="AP445" i="5"/>
  <c r="BI445" i="5" s="1"/>
  <c r="AP29" i="5"/>
  <c r="BI29" i="5" s="1"/>
  <c r="AP395" i="5"/>
  <c r="BI395" i="5" s="1"/>
  <c r="AP378" i="5"/>
  <c r="AR378" i="5" s="1"/>
  <c r="AP293" i="5"/>
  <c r="AR293" i="5" s="1"/>
  <c r="AP81" i="5"/>
  <c r="BI81" i="5" s="1"/>
  <c r="AP130" i="5"/>
  <c r="AQ130" i="5" s="1"/>
  <c r="AP121" i="5"/>
  <c r="BI121" i="5" s="1"/>
  <c r="AP236" i="5"/>
  <c r="BI236" i="5" s="1"/>
  <c r="AP439" i="5"/>
  <c r="AQ439" i="5" s="1"/>
  <c r="AP158" i="5"/>
  <c r="AR158" i="5" s="1"/>
  <c r="AP453" i="5"/>
  <c r="BI453" i="5" s="1"/>
  <c r="AP212" i="5"/>
  <c r="AR212" i="5" s="1"/>
  <c r="AP370" i="5"/>
  <c r="BI370" i="5" s="1"/>
  <c r="AP234" i="5"/>
  <c r="BI234" i="5" s="1"/>
  <c r="AP382" i="5"/>
  <c r="AQ382" i="5" s="1"/>
  <c r="AP509" i="5"/>
  <c r="BI509" i="5" s="1"/>
  <c r="AP35" i="5"/>
  <c r="AR35" i="5" s="1"/>
  <c r="AP238" i="5"/>
  <c r="AR238" i="5" s="1"/>
  <c r="AP557" i="5"/>
  <c r="AQ557" i="5" s="1"/>
  <c r="AP230" i="5"/>
  <c r="AQ230" i="5" s="1"/>
  <c r="AP174" i="5"/>
  <c r="BI174" i="5" s="1"/>
  <c r="AP354" i="5"/>
  <c r="AR354" i="5" s="1"/>
  <c r="AP450" i="5"/>
  <c r="AQ450" i="5" s="1"/>
  <c r="AP50" i="5"/>
  <c r="AQ50" i="5" s="1"/>
  <c r="AP269" i="5"/>
  <c r="AR269" i="5" s="1"/>
  <c r="AP426" i="5"/>
  <c r="AQ426" i="5" s="1"/>
  <c r="AP474" i="5"/>
  <c r="AR474" i="5" s="1"/>
  <c r="AP385" i="5"/>
  <c r="BI385" i="5" s="1"/>
  <c r="AP48" i="5"/>
  <c r="BI48" i="5" s="1"/>
  <c r="AP279" i="5"/>
  <c r="AR279" i="5" s="1"/>
  <c r="AP361" i="5"/>
  <c r="AQ361" i="5" s="1"/>
  <c r="AP63" i="5"/>
  <c r="AR63" i="5" s="1"/>
  <c r="AP424" i="5"/>
  <c r="AQ424" i="5" s="1"/>
  <c r="AP319" i="5"/>
  <c r="BI319" i="5" s="1"/>
  <c r="AP19" i="5"/>
  <c r="BI19" i="5" s="1"/>
  <c r="AP122" i="5"/>
  <c r="BI122" i="5" s="1"/>
  <c r="AP310" i="5"/>
  <c r="AQ310" i="5" s="1"/>
  <c r="AP393" i="5"/>
  <c r="AQ393" i="5" s="1"/>
  <c r="AP305" i="5"/>
  <c r="BI305" i="5" s="1"/>
  <c r="AP499" i="5"/>
  <c r="BI499" i="5" s="1"/>
  <c r="AP217" i="5"/>
  <c r="BI217" i="5" s="1"/>
  <c r="AP273" i="5"/>
  <c r="BI273" i="5" s="1"/>
  <c r="AP332" i="5"/>
  <c r="AR332" i="5" s="1"/>
  <c r="AP226" i="5"/>
  <c r="AQ226" i="5" s="1"/>
  <c r="AP59" i="5"/>
  <c r="AQ59" i="5" s="1"/>
  <c r="AP351" i="5"/>
  <c r="AQ351" i="5" s="1"/>
  <c r="AP221" i="5"/>
  <c r="BI221" i="5" s="1"/>
  <c r="AP433" i="5"/>
  <c r="AR433" i="5" s="1"/>
  <c r="AP87" i="5"/>
  <c r="BI87" i="5" s="1"/>
  <c r="AP403" i="5"/>
  <c r="BI403" i="5" s="1"/>
  <c r="AP201" i="5"/>
  <c r="AR201" i="5" s="1"/>
  <c r="AP268" i="5"/>
  <c r="AQ268" i="5" s="1"/>
  <c r="AP408" i="5"/>
  <c r="BI408" i="5" s="1"/>
  <c r="AP537" i="5"/>
  <c r="AR537" i="5" s="1"/>
  <c r="AP208" i="5"/>
  <c r="BI208" i="5" s="1"/>
  <c r="AP412" i="5"/>
  <c r="BI412" i="5" s="1"/>
  <c r="AP245" i="5"/>
  <c r="BI245" i="5" s="1"/>
  <c r="AP233" i="5"/>
  <c r="AR233" i="5" s="1"/>
  <c r="AP149" i="5"/>
  <c r="BI149" i="5" s="1"/>
  <c r="AP545" i="5"/>
  <c r="AQ545" i="5" s="1"/>
  <c r="AP272" i="5"/>
  <c r="AQ272" i="5" s="1"/>
  <c r="AP373" i="5"/>
  <c r="BI373" i="5" s="1"/>
  <c r="AP44" i="5"/>
  <c r="AR44" i="5" s="1"/>
  <c r="AP137" i="5"/>
  <c r="AR137" i="5" s="1"/>
  <c r="AP67" i="5"/>
  <c r="AQ67" i="5" s="1"/>
  <c r="AP464" i="5"/>
  <c r="AR464" i="5" s="1"/>
  <c r="AP502" i="5"/>
  <c r="AR502" i="5" s="1"/>
  <c r="AP423" i="5"/>
  <c r="AR423" i="5" s="1"/>
  <c r="AP114" i="5"/>
  <c r="BI114" i="5" s="1"/>
  <c r="AP214" i="5"/>
  <c r="AR214" i="5" s="1"/>
  <c r="AP428" i="5"/>
  <c r="AQ428" i="5" s="1"/>
  <c r="AP42" i="5"/>
  <c r="AR42" i="5" s="1"/>
  <c r="AP126" i="5"/>
  <c r="AQ126" i="5" s="1"/>
  <c r="AP283" i="5"/>
  <c r="BI283" i="5" s="1"/>
  <c r="AP417" i="5"/>
  <c r="BI417" i="5" s="1"/>
  <c r="AP374" i="5"/>
  <c r="AR374" i="5" s="1"/>
  <c r="AP190" i="5"/>
  <c r="AR190" i="5" s="1"/>
  <c r="AP36" i="5"/>
  <c r="BI36" i="5" s="1"/>
  <c r="AP389" i="5"/>
  <c r="AQ389" i="5" s="1"/>
  <c r="AP486" i="5"/>
  <c r="AR486" i="5" s="1"/>
  <c r="AP257" i="5"/>
  <c r="BI257" i="5" s="1"/>
  <c r="AP451" i="5"/>
  <c r="BI451" i="5" s="1"/>
  <c r="AP548" i="5"/>
  <c r="AQ548" i="5" s="1"/>
  <c r="AP100" i="5"/>
  <c r="AR100" i="5" s="1"/>
  <c r="AP153" i="5"/>
  <c r="AQ153" i="5" s="1"/>
  <c r="AP189" i="5"/>
  <c r="BI189" i="5" s="1"/>
  <c r="AP440" i="5"/>
  <c r="BI440" i="5" s="1"/>
  <c r="AP461" i="5"/>
  <c r="AQ461" i="5" s="1"/>
  <c r="X80" i="4"/>
  <c r="AJ80" i="4" s="1"/>
  <c r="X91" i="4"/>
  <c r="AJ91" i="4" s="1"/>
  <c r="AP10" i="5"/>
  <c r="BI10" i="5" s="1"/>
  <c r="X99" i="4"/>
  <c r="AJ99" i="4" s="1"/>
  <c r="X71" i="4"/>
  <c r="AJ71" i="4" s="1"/>
  <c r="X138" i="4"/>
  <c r="AJ138" i="4" s="1"/>
  <c r="X68" i="4"/>
  <c r="AJ68" i="4" s="1"/>
  <c r="X115" i="4"/>
  <c r="AJ115" i="4" s="1"/>
  <c r="X70" i="4"/>
  <c r="AJ70" i="4" s="1"/>
  <c r="X72" i="4"/>
  <c r="AJ72" i="4" s="1"/>
  <c r="X132" i="4"/>
  <c r="AJ132" i="4" s="1"/>
  <c r="X41" i="4"/>
  <c r="AJ41" i="4" s="1"/>
  <c r="X120" i="4"/>
  <c r="AJ120" i="4" s="1"/>
  <c r="X107" i="4"/>
  <c r="AJ107" i="4" s="1"/>
  <c r="X150" i="4"/>
  <c r="AJ150" i="4" s="1"/>
  <c r="X83" i="4"/>
  <c r="AJ83" i="4" s="1"/>
  <c r="X84" i="4"/>
  <c r="AJ84" i="4" s="1"/>
  <c r="X100" i="4"/>
  <c r="AJ100" i="4" s="1"/>
  <c r="X119" i="4"/>
  <c r="AJ119" i="4" s="1"/>
  <c r="BE10" i="5"/>
  <c r="BD10" i="5"/>
  <c r="X106" i="4"/>
  <c r="AJ106" i="4" s="1"/>
  <c r="Y106" i="4"/>
  <c r="AR106" i="4" s="1"/>
  <c r="X78" i="4"/>
  <c r="AJ78" i="4" s="1"/>
  <c r="Y78" i="4"/>
  <c r="AR78" i="4" s="1"/>
  <c r="Y62" i="4"/>
  <c r="AR62" i="4" s="1"/>
  <c r="X155" i="4"/>
  <c r="AJ155" i="4" s="1"/>
  <c r="Y155" i="4"/>
  <c r="AR155" i="4" s="1"/>
  <c r="X152" i="4"/>
  <c r="AJ152" i="4" s="1"/>
  <c r="Y152" i="4"/>
  <c r="AR152" i="4" s="1"/>
  <c r="X127" i="4"/>
  <c r="AJ127" i="4" s="1"/>
  <c r="Y127" i="4"/>
  <c r="AR127" i="4" s="1"/>
  <c r="X77" i="4"/>
  <c r="AJ77" i="4" s="1"/>
  <c r="Y77" i="4"/>
  <c r="AR77" i="4" s="1"/>
  <c r="X149" i="4"/>
  <c r="AJ149" i="4" s="1"/>
  <c r="Y149" i="4"/>
  <c r="AR149" i="4" s="1"/>
  <c r="X134" i="4"/>
  <c r="AJ134" i="4" s="1"/>
  <c r="Y134" i="4"/>
  <c r="AR134" i="4" s="1"/>
  <c r="X114" i="4"/>
  <c r="AJ114" i="4" s="1"/>
  <c r="Y114" i="4"/>
  <c r="AR114" i="4" s="1"/>
  <c r="X76" i="4"/>
  <c r="AJ76" i="4" s="1"/>
  <c r="Y76" i="4"/>
  <c r="AR76" i="4" s="1"/>
  <c r="X89" i="4"/>
  <c r="AJ89" i="4" s="1"/>
  <c r="Y89" i="4"/>
  <c r="AR89" i="4" s="1"/>
  <c r="Y61" i="4"/>
  <c r="AR61" i="4" s="1"/>
  <c r="X145" i="4"/>
  <c r="AJ145" i="4" s="1"/>
  <c r="Y145" i="4"/>
  <c r="AR145" i="4" s="1"/>
  <c r="X94" i="4"/>
  <c r="AJ94" i="4" s="1"/>
  <c r="Y94" i="4"/>
  <c r="AR94" i="4" s="1"/>
  <c r="X121" i="4"/>
  <c r="AJ121" i="4" s="1"/>
  <c r="Y121" i="4"/>
  <c r="AR121" i="4" s="1"/>
  <c r="X97" i="4"/>
  <c r="AJ97" i="4" s="1"/>
  <c r="Y97" i="4"/>
  <c r="AR97" i="4" s="1"/>
  <c r="AP69" i="5"/>
  <c r="AR69" i="5" s="1"/>
  <c r="AP297" i="5"/>
  <c r="AR297" i="5" s="1"/>
  <c r="AP152" i="5"/>
  <c r="AR152" i="5" s="1"/>
  <c r="AP180" i="5"/>
  <c r="AR180" i="5" s="1"/>
  <c r="AP51" i="5"/>
  <c r="AQ51" i="5" s="1"/>
  <c r="AP520" i="5"/>
  <c r="BI520" i="5" s="1"/>
  <c r="AP388" i="5"/>
  <c r="AQ388" i="5" s="1"/>
  <c r="AP479" i="5"/>
  <c r="BI479" i="5" s="1"/>
  <c r="AP549" i="5"/>
  <c r="BI549" i="5" s="1"/>
  <c r="AP434" i="5"/>
  <c r="AQ434" i="5" s="1"/>
  <c r="AP323" i="5"/>
  <c r="BI323" i="5" s="1"/>
  <c r="AP110" i="5"/>
  <c r="AQ110" i="5" s="1"/>
  <c r="AP435" i="5"/>
  <c r="BI435" i="5" s="1"/>
  <c r="AP510" i="5"/>
  <c r="AQ510" i="5" s="1"/>
  <c r="AP443" i="5"/>
  <c r="AR443" i="5" s="1"/>
  <c r="AP104" i="5"/>
  <c r="AQ104" i="5" s="1"/>
  <c r="AP364" i="5"/>
  <c r="BI364" i="5" s="1"/>
  <c r="AP281" i="5"/>
  <c r="AR281" i="5" s="1"/>
  <c r="X140" i="4"/>
  <c r="AJ140" i="4" s="1"/>
  <c r="Y140" i="4"/>
  <c r="AR140" i="4" s="1"/>
  <c r="X136" i="4"/>
  <c r="AJ136" i="4" s="1"/>
  <c r="Y136" i="4"/>
  <c r="AR136" i="4" s="1"/>
  <c r="X111" i="4"/>
  <c r="AJ111" i="4" s="1"/>
  <c r="Y111" i="4"/>
  <c r="AR111" i="4" s="1"/>
  <c r="X73" i="4"/>
  <c r="AJ73" i="4" s="1"/>
  <c r="Y73" i="4"/>
  <c r="AR73" i="4" s="1"/>
  <c r="X156" i="4"/>
  <c r="AJ156" i="4" s="1"/>
  <c r="Y156" i="4"/>
  <c r="AR156" i="4" s="1"/>
  <c r="X66" i="4"/>
  <c r="AJ66" i="4" s="1"/>
  <c r="Y66" i="4"/>
  <c r="AR66" i="4" s="1"/>
  <c r="X112" i="4"/>
  <c r="AJ112" i="4" s="1"/>
  <c r="Y112" i="4"/>
  <c r="AR112" i="4" s="1"/>
  <c r="X131" i="4"/>
  <c r="AJ131" i="4" s="1"/>
  <c r="Y131" i="4"/>
  <c r="AR131" i="4" s="1"/>
  <c r="X118" i="4"/>
  <c r="AJ118" i="4" s="1"/>
  <c r="Y118" i="4"/>
  <c r="AR118" i="4" s="1"/>
  <c r="X82" i="4"/>
  <c r="AJ82" i="4" s="1"/>
  <c r="Y82" i="4"/>
  <c r="AR82" i="4" s="1"/>
  <c r="X95" i="4"/>
  <c r="AJ95" i="4" s="1"/>
  <c r="Y95" i="4"/>
  <c r="AR95" i="4" s="1"/>
  <c r="Y56" i="4"/>
  <c r="AR56" i="4" s="1"/>
  <c r="X141" i="4"/>
  <c r="AJ141" i="4" s="1"/>
  <c r="Y141" i="4"/>
  <c r="AR141" i="4" s="1"/>
  <c r="X101" i="4"/>
  <c r="AJ101" i="4" s="1"/>
  <c r="Y101" i="4"/>
  <c r="AR101" i="4" s="1"/>
  <c r="Y59" i="4"/>
  <c r="AR59" i="4" s="1"/>
  <c r="X86" i="4"/>
  <c r="AJ86" i="4" s="1"/>
  <c r="Y86" i="4"/>
  <c r="AR86" i="4" s="1"/>
  <c r="X90" i="4"/>
  <c r="AJ90" i="4" s="1"/>
  <c r="Y90" i="4"/>
  <c r="AR90" i="4" s="1"/>
  <c r="X81" i="4"/>
  <c r="AJ81" i="4" s="1"/>
  <c r="Y81" i="4"/>
  <c r="AR81" i="4" s="1"/>
  <c r="X69" i="4"/>
  <c r="AJ69" i="4" s="1"/>
  <c r="Y69" i="4"/>
  <c r="AR69" i="4" s="1"/>
  <c r="Y63" i="4"/>
  <c r="AR63" i="4" s="1"/>
  <c r="X108" i="4"/>
  <c r="AJ108" i="4" s="1"/>
  <c r="Y108" i="4"/>
  <c r="AR108" i="4" s="1"/>
  <c r="X122" i="4"/>
  <c r="AJ122" i="4" s="1"/>
  <c r="Y122" i="4"/>
  <c r="AR122" i="4" s="1"/>
  <c r="AP355" i="5"/>
  <c r="AQ355" i="5" s="1"/>
  <c r="AP475" i="5"/>
  <c r="AQ475" i="5" s="1"/>
  <c r="AP155" i="5"/>
  <c r="AQ155" i="5" s="1"/>
  <c r="AP492" i="5"/>
  <c r="AR492" i="5" s="1"/>
  <c r="AP498" i="5"/>
  <c r="AQ498" i="5" s="1"/>
  <c r="AP311" i="5"/>
  <c r="AQ311" i="5" s="1"/>
  <c r="AP38" i="5"/>
  <c r="BI38" i="5" s="1"/>
  <c r="AP162" i="5"/>
  <c r="AR162" i="5" s="1"/>
  <c r="AP405" i="5"/>
  <c r="AQ405" i="5" s="1"/>
  <c r="AP24" i="5"/>
  <c r="AR24" i="5" s="1"/>
  <c r="AP78" i="5"/>
  <c r="AQ78" i="5" s="1"/>
  <c r="AP362" i="5"/>
  <c r="AQ362" i="5" s="1"/>
  <c r="AP169" i="5"/>
  <c r="BI169" i="5" s="1"/>
  <c r="AP381" i="5"/>
  <c r="BI381" i="5" s="1"/>
  <c r="AP296" i="5"/>
  <c r="AQ296" i="5" s="1"/>
  <c r="AP168" i="5"/>
  <c r="AQ168" i="5" s="1"/>
  <c r="AP145" i="5"/>
  <c r="BI145" i="5" s="1"/>
  <c r="AP196" i="5"/>
  <c r="BI196" i="5" s="1"/>
  <c r="AP402" i="5"/>
  <c r="AR402" i="5" s="1"/>
  <c r="AP39" i="5"/>
  <c r="AR39" i="5" s="1"/>
  <c r="AP218" i="5"/>
  <c r="AQ218" i="5" s="1"/>
  <c r="AP335" i="5"/>
  <c r="AQ335" i="5" s="1"/>
  <c r="AP206" i="5"/>
  <c r="BI206" i="5" s="1"/>
  <c r="AP299" i="5"/>
  <c r="AR299" i="5" s="1"/>
  <c r="AP200" i="5"/>
  <c r="AR200" i="5" s="1"/>
  <c r="AP315" i="5"/>
  <c r="AR315" i="5" s="1"/>
  <c r="AP359" i="5"/>
  <c r="AR359" i="5" s="1"/>
  <c r="AP437" i="5"/>
  <c r="AQ437" i="5" s="1"/>
  <c r="AP179" i="5"/>
  <c r="AR179" i="5" s="1"/>
  <c r="AP448" i="5"/>
  <c r="AQ448" i="5" s="1"/>
  <c r="AP185" i="5"/>
  <c r="BI185" i="5" s="1"/>
  <c r="AP333" i="5"/>
  <c r="BI333" i="5" s="1"/>
  <c r="AP240" i="5"/>
  <c r="BI240" i="5" s="1"/>
  <c r="AP554" i="5"/>
  <c r="AR554" i="5" s="1"/>
  <c r="AP313" i="5"/>
  <c r="BI313" i="5" s="1"/>
  <c r="AP58" i="5"/>
  <c r="AQ58" i="5" s="1"/>
  <c r="AP247" i="5"/>
  <c r="AQ247" i="5" s="1"/>
  <c r="AP459" i="5"/>
  <c r="AQ459" i="5" s="1"/>
  <c r="AP458" i="5"/>
  <c r="AQ458" i="5" s="1"/>
  <c r="AP527" i="5"/>
  <c r="AR527" i="5" s="1"/>
  <c r="AP32" i="5"/>
  <c r="AQ32" i="5" s="1"/>
  <c r="AP62" i="5"/>
  <c r="AR62" i="5" s="1"/>
  <c r="AP265" i="5"/>
  <c r="AQ265" i="5" s="1"/>
  <c r="AP93" i="5"/>
  <c r="AR93" i="5" s="1"/>
  <c r="AP488" i="5"/>
  <c r="AR488" i="5" s="1"/>
  <c r="AP425" i="5"/>
  <c r="BI425" i="5" s="1"/>
  <c r="AP30" i="5"/>
  <c r="BI30" i="5" s="1"/>
  <c r="AP118" i="5"/>
  <c r="BI118" i="5" s="1"/>
  <c r="AP163" i="5"/>
  <c r="AR163" i="5" s="1"/>
  <c r="AP85" i="5"/>
  <c r="AQ85" i="5" s="1"/>
  <c r="AP544" i="5"/>
  <c r="AR544" i="5" s="1"/>
  <c r="AP532" i="5"/>
  <c r="AQ532" i="5" s="1"/>
  <c r="AP460" i="5"/>
  <c r="AQ460" i="5" s="1"/>
  <c r="AP371" i="5"/>
  <c r="AQ371" i="5" s="1"/>
  <c r="AP136" i="5"/>
  <c r="AR136" i="5" s="1"/>
  <c r="AP342" i="5"/>
  <c r="AQ342" i="5" s="1"/>
  <c r="Y57" i="4"/>
  <c r="AR57" i="4" s="1"/>
  <c r="X130" i="4"/>
  <c r="AJ130" i="4" s="1"/>
  <c r="Y130" i="4"/>
  <c r="AR130" i="4" s="1"/>
  <c r="X87" i="4"/>
  <c r="AJ87" i="4" s="1"/>
  <c r="X98" i="4"/>
  <c r="AJ98" i="4" s="1"/>
  <c r="Y98" i="4"/>
  <c r="AR98" i="4" s="1"/>
  <c r="Y65" i="4"/>
  <c r="AR65" i="4" s="1"/>
  <c r="X103" i="4"/>
  <c r="AJ103" i="4" s="1"/>
  <c r="X92" i="4"/>
  <c r="AJ92" i="4" s="1"/>
  <c r="Y92" i="4"/>
  <c r="AR92" i="4" s="1"/>
  <c r="X133" i="4"/>
  <c r="AJ133" i="4" s="1"/>
  <c r="Y133" i="4"/>
  <c r="AR133" i="4" s="1"/>
  <c r="X38" i="4"/>
  <c r="AJ38" i="4" s="1"/>
  <c r="X124" i="4"/>
  <c r="AJ124" i="4" s="1"/>
  <c r="Y124" i="4"/>
  <c r="AR124" i="4" s="1"/>
  <c r="Y58" i="4"/>
  <c r="AR58" i="4" s="1"/>
  <c r="X125" i="4"/>
  <c r="AJ125" i="4" s="1"/>
  <c r="Y125" i="4"/>
  <c r="AR125" i="4" s="1"/>
  <c r="X105" i="4"/>
  <c r="AJ105" i="4" s="1"/>
  <c r="Y105" i="4"/>
  <c r="AR105" i="4" s="1"/>
  <c r="X154" i="4"/>
  <c r="AJ154" i="4" s="1"/>
  <c r="Y154" i="4"/>
  <c r="AR154" i="4" s="1"/>
  <c r="X93" i="4"/>
  <c r="AJ93" i="4" s="1"/>
  <c r="Y93" i="4"/>
  <c r="AR93" i="4" s="1"/>
  <c r="X126" i="4"/>
  <c r="AJ126" i="4" s="1"/>
  <c r="Y126" i="4"/>
  <c r="AR126" i="4" s="1"/>
  <c r="X116" i="4"/>
  <c r="AJ116" i="4" s="1"/>
  <c r="Y116" i="4"/>
  <c r="AR116" i="4" s="1"/>
  <c r="X148" i="4"/>
  <c r="AJ148" i="4" s="1"/>
  <c r="Y148" i="4"/>
  <c r="AR148" i="4" s="1"/>
  <c r="X128" i="4"/>
  <c r="AJ128" i="4" s="1"/>
  <c r="Y128" i="4"/>
  <c r="AR128" i="4" s="1"/>
  <c r="X88" i="4"/>
  <c r="AJ88" i="4" s="1"/>
  <c r="X104" i="4"/>
  <c r="AJ104" i="4" s="1"/>
  <c r="X139" i="4"/>
  <c r="AJ139" i="4" s="1"/>
  <c r="X109" i="4"/>
  <c r="AJ109" i="4" s="1"/>
  <c r="Y109" i="4"/>
  <c r="AR109" i="4" s="1"/>
  <c r="AP301" i="5"/>
  <c r="AR301" i="5" s="1"/>
  <c r="AP556" i="5"/>
  <c r="AR556" i="5" s="1"/>
  <c r="AP90" i="5"/>
  <c r="AQ90" i="5" s="1"/>
  <c r="AP195" i="5"/>
  <c r="BI195" i="5" s="1"/>
  <c r="AP72" i="5"/>
  <c r="AQ72" i="5" s="1"/>
  <c r="AP501" i="5"/>
  <c r="AQ501" i="5" s="1"/>
  <c r="AP199" i="5"/>
  <c r="BI199" i="5" s="1"/>
  <c r="AP251" i="5"/>
  <c r="AR251" i="5" s="1"/>
  <c r="AP455" i="5"/>
  <c r="AQ455" i="5" s="1"/>
  <c r="AP249" i="5"/>
  <c r="AQ249" i="5" s="1"/>
  <c r="AP41" i="5"/>
  <c r="BI41" i="5" s="1"/>
  <c r="AP307" i="5"/>
  <c r="BI307" i="5" s="1"/>
  <c r="AP350" i="5"/>
  <c r="AQ350" i="5" s="1"/>
  <c r="AP66" i="5"/>
  <c r="BI66" i="5" s="1"/>
  <c r="AP312" i="5"/>
  <c r="AQ312" i="5" s="1"/>
  <c r="AP290" i="5"/>
  <c r="AR290" i="5" s="1"/>
  <c r="AP326" i="5"/>
  <c r="AR326" i="5" s="1"/>
  <c r="AP156" i="5"/>
  <c r="BI156" i="5" s="1"/>
  <c r="AP318" i="5"/>
  <c r="AR318" i="5" s="1"/>
  <c r="AP116" i="5"/>
  <c r="AR116" i="5" s="1"/>
  <c r="AP278" i="5"/>
  <c r="BI278" i="5" s="1"/>
  <c r="AP210" i="5"/>
  <c r="AQ210" i="5" s="1"/>
  <c r="AP551" i="5"/>
  <c r="AR551" i="5" s="1"/>
  <c r="AP288" i="5"/>
  <c r="AQ288" i="5" s="1"/>
  <c r="AP539" i="5"/>
  <c r="AR539" i="5" s="1"/>
  <c r="AP454" i="5"/>
  <c r="AQ454" i="5" s="1"/>
  <c r="AP164" i="5"/>
  <c r="AR164" i="5" s="1"/>
  <c r="AP167" i="5"/>
  <c r="AQ167" i="5" s="1"/>
  <c r="AP232" i="5"/>
  <c r="AQ232" i="5" s="1"/>
  <c r="X142" i="4"/>
  <c r="AJ142" i="4" s="1"/>
  <c r="Y142" i="4"/>
  <c r="AR142" i="4" s="1"/>
  <c r="Y55" i="4"/>
  <c r="AR55" i="4" s="1"/>
  <c r="X129" i="4"/>
  <c r="AJ129" i="4" s="1"/>
  <c r="Y129" i="4"/>
  <c r="AR129" i="4" s="1"/>
  <c r="X146" i="4"/>
  <c r="AJ146" i="4" s="1"/>
  <c r="X157" i="4"/>
  <c r="AJ157" i="4" s="1"/>
  <c r="X75" i="4"/>
  <c r="AJ75" i="4" s="1"/>
  <c r="Y75" i="4"/>
  <c r="AR75" i="4" s="1"/>
  <c r="X110" i="4"/>
  <c r="AJ110" i="4" s="1"/>
  <c r="Y110" i="4"/>
  <c r="AR110" i="4" s="1"/>
  <c r="X123" i="4"/>
  <c r="AJ123" i="4" s="1"/>
  <c r="Y123" i="4"/>
  <c r="AR123" i="4" s="1"/>
  <c r="Y60" i="4"/>
  <c r="AR60" i="4" s="1"/>
  <c r="X153" i="4"/>
  <c r="AJ153" i="4" s="1"/>
  <c r="Y54" i="4"/>
  <c r="AR54" i="4" s="1"/>
  <c r="X144" i="4"/>
  <c r="AJ144" i="4" s="1"/>
  <c r="Y144" i="4"/>
  <c r="AR144" i="4" s="1"/>
  <c r="X47" i="4"/>
  <c r="AJ47" i="4" s="1"/>
  <c r="X102" i="4"/>
  <c r="AJ102" i="4" s="1"/>
  <c r="Y102" i="4"/>
  <c r="AR102" i="4" s="1"/>
  <c r="X96" i="4"/>
  <c r="AJ96" i="4" s="1"/>
  <c r="Y96" i="4"/>
  <c r="AR96" i="4" s="1"/>
  <c r="X113" i="4"/>
  <c r="AJ113" i="4" s="1"/>
  <c r="Y113" i="4"/>
  <c r="AR113" i="4" s="1"/>
  <c r="X85" i="4"/>
  <c r="AJ85" i="4" s="1"/>
  <c r="Y85" i="4"/>
  <c r="AR85" i="4" s="1"/>
  <c r="X67" i="4"/>
  <c r="AJ67" i="4" s="1"/>
  <c r="Y67" i="4"/>
  <c r="AR67" i="4" s="1"/>
  <c r="X143" i="4"/>
  <c r="AJ143" i="4" s="1"/>
  <c r="Y143" i="4"/>
  <c r="AR143" i="4" s="1"/>
  <c r="X117" i="4"/>
  <c r="AJ117" i="4" s="1"/>
  <c r="Y117" i="4"/>
  <c r="AR117" i="4" s="1"/>
  <c r="X147" i="4"/>
  <c r="AJ147" i="4" s="1"/>
  <c r="X137" i="4"/>
  <c r="AJ137" i="4" s="1"/>
  <c r="Y137" i="4"/>
  <c r="AR137" i="4" s="1"/>
  <c r="X74" i="4"/>
  <c r="AJ74" i="4" s="1"/>
  <c r="Y74" i="4"/>
  <c r="AR74" i="4" s="1"/>
  <c r="X135" i="4"/>
  <c r="AJ135" i="4" s="1"/>
  <c r="Y135" i="4"/>
  <c r="AR135" i="4" s="1"/>
  <c r="X151" i="4"/>
  <c r="AJ151" i="4" s="1"/>
  <c r="Y151" i="4"/>
  <c r="AR151" i="4" s="1"/>
  <c r="X79" i="4"/>
  <c r="AJ79" i="4" s="1"/>
  <c r="Y79" i="4"/>
  <c r="AR79" i="4" s="1"/>
  <c r="AP427" i="5"/>
  <c r="AQ427" i="5" s="1"/>
  <c r="AP404" i="5"/>
  <c r="AR404" i="5" s="1"/>
  <c r="AP447" i="5"/>
  <c r="AQ447" i="5" s="1"/>
  <c r="AP187" i="5"/>
  <c r="AR187" i="5" s="1"/>
  <c r="AP166" i="5"/>
  <c r="AQ166" i="5" s="1"/>
  <c r="AP177" i="5"/>
  <c r="AQ177" i="5" s="1"/>
  <c r="AP12" i="5"/>
  <c r="AR12" i="5" s="1"/>
  <c r="AP97" i="5"/>
  <c r="AR97" i="5" s="1"/>
  <c r="AP37" i="5"/>
  <c r="AQ37" i="5" s="1"/>
  <c r="AP327" i="5"/>
  <c r="AQ327" i="5" s="1"/>
  <c r="AP276" i="5"/>
  <c r="AQ276" i="5" s="1"/>
  <c r="AP422" i="5"/>
  <c r="BI422" i="5" s="1"/>
  <c r="AP349" i="5"/>
  <c r="AR349" i="5" s="1"/>
  <c r="AP120" i="5"/>
  <c r="AR120" i="5" s="1"/>
  <c r="AP102" i="5"/>
  <c r="BI102" i="5" s="1"/>
  <c r="AP337" i="5"/>
  <c r="BI337" i="5" s="1"/>
  <c r="AP316" i="5"/>
  <c r="BI316" i="5" s="1"/>
  <c r="AP115" i="5"/>
  <c r="AR115" i="5" s="1"/>
  <c r="AP22" i="5"/>
  <c r="BI22" i="5" s="1"/>
  <c r="AP328" i="5"/>
  <c r="AQ328" i="5" s="1"/>
  <c r="AP396" i="5"/>
  <c r="AQ396" i="5" s="1"/>
  <c r="AP377" i="5"/>
  <c r="AQ377" i="5" s="1"/>
  <c r="AP280" i="5"/>
  <c r="AQ280" i="5" s="1"/>
  <c r="AP494" i="5"/>
  <c r="BI494" i="5" s="1"/>
  <c r="AP61" i="5"/>
  <c r="BI61" i="5" s="1"/>
  <c r="AP79" i="5"/>
  <c r="AR79" i="5" s="1"/>
  <c r="AP188" i="5"/>
  <c r="AR188" i="5" s="1"/>
  <c r="AP107" i="5"/>
  <c r="BI107" i="5" s="1"/>
  <c r="AP392" i="5"/>
  <c r="BI392" i="5" s="1"/>
  <c r="AP125" i="5"/>
  <c r="AQ125" i="5" s="1"/>
  <c r="AP441" i="5"/>
  <c r="AQ441" i="5" s="1"/>
  <c r="AP45" i="5"/>
  <c r="BI45" i="5" s="1"/>
  <c r="AP505" i="5"/>
  <c r="AR505" i="5" s="1"/>
  <c r="AP76" i="5"/>
  <c r="AR76" i="5" s="1"/>
  <c r="AP308" i="5"/>
  <c r="AR308" i="5" s="1"/>
  <c r="AP142" i="5"/>
  <c r="AR142" i="5" s="1"/>
  <c r="AP347" i="5"/>
  <c r="AQ347" i="5" s="1"/>
  <c r="AP258" i="5"/>
  <c r="AR258" i="5" s="1"/>
  <c r="AP523" i="5"/>
  <c r="AR523" i="5" s="1"/>
  <c r="AP94" i="5"/>
  <c r="BI94" i="5" s="1"/>
  <c r="AP300" i="5"/>
  <c r="AQ300" i="5" s="1"/>
  <c r="AP113" i="5"/>
  <c r="BI113" i="5" s="1"/>
  <c r="AP264" i="5"/>
  <c r="AR264" i="5" s="1"/>
  <c r="AP225" i="5"/>
  <c r="AR225" i="5" s="1"/>
  <c r="AP531" i="5"/>
  <c r="AQ531" i="5" s="1"/>
  <c r="AP514" i="5"/>
  <c r="AR514" i="5" s="1"/>
  <c r="AP25" i="5"/>
  <c r="AQ25" i="5" s="1"/>
  <c r="AP530" i="5"/>
  <c r="BI530" i="5" s="1"/>
  <c r="AP329" i="5"/>
  <c r="AQ329" i="5" s="1"/>
  <c r="AP7" i="5"/>
  <c r="AR7" i="5" s="1"/>
  <c r="AP383" i="5"/>
  <c r="BI383" i="5" s="1"/>
  <c r="AP322" i="5"/>
  <c r="AR322" i="5" s="1"/>
  <c r="AP410" i="5"/>
  <c r="AR410" i="5" s="1"/>
  <c r="AP47" i="5"/>
  <c r="BI47" i="5" s="1"/>
  <c r="AP409" i="5"/>
  <c r="BI409" i="5" s="1"/>
  <c r="AP457" i="5"/>
  <c r="AR457" i="5" s="1"/>
  <c r="AP204" i="5"/>
  <c r="BI204" i="5" s="1"/>
  <c r="AP369" i="5"/>
  <c r="BI369" i="5" s="1"/>
  <c r="AP294" i="5"/>
  <c r="AQ294" i="5" s="1"/>
  <c r="AP91" i="5"/>
  <c r="AR91" i="5" s="1"/>
  <c r="AP384" i="5"/>
  <c r="BI384" i="5" s="1"/>
  <c r="AP211" i="5"/>
  <c r="BI211" i="5" s="1"/>
  <c r="AP348" i="5"/>
  <c r="AR348" i="5" s="1"/>
  <c r="AP547" i="5"/>
  <c r="BI547" i="5" s="1"/>
  <c r="AP46" i="5"/>
  <c r="BI46" i="5" s="1"/>
  <c r="AP242" i="5"/>
  <c r="BI242" i="5" s="1"/>
  <c r="AP295" i="5"/>
  <c r="AQ295" i="5" s="1"/>
  <c r="AP430" i="5"/>
  <c r="BI430" i="5" s="1"/>
  <c r="AP366" i="5"/>
  <c r="AQ366" i="5" s="1"/>
  <c r="AP205" i="5"/>
  <c r="AR205" i="5" s="1"/>
  <c r="AP360" i="5"/>
  <c r="AR360" i="5" s="1"/>
  <c r="AP56" i="5"/>
  <c r="AR56" i="5" s="1"/>
  <c r="AP71" i="5"/>
  <c r="AR71" i="5" s="1"/>
  <c r="AP324" i="5"/>
  <c r="AR324" i="5" s="1"/>
  <c r="AP340" i="5"/>
  <c r="AR340" i="5" s="1"/>
  <c r="AP248" i="5"/>
  <c r="AR248" i="5" s="1"/>
  <c r="AP144" i="5"/>
  <c r="AR144" i="5" s="1"/>
  <c r="AP552" i="5"/>
  <c r="AR552" i="5" s="1"/>
  <c r="AP413" i="5"/>
  <c r="AR413" i="5" s="1"/>
  <c r="AP165" i="5"/>
  <c r="BI165" i="5" s="1"/>
  <c r="AP484" i="5"/>
  <c r="AQ484" i="5" s="1"/>
  <c r="AP75" i="5"/>
  <c r="AQ75" i="5" s="1"/>
  <c r="AP271" i="5"/>
  <c r="BI271" i="5" s="1"/>
  <c r="AP353" i="5"/>
  <c r="AQ353" i="5" s="1"/>
  <c r="AP262" i="5"/>
  <c r="BI262" i="5" s="1"/>
  <c r="AP491" i="5"/>
  <c r="BI491" i="5" s="1"/>
  <c r="AP60" i="5"/>
  <c r="AR60" i="5" s="1"/>
  <c r="AP390" i="5"/>
  <c r="AR390" i="5" s="1"/>
  <c r="AP553" i="5"/>
  <c r="BI553" i="5" s="1"/>
  <c r="AP28" i="5"/>
  <c r="AQ28" i="5" s="1"/>
  <c r="AP320" i="5"/>
  <c r="BI320" i="5" s="1"/>
  <c r="AP503" i="5"/>
  <c r="AR503" i="5" s="1"/>
  <c r="AP161" i="5"/>
  <c r="BI161" i="5" s="1"/>
  <c r="AP429" i="5"/>
  <c r="BI429" i="5" s="1"/>
  <c r="AP558" i="5"/>
  <c r="BI558" i="5" s="1"/>
  <c r="AP314" i="5"/>
  <c r="AQ314" i="5" s="1"/>
  <c r="AP334" i="5"/>
  <c r="BI334" i="5" s="1"/>
  <c r="AP540" i="5"/>
  <c r="AR540" i="5" s="1"/>
  <c r="AP123" i="5"/>
  <c r="BI123" i="5" s="1"/>
  <c r="AP325" i="5"/>
  <c r="AQ325" i="5" s="1"/>
  <c r="AP555" i="5"/>
  <c r="AR555" i="5" s="1"/>
  <c r="AP401" i="5"/>
  <c r="BI401" i="5" s="1"/>
  <c r="AP542" i="5"/>
  <c r="AR542" i="5" s="1"/>
  <c r="AP255" i="5"/>
  <c r="AQ255" i="5" s="1"/>
  <c r="AP89" i="5"/>
  <c r="AR89" i="5" s="1"/>
  <c r="AP55" i="5"/>
  <c r="BI55" i="5" s="1"/>
  <c r="AP495" i="5"/>
  <c r="AR495" i="5" s="1"/>
  <c r="AP513" i="5"/>
  <c r="BI513" i="5" s="1"/>
  <c r="BI124" i="5"/>
  <c r="AQ124" i="5"/>
  <c r="AR124" i="5"/>
  <c r="AN411" i="5"/>
  <c r="AO411" i="5"/>
  <c r="AO151" i="5"/>
  <c r="AN151" i="5"/>
  <c r="AO68" i="5"/>
  <c r="AN68" i="5"/>
  <c r="AO252" i="5"/>
  <c r="AN252" i="5"/>
  <c r="AO77" i="5"/>
  <c r="AN77" i="5"/>
  <c r="AO266" i="5"/>
  <c r="AN266" i="5"/>
  <c r="AO33" i="5"/>
  <c r="AN33" i="5"/>
  <c r="AN148" i="5"/>
  <c r="AO148" i="5"/>
  <c r="AO84" i="5"/>
  <c r="AN84" i="5"/>
  <c r="AO106" i="5"/>
  <c r="AN106" i="5"/>
  <c r="AN557" i="5"/>
  <c r="AO557" i="5"/>
  <c r="AN240" i="5"/>
  <c r="AO240" i="5"/>
  <c r="AN446" i="5"/>
  <c r="AO446" i="5"/>
  <c r="AN183" i="5"/>
  <c r="AO183" i="5"/>
  <c r="AO192" i="5"/>
  <c r="AN192" i="5"/>
  <c r="AO209" i="5"/>
  <c r="AN209" i="5"/>
  <c r="AN394" i="5"/>
  <c r="AO394" i="5"/>
  <c r="AO541" i="5"/>
  <c r="AN541" i="5"/>
  <c r="AN504" i="5"/>
  <c r="AO504" i="5"/>
  <c r="AN13" i="5"/>
  <c r="AO13" i="5"/>
  <c r="AO416" i="5"/>
  <c r="AN416" i="5"/>
  <c r="AN54" i="5"/>
  <c r="AO54" i="5"/>
  <c r="AN159" i="5"/>
  <c r="AO159" i="5"/>
  <c r="AO154" i="5"/>
  <c r="AN154" i="5"/>
  <c r="AO524" i="5"/>
  <c r="AN524" i="5"/>
  <c r="AN260" i="5"/>
  <c r="AO260" i="5"/>
  <c r="AO444" i="5"/>
  <c r="AN444" i="5"/>
  <c r="AN372" i="5"/>
  <c r="AO372" i="5"/>
  <c r="AN529" i="5"/>
  <c r="AO529" i="5"/>
  <c r="AN284" i="5"/>
  <c r="AO284" i="5"/>
  <c r="AO533" i="5"/>
  <c r="AN533" i="5"/>
  <c r="AO219" i="5"/>
  <c r="AN219" i="5"/>
  <c r="AO462" i="5"/>
  <c r="AN462" i="5"/>
  <c r="AN176" i="5"/>
  <c r="AO176" i="5"/>
  <c r="AO267" i="5"/>
  <c r="AN267" i="5"/>
  <c r="AN419" i="5"/>
  <c r="AO419" i="5"/>
  <c r="AO12" i="5"/>
  <c r="AN12" i="5"/>
  <c r="AO101" i="5"/>
  <c r="AN101" i="5"/>
  <c r="AO386" i="5"/>
  <c r="AN386" i="5"/>
  <c r="AO368" i="5"/>
  <c r="AN368" i="5"/>
  <c r="AO186" i="5"/>
  <c r="AN186" i="5"/>
  <c r="AO363" i="5"/>
  <c r="AN363" i="5"/>
  <c r="AO65" i="5"/>
  <c r="AN65" i="5"/>
  <c r="AO316" i="5"/>
  <c r="AN316" i="5"/>
  <c r="AO302" i="5"/>
  <c r="AN302" i="5"/>
  <c r="AO336" i="5"/>
  <c r="AN336" i="5"/>
  <c r="AN184" i="5"/>
  <c r="AO184" i="5"/>
  <c r="AN485" i="5"/>
  <c r="AO485" i="5"/>
  <c r="AO73" i="5"/>
  <c r="AN73" i="5"/>
  <c r="AO248" i="5"/>
  <c r="AN248" i="5"/>
  <c r="AH16" i="4"/>
  <c r="AE16" i="4"/>
  <c r="Z16" i="4"/>
  <c r="X16" i="4" s="1"/>
  <c r="AJ16" i="4" s="1"/>
  <c r="AH9" i="4"/>
  <c r="Z9" i="4"/>
  <c r="X9" i="4" s="1"/>
  <c r="AJ9" i="4" s="1"/>
  <c r="AE9" i="4"/>
  <c r="AH80" i="4"/>
  <c r="AE80" i="4"/>
  <c r="Z80" i="4"/>
  <c r="AA80" i="4"/>
  <c r="AH138" i="4"/>
  <c r="AE138" i="4"/>
  <c r="Z138" i="4"/>
  <c r="AA138" i="4"/>
  <c r="AH10" i="4"/>
  <c r="AE10" i="4"/>
  <c r="Z10" i="4"/>
  <c r="X10" i="4" s="1"/>
  <c r="AJ10" i="4" s="1"/>
  <c r="AH35" i="4"/>
  <c r="AE35" i="4"/>
  <c r="Z35" i="4"/>
  <c r="X35" i="4" s="1"/>
  <c r="AH97" i="4"/>
  <c r="AE97" i="4"/>
  <c r="AE27" i="4"/>
  <c r="AH27" i="4"/>
  <c r="Z27" i="4"/>
  <c r="X27" i="4" s="1"/>
  <c r="AH47" i="4"/>
  <c r="AA47" i="4"/>
  <c r="AE47" i="4"/>
  <c r="Z47" i="4"/>
  <c r="AE78" i="4"/>
  <c r="AH78" i="4"/>
  <c r="AH82" i="4"/>
  <c r="AE82" i="4"/>
  <c r="AE63" i="4"/>
  <c r="AH63" i="4"/>
  <c r="AH25" i="4"/>
  <c r="AE25" i="4"/>
  <c r="Z25" i="4"/>
  <c r="X25" i="4" s="1"/>
  <c r="AJ25" i="4" s="1"/>
  <c r="AE62" i="4"/>
  <c r="AH62" i="4"/>
  <c r="AE96" i="4"/>
  <c r="AH96" i="4"/>
  <c r="AH76" i="4"/>
  <c r="AE76" i="4"/>
  <c r="AH87" i="4"/>
  <c r="AE87" i="4"/>
  <c r="AA87" i="4"/>
  <c r="Z87" i="4"/>
  <c r="AE89" i="4"/>
  <c r="AH89" i="4"/>
  <c r="AE29" i="4"/>
  <c r="AH29" i="4"/>
  <c r="Z29" i="4"/>
  <c r="X29" i="4" s="1"/>
  <c r="AH65" i="4"/>
  <c r="AE65" i="4"/>
  <c r="BI343" i="5"/>
  <c r="AQ343" i="5"/>
  <c r="AR343" i="5"/>
  <c r="AP68" i="5"/>
  <c r="AP159" i="5"/>
  <c r="AP446" i="5"/>
  <c r="AP411" i="5"/>
  <c r="AP176" i="5"/>
  <c r="AP529" i="5"/>
  <c r="AP444" i="5"/>
  <c r="AP154" i="5"/>
  <c r="BI31" i="5"/>
  <c r="AQ31" i="5"/>
  <c r="AR31" i="5"/>
  <c r="AP260" i="5"/>
  <c r="AP394" i="5"/>
  <c r="AP252" i="5"/>
  <c r="AE120" i="4"/>
  <c r="AA120" i="4"/>
  <c r="Z120" i="4"/>
  <c r="AH120" i="4"/>
  <c r="AK9" i="5"/>
  <c r="AL9" i="5"/>
  <c r="AI9" i="5"/>
  <c r="AH9" i="5"/>
  <c r="AE142" i="4"/>
  <c r="AH142" i="4"/>
  <c r="AE51" i="4"/>
  <c r="AH51" i="4"/>
  <c r="Z51" i="4"/>
  <c r="X51" i="4" s="1"/>
  <c r="AE118" i="4"/>
  <c r="AH118" i="4"/>
  <c r="AE114" i="4"/>
  <c r="AH114" i="4"/>
  <c r="AE69" i="4"/>
  <c r="AH69" i="4"/>
  <c r="AH104" i="4"/>
  <c r="Z104" i="4"/>
  <c r="AA104" i="4"/>
  <c r="AE104" i="4"/>
  <c r="AH139" i="4"/>
  <c r="AA139" i="4"/>
  <c r="Z139" i="4"/>
  <c r="AE139" i="4"/>
  <c r="AH100" i="4"/>
  <c r="AE100" i="4"/>
  <c r="AA100" i="4"/>
  <c r="Z100" i="4"/>
  <c r="P44" i="5"/>
  <c r="P46" i="5"/>
  <c r="P297" i="5"/>
  <c r="P541" i="5"/>
  <c r="P28" i="5"/>
  <c r="P348" i="5"/>
  <c r="P524" i="5"/>
  <c r="P29" i="5"/>
  <c r="P19" i="5"/>
  <c r="P256" i="5"/>
  <c r="P85" i="5"/>
  <c r="P282" i="5"/>
  <c r="P137" i="5"/>
  <c r="P468" i="5"/>
  <c r="P281" i="5"/>
  <c r="P76" i="5"/>
  <c r="P431" i="5"/>
  <c r="P405" i="5"/>
  <c r="P97" i="5"/>
  <c r="P21" i="5"/>
  <c r="P542" i="5"/>
  <c r="P37" i="5"/>
  <c r="P410" i="5"/>
  <c r="P70" i="5"/>
  <c r="P341" i="5"/>
  <c r="P77" i="5"/>
  <c r="P326" i="5"/>
  <c r="P258" i="5"/>
  <c r="P328" i="5"/>
  <c r="P560" i="5"/>
  <c r="P49" i="5"/>
  <c r="P166" i="5"/>
  <c r="P144" i="5"/>
  <c r="P62" i="5"/>
  <c r="P358" i="5"/>
  <c r="P210" i="5"/>
  <c r="P415" i="5"/>
  <c r="P559" i="5"/>
  <c r="P81" i="5"/>
  <c r="P522" i="5"/>
  <c r="P181" i="5"/>
  <c r="P514" i="5"/>
  <c r="P419" i="5"/>
  <c r="P558" i="5"/>
  <c r="P110" i="5"/>
  <c r="P272" i="5"/>
  <c r="P225" i="5"/>
  <c r="P507" i="5"/>
  <c r="P88" i="5"/>
  <c r="P466" i="5"/>
  <c r="P260" i="5"/>
  <c r="P437" i="5"/>
  <c r="P421" i="5"/>
  <c r="P299" i="5"/>
  <c r="P430" i="5"/>
  <c r="P309" i="5"/>
  <c r="P209" i="5"/>
  <c r="P242" i="5"/>
  <c r="P377" i="5"/>
  <c r="P187" i="5"/>
  <c r="P500" i="5"/>
  <c r="P119" i="5"/>
  <c r="P213" i="5"/>
  <c r="P51" i="5"/>
  <c r="P8" i="5"/>
  <c r="P34" i="5"/>
  <c r="P38" i="5"/>
  <c r="P372" i="5"/>
  <c r="P473" i="5"/>
  <c r="P180" i="5"/>
  <c r="P448" i="5"/>
  <c r="P316" i="5"/>
  <c r="P353" i="5"/>
  <c r="P504" i="5"/>
  <c r="P445" i="5"/>
  <c r="P234" i="5"/>
  <c r="P164" i="5"/>
  <c r="P373" i="5"/>
  <c r="P90" i="5"/>
  <c r="P83" i="5"/>
  <c r="P254" i="5"/>
  <c r="P149" i="5"/>
  <c r="P141" i="5"/>
  <c r="P549" i="5"/>
  <c r="P277" i="5"/>
  <c r="P27" i="5"/>
  <c r="P286" i="5"/>
  <c r="P551" i="5"/>
  <c r="P87" i="5"/>
  <c r="P115" i="5"/>
  <c r="P362" i="5"/>
  <c r="P352" i="5"/>
  <c r="P554" i="5"/>
  <c r="P369" i="5"/>
  <c r="P475" i="5"/>
  <c r="P236" i="5"/>
  <c r="P370" i="5"/>
  <c r="P350" i="5"/>
  <c r="P45" i="5"/>
  <c r="P150" i="5"/>
  <c r="P324" i="5"/>
  <c r="P447" i="5"/>
  <c r="P485" i="5"/>
  <c r="P331" i="5"/>
  <c r="P458" i="5"/>
  <c r="P521" i="5"/>
  <c r="P125" i="5"/>
  <c r="P393" i="5"/>
  <c r="P329" i="5"/>
  <c r="P537" i="5"/>
  <c r="P443" i="5"/>
  <c r="P93" i="5"/>
  <c r="P245" i="5"/>
  <c r="P123" i="5"/>
  <c r="P265" i="5"/>
  <c r="P279" i="5"/>
  <c r="P402" i="5"/>
  <c r="P64" i="5"/>
  <c r="P160" i="5"/>
  <c r="P41" i="5"/>
  <c r="P301" i="5"/>
  <c r="P42" i="5"/>
  <c r="P292" i="5"/>
  <c r="P424" i="5"/>
  <c r="P195" i="5"/>
  <c r="P462" i="5"/>
  <c r="P98" i="5"/>
  <c r="P474" i="5"/>
  <c r="P243" i="5"/>
  <c r="P442" i="5"/>
  <c r="P531" i="5"/>
  <c r="P207" i="5"/>
  <c r="P162" i="5"/>
  <c r="P69" i="5"/>
  <c r="P406" i="5"/>
  <c r="P381" i="5"/>
  <c r="P153" i="5"/>
  <c r="P300" i="5"/>
  <c r="P36" i="5"/>
  <c r="P322" i="5"/>
  <c r="P349" i="5"/>
  <c r="P319" i="5"/>
  <c r="P31" i="5"/>
  <c r="P191" i="5"/>
  <c r="P429" i="5"/>
  <c r="P13" i="5"/>
  <c r="P513" i="5"/>
  <c r="P11" i="5"/>
  <c r="P124" i="5"/>
  <c r="P364" i="5"/>
  <c r="P332" i="5"/>
  <c r="P220" i="5"/>
  <c r="P74" i="5"/>
  <c r="P109" i="5"/>
  <c r="P214" i="5"/>
  <c r="P453" i="5"/>
  <c r="P339" i="5"/>
  <c r="P416" i="5"/>
  <c r="P440" i="5"/>
  <c r="P203" i="5"/>
  <c r="P482" i="5"/>
  <c r="P438" i="5"/>
  <c r="P134" i="5"/>
  <c r="P128" i="5"/>
  <c r="P171" i="5"/>
  <c r="P91" i="5"/>
  <c r="P515" i="5"/>
  <c r="P487" i="5"/>
  <c r="P399" i="5"/>
  <c r="P56" i="5"/>
  <c r="P132" i="5"/>
  <c r="P488" i="5"/>
  <c r="P417" i="5"/>
  <c r="P441" i="5"/>
  <c r="P401" i="5"/>
  <c r="P486" i="5"/>
  <c r="P185" i="5"/>
  <c r="P451" i="5"/>
  <c r="P104" i="5"/>
  <c r="P544" i="5"/>
  <c r="P457" i="5"/>
  <c r="P384" i="5"/>
  <c r="P217" i="5"/>
  <c r="P289" i="5"/>
  <c r="P346" i="5"/>
  <c r="P528" i="5"/>
  <c r="P320" i="5"/>
  <c r="P120" i="5"/>
  <c r="P262" i="5"/>
  <c r="P175" i="5"/>
  <c r="P403" i="5"/>
  <c r="P95" i="5"/>
  <c r="P112" i="5"/>
  <c r="P276" i="5"/>
  <c r="P479" i="5"/>
  <c r="P287" i="5"/>
  <c r="P435" i="5"/>
  <c r="P518" i="5"/>
  <c r="P72" i="5"/>
  <c r="P271" i="5"/>
  <c r="P82" i="5"/>
  <c r="P116" i="5"/>
  <c r="P509" i="5"/>
  <c r="P450" i="5"/>
  <c r="P412" i="5"/>
  <c r="P408" i="5"/>
  <c r="P465" i="5"/>
  <c r="P333" i="5"/>
  <c r="P538" i="5"/>
  <c r="P379" i="5"/>
  <c r="P122" i="5"/>
  <c r="P432" i="5"/>
  <c r="P535" i="5"/>
  <c r="P172" i="5"/>
  <c r="P543" i="5"/>
  <c r="P425" i="5"/>
  <c r="P33" i="5"/>
  <c r="P40" i="5"/>
  <c r="P79" i="5"/>
  <c r="P47" i="5"/>
  <c r="P495" i="5"/>
  <c r="P337" i="5"/>
  <c r="P492" i="5"/>
  <c r="P545" i="5"/>
  <c r="P231" i="5"/>
  <c r="P30" i="5"/>
  <c r="P383" i="5"/>
  <c r="P253" i="5"/>
  <c r="P449" i="5"/>
  <c r="P101" i="5"/>
  <c r="P194" i="5"/>
  <c r="P65" i="5"/>
  <c r="P323" i="5"/>
  <c r="P360" i="5"/>
  <c r="P269" i="5"/>
  <c r="P539" i="5"/>
  <c r="P394" i="5"/>
  <c r="P43" i="5"/>
  <c r="P61" i="5"/>
  <c r="P378" i="5"/>
  <c r="P477" i="5"/>
  <c r="P489" i="5"/>
  <c r="P519" i="5"/>
  <c r="P295" i="5"/>
  <c r="P121" i="5"/>
  <c r="P391" i="5"/>
  <c r="P268" i="5"/>
  <c r="P68" i="5"/>
  <c r="P155" i="5"/>
  <c r="P107" i="5"/>
  <c r="P22" i="5"/>
  <c r="P314" i="5"/>
  <c r="P229" i="5"/>
  <c r="P148" i="5"/>
  <c r="P411" i="5"/>
  <c r="P67" i="5"/>
  <c r="P526" i="5"/>
  <c r="P113" i="5"/>
  <c r="P470" i="5"/>
  <c r="P452" i="5"/>
  <c r="P307" i="5"/>
  <c r="P409" i="5"/>
  <c r="P55" i="5"/>
  <c r="P343" i="5"/>
  <c r="P223" i="5"/>
  <c r="P298" i="5"/>
  <c r="P230" i="5"/>
  <c r="P303" i="5"/>
  <c r="P99" i="5"/>
  <c r="P499" i="5"/>
  <c r="P555" i="5"/>
  <c r="P275" i="5"/>
  <c r="P290" i="5"/>
  <c r="P380" i="5"/>
  <c r="P139" i="5"/>
  <c r="P512" i="5"/>
  <c r="P266" i="5"/>
  <c r="P385" i="5"/>
  <c r="P325" i="5"/>
  <c r="P156" i="5"/>
  <c r="P335" i="5"/>
  <c r="P498" i="5"/>
  <c r="P178" i="5"/>
  <c r="P264" i="5"/>
  <c r="P159" i="5"/>
  <c r="P294" i="5"/>
  <c r="P240" i="5"/>
  <c r="P151" i="5"/>
  <c r="P168" i="5"/>
  <c r="P84" i="5"/>
  <c r="P208" i="5"/>
  <c r="P53" i="5"/>
  <c r="P476" i="5"/>
  <c r="P197" i="5"/>
  <c r="P327" i="5"/>
  <c r="P100" i="5"/>
  <c r="P389" i="5"/>
  <c r="P184" i="5"/>
  <c r="P414" i="5"/>
  <c r="P505" i="5"/>
  <c r="P523" i="5"/>
  <c r="P422" i="5"/>
  <c r="P204" i="5"/>
  <c r="P483" i="5"/>
  <c r="P252" i="5"/>
  <c r="P108" i="5"/>
  <c r="P308" i="5"/>
  <c r="P388" i="5"/>
  <c r="P267" i="5"/>
  <c r="P183" i="5"/>
  <c r="P73" i="5"/>
  <c r="P130" i="5"/>
  <c r="P530" i="5"/>
  <c r="P387" i="5"/>
  <c r="P397" i="5"/>
  <c r="P427" i="5"/>
  <c r="P532" i="5"/>
  <c r="P376" i="5"/>
  <c r="P222" i="5"/>
  <c r="P25" i="5"/>
  <c r="P426" i="5"/>
  <c r="P463" i="5"/>
  <c r="P510" i="5"/>
  <c r="P288" i="5"/>
  <c r="P285" i="5"/>
  <c r="P478" i="5"/>
  <c r="P296" i="5"/>
  <c r="P497" i="5"/>
  <c r="P154" i="5"/>
  <c r="P464" i="5"/>
  <c r="P201" i="5"/>
  <c r="P105" i="5"/>
  <c r="P237" i="5"/>
  <c r="P278" i="5"/>
  <c r="P506" i="5"/>
  <c r="P433" i="5"/>
  <c r="P491" i="5"/>
  <c r="P80" i="5"/>
  <c r="P552" i="5"/>
  <c r="P351" i="5"/>
  <c r="P263" i="5"/>
  <c r="P368" i="5"/>
  <c r="P66" i="5"/>
  <c r="P480" i="5"/>
  <c r="P347" i="5"/>
  <c r="P202" i="5"/>
  <c r="P118" i="5"/>
  <c r="P374" i="5"/>
  <c r="P274" i="5"/>
  <c r="P165" i="5"/>
  <c r="P434" i="5"/>
  <c r="P199" i="5"/>
  <c r="P342" i="5"/>
  <c r="P550" i="5"/>
  <c r="P182" i="5"/>
  <c r="P547" i="5"/>
  <c r="P255" i="5"/>
  <c r="P436" i="5"/>
  <c r="P366" i="5"/>
  <c r="P291" i="5"/>
  <c r="P306" i="5"/>
  <c r="P158" i="5"/>
  <c r="P190" i="5"/>
  <c r="P177" i="5"/>
  <c r="P359" i="5"/>
  <c r="P446" i="5"/>
  <c r="P246" i="5"/>
  <c r="P472" i="5"/>
  <c r="P321" i="5"/>
  <c r="P226" i="5"/>
  <c r="P20" i="5"/>
  <c r="P493" i="5"/>
  <c r="P23" i="5"/>
  <c r="P26" i="5"/>
  <c r="P186" i="5"/>
  <c r="P490" i="5"/>
  <c r="P305" i="5"/>
  <c r="P467" i="5"/>
  <c r="P508" i="5"/>
  <c r="P57" i="5"/>
  <c r="P136" i="5"/>
  <c r="P221" i="5"/>
  <c r="P533" i="5"/>
  <c r="P211" i="5"/>
  <c r="P481" i="5"/>
  <c r="P338" i="5"/>
  <c r="P516" i="5"/>
  <c r="P428" i="5"/>
  <c r="P138" i="5"/>
  <c r="P52" i="5"/>
  <c r="P63" i="5"/>
  <c r="P143" i="5"/>
  <c r="P536" i="5"/>
  <c r="P102" i="5"/>
  <c r="P247" i="5"/>
  <c r="P89" i="5"/>
  <c r="P548" i="5"/>
  <c r="P553" i="5"/>
  <c r="P511" i="5"/>
  <c r="P471" i="5"/>
  <c r="P54" i="5"/>
  <c r="P390" i="5"/>
  <c r="P205" i="5"/>
  <c r="P48" i="5"/>
  <c r="P365" i="5"/>
  <c r="P361" i="5"/>
  <c r="P396" i="5"/>
  <c r="P420" i="5"/>
  <c r="P196" i="5"/>
  <c r="P502" i="5"/>
  <c r="P501" i="5"/>
  <c r="P407" i="5"/>
  <c r="P189" i="5"/>
  <c r="P357" i="5"/>
  <c r="P86" i="5"/>
  <c r="P241" i="5"/>
  <c r="P219" i="5"/>
  <c r="P375" i="5"/>
  <c r="P106" i="5"/>
  <c r="P117" i="5"/>
  <c r="P340" i="5"/>
  <c r="P103" i="5"/>
  <c r="P284" i="5"/>
  <c r="P251" i="5"/>
  <c r="P215" i="5"/>
  <c r="P400" i="5"/>
  <c r="P176" i="5"/>
  <c r="P395" i="5"/>
  <c r="P146" i="5"/>
  <c r="P540" i="5"/>
  <c r="P114" i="5"/>
  <c r="P469" i="5"/>
  <c r="P317" i="5"/>
  <c r="P131" i="5"/>
  <c r="P318" i="5"/>
  <c r="P173" i="5"/>
  <c r="P216" i="5"/>
  <c r="P140" i="5"/>
  <c r="P293" i="5"/>
  <c r="P152" i="5"/>
  <c r="P78" i="5"/>
  <c r="P147" i="5"/>
  <c r="P461" i="5"/>
  <c r="P198" i="5"/>
  <c r="P169" i="5"/>
  <c r="P273" i="5"/>
  <c r="P161" i="5"/>
  <c r="P174" i="5"/>
  <c r="P163" i="5"/>
  <c r="P257" i="5"/>
  <c r="P334" i="5"/>
  <c r="P228" i="5"/>
  <c r="P179" i="5"/>
  <c r="P206" i="5"/>
  <c r="P12" i="5"/>
  <c r="P336" i="5"/>
  <c r="P192" i="5"/>
  <c r="P312" i="5"/>
  <c r="P126" i="5"/>
  <c r="P460" i="5"/>
  <c r="P520" i="5"/>
  <c r="P71" i="5"/>
  <c r="P227" i="5"/>
  <c r="P484" i="5"/>
  <c r="P200" i="5"/>
  <c r="P24" i="5"/>
  <c r="P157" i="5"/>
  <c r="P94" i="5"/>
  <c r="P398" i="5"/>
  <c r="P261" i="5"/>
  <c r="P259" i="5"/>
  <c r="P557" i="5"/>
  <c r="P404" i="5"/>
  <c r="P439" i="5"/>
  <c r="P145" i="5"/>
  <c r="P371" i="5"/>
  <c r="P310" i="5"/>
  <c r="P111" i="5"/>
  <c r="P212" i="5"/>
  <c r="P546" i="5"/>
  <c r="P250" i="5"/>
  <c r="P224" i="5"/>
  <c r="P503" i="5"/>
  <c r="P456" i="5"/>
  <c r="P354" i="5"/>
  <c r="P142" i="5"/>
  <c r="P10" i="5"/>
  <c r="P283" i="5"/>
  <c r="P355" i="5"/>
  <c r="P135" i="5"/>
  <c r="P270" i="5"/>
  <c r="P356" i="5"/>
  <c r="P59" i="5"/>
  <c r="P423" i="5"/>
  <c r="P127" i="5"/>
  <c r="P244" i="5"/>
  <c r="P392" i="5"/>
  <c r="P313" i="5"/>
  <c r="P232" i="5"/>
  <c r="P413" i="5"/>
  <c r="P529" i="5"/>
  <c r="P50" i="5"/>
  <c r="P32" i="5"/>
  <c r="P280" i="5"/>
  <c r="P386" i="5"/>
  <c r="P330" i="5"/>
  <c r="P238" i="5"/>
  <c r="P193" i="5"/>
  <c r="P39" i="5"/>
  <c r="P58" i="5"/>
  <c r="P233" i="5"/>
  <c r="P75" i="5"/>
  <c r="P188" i="5"/>
  <c r="P363" i="5"/>
  <c r="P345" i="5"/>
  <c r="P92" i="5"/>
  <c r="P239" i="5"/>
  <c r="P459" i="5"/>
  <c r="P556" i="5"/>
  <c r="P454" i="5"/>
  <c r="P302" i="5"/>
  <c r="P534" i="5"/>
  <c r="P494" i="5"/>
  <c r="P133" i="5"/>
  <c r="P496" i="5"/>
  <c r="P311" i="5"/>
  <c r="P304" i="5"/>
  <c r="P315" i="5"/>
  <c r="P60" i="5"/>
  <c r="P382" i="5"/>
  <c r="P525" i="5"/>
  <c r="P527" i="5"/>
  <c r="P367" i="5"/>
  <c r="P96" i="5"/>
  <c r="P218" i="5"/>
  <c r="P170" i="5"/>
  <c r="P444" i="5"/>
  <c r="P344" i="5"/>
  <c r="P418" i="5"/>
  <c r="P167" i="5"/>
  <c r="P517" i="5"/>
  <c r="P455" i="5"/>
  <c r="P235" i="5"/>
  <c r="P249" i="5"/>
  <c r="P35" i="5"/>
  <c r="P9" i="5"/>
  <c r="P248" i="5"/>
  <c r="P129" i="5"/>
  <c r="AE95" i="4"/>
  <c r="AH95" i="4"/>
  <c r="AE46" i="4"/>
  <c r="AH46" i="4"/>
  <c r="Z46" i="4"/>
  <c r="X46" i="4" s="1"/>
  <c r="AE50" i="4"/>
  <c r="AH50" i="4"/>
  <c r="Z50" i="4"/>
  <c r="AH48" i="4"/>
  <c r="AE48" i="4"/>
  <c r="Z48" i="4"/>
  <c r="X48" i="4" s="1"/>
  <c r="AH53" i="4"/>
  <c r="AE53" i="4"/>
  <c r="Z53" i="4"/>
  <c r="X53" i="4" s="1"/>
  <c r="AJ53" i="4" s="1"/>
  <c r="AE91" i="4"/>
  <c r="AA91" i="4"/>
  <c r="AH91" i="4"/>
  <c r="Z91" i="4"/>
  <c r="AH122" i="4"/>
  <c r="AE122" i="4"/>
  <c r="AH99" i="4"/>
  <c r="AA99" i="4"/>
  <c r="AE99" i="4"/>
  <c r="Z99" i="4"/>
  <c r="B185" i="2"/>
  <c r="B219" i="2"/>
  <c r="H64" i="1" s="1"/>
  <c r="AE7" i="5"/>
  <c r="BF7" i="5"/>
  <c r="AD7" i="5"/>
  <c r="B184" i="2" s="1"/>
  <c r="AE54" i="4"/>
  <c r="AH54" i="4"/>
  <c r="AH24" i="4"/>
  <c r="AE24" i="4"/>
  <c r="Z24" i="4"/>
  <c r="X24" i="4" s="1"/>
  <c r="AJ24" i="4" s="1"/>
  <c r="O11" i="5"/>
  <c r="Q408" i="5"/>
  <c r="Q53" i="5"/>
  <c r="Q154" i="5"/>
  <c r="Q150" i="5"/>
  <c r="Q287" i="5"/>
  <c r="Q385" i="5"/>
  <c r="Q464" i="5"/>
  <c r="Q459" i="5"/>
  <c r="Q418" i="5"/>
  <c r="Q424" i="5"/>
  <c r="Q402" i="5"/>
  <c r="Q495" i="5"/>
  <c r="Q177" i="5"/>
  <c r="Q404" i="5"/>
  <c r="Q45" i="5"/>
  <c r="Q504" i="5"/>
  <c r="Q392" i="5"/>
  <c r="Q325" i="5"/>
  <c r="Q292" i="5"/>
  <c r="Q416" i="5"/>
  <c r="Q471" i="5"/>
  <c r="Q339" i="5"/>
  <c r="Q131" i="5"/>
  <c r="Q400" i="5"/>
  <c r="Q48" i="5"/>
  <c r="Q79" i="5"/>
  <c r="Q488" i="5"/>
  <c r="Q69" i="5"/>
  <c r="Q421" i="5"/>
  <c r="Q455" i="5"/>
  <c r="Q233" i="5"/>
  <c r="Q137" i="5"/>
  <c r="Q366" i="5"/>
  <c r="Q214" i="5"/>
  <c r="Q281" i="5"/>
  <c r="Q168" i="5"/>
  <c r="Q143" i="5"/>
  <c r="Q285" i="5"/>
  <c r="Q442" i="5"/>
  <c r="B40" i="5"/>
  <c r="Q133" i="5"/>
  <c r="Q194" i="5"/>
  <c r="Q386" i="5"/>
  <c r="Q123" i="5"/>
  <c r="Q158" i="5"/>
  <c r="Q534" i="5"/>
  <c r="Q134" i="5"/>
  <c r="Q460" i="5"/>
  <c r="Q103" i="5"/>
  <c r="Q33" i="5"/>
  <c r="Q244" i="5"/>
  <c r="Q269" i="5"/>
  <c r="Q531" i="5"/>
  <c r="Q117" i="5"/>
  <c r="Q451" i="5"/>
  <c r="Q542" i="5"/>
  <c r="Q362" i="5"/>
  <c r="Q517" i="5"/>
  <c r="Q452" i="5"/>
  <c r="Q111" i="5"/>
  <c r="Q540" i="5"/>
  <c r="Q173" i="5"/>
  <c r="Q363" i="5"/>
  <c r="Q350" i="5"/>
  <c r="Q55" i="5"/>
  <c r="Q286" i="5"/>
  <c r="Q81" i="5"/>
  <c r="Q529" i="5"/>
  <c r="Q119" i="5"/>
  <c r="Q317" i="5"/>
  <c r="Q156" i="5"/>
  <c r="Q389" i="5"/>
  <c r="Q274" i="5"/>
  <c r="Q458" i="5"/>
  <c r="Q466" i="5"/>
  <c r="Q72" i="5"/>
  <c r="Q465" i="5"/>
  <c r="Q89" i="5"/>
  <c r="Q12" i="5"/>
  <c r="Q461" i="5"/>
  <c r="Q144" i="5"/>
  <c r="Q70" i="5"/>
  <c r="Q113" i="5"/>
  <c r="Q434" i="5"/>
  <c r="Q503" i="5"/>
  <c r="Q322" i="5"/>
  <c r="Q390" i="5"/>
  <c r="Q66" i="5"/>
  <c r="Q124" i="5"/>
  <c r="Q547" i="5"/>
  <c r="Q24" i="5"/>
  <c r="Q412" i="5"/>
  <c r="Q361" i="5"/>
  <c r="Q161" i="5"/>
  <c r="Q283" i="5"/>
  <c r="Q506" i="5"/>
  <c r="Q146" i="5"/>
  <c r="Q217" i="5"/>
  <c r="Q246" i="5"/>
  <c r="Q187" i="5"/>
  <c r="Q108" i="5"/>
  <c r="Q513" i="5"/>
  <c r="Q238" i="5"/>
  <c r="Q204" i="5"/>
  <c r="Q97" i="5"/>
  <c r="Q96" i="5"/>
  <c r="Q273" i="5"/>
  <c r="Q149" i="5"/>
  <c r="Q104" i="5"/>
  <c r="Q272" i="5"/>
  <c r="Q212" i="5"/>
  <c r="Q393" i="5"/>
  <c r="Q52" i="5"/>
  <c r="Q215" i="5"/>
  <c r="Q301" i="5"/>
  <c r="Q346" i="5"/>
  <c r="Q224" i="5"/>
  <c r="Q327" i="5"/>
  <c r="Q99" i="5"/>
  <c r="Q296" i="5"/>
  <c r="Q388" i="5"/>
  <c r="Q321" i="5"/>
  <c r="Q356" i="5"/>
  <c r="Q535" i="5"/>
  <c r="Q23" i="5"/>
  <c r="Q62" i="5"/>
  <c r="Q110" i="5"/>
  <c r="Q315" i="5"/>
  <c r="Q448" i="5"/>
  <c r="Q132" i="5"/>
  <c r="Q39" i="5"/>
  <c r="Q82" i="5"/>
  <c r="Q328" i="5"/>
  <c r="Q336" i="5"/>
  <c r="Q359" i="5"/>
  <c r="Q19" i="5"/>
  <c r="Q348" i="5"/>
  <c r="Q207" i="5"/>
  <c r="Q538" i="5"/>
  <c r="Q197" i="5"/>
  <c r="Q184" i="5"/>
  <c r="Q463" i="5"/>
  <c r="Q333" i="5"/>
  <c r="Q349" i="5"/>
  <c r="Q58" i="5"/>
  <c r="Q326" i="5"/>
  <c r="Q530" i="5"/>
  <c r="Q172" i="5"/>
  <c r="Q26" i="5"/>
  <c r="Q293" i="5"/>
  <c r="Q266" i="5"/>
  <c r="Q320" i="5"/>
  <c r="Q304" i="5"/>
  <c r="Q518" i="5"/>
  <c r="Q29" i="5"/>
  <c r="Q163" i="5"/>
  <c r="Q211" i="5"/>
  <c r="Q438" i="5"/>
  <c r="Q515" i="5"/>
  <c r="Q261" i="5"/>
  <c r="Q27" i="5"/>
  <c r="Q382" i="5"/>
  <c r="Q505" i="5"/>
  <c r="Q248" i="5"/>
  <c r="Q409" i="5"/>
  <c r="Q114" i="5"/>
  <c r="Q64" i="5"/>
  <c r="Q74" i="5"/>
  <c r="Q484" i="5"/>
  <c r="Q543" i="5"/>
  <c r="Q351" i="5"/>
  <c r="Q473" i="5"/>
  <c r="Q199" i="5"/>
  <c r="Q428" i="5"/>
  <c r="Q279" i="5"/>
  <c r="Q427" i="5"/>
  <c r="Q73" i="5"/>
  <c r="Q387" i="5"/>
  <c r="Q480" i="5"/>
  <c r="Q414" i="5"/>
  <c r="Q501" i="5"/>
  <c r="Q541" i="5"/>
  <c r="Q157" i="5"/>
  <c r="Q467" i="5"/>
  <c r="Q213" i="5"/>
  <c r="Q8" i="5"/>
  <c r="Q396" i="5"/>
  <c r="Q140" i="5"/>
  <c r="Q411" i="5"/>
  <c r="Q78" i="5"/>
  <c r="Q46" i="5"/>
  <c r="Q552" i="5"/>
  <c r="Q477" i="5"/>
  <c r="Q344" i="5"/>
  <c r="Q61" i="5"/>
  <c r="Q370" i="5"/>
  <c r="Q528" i="5"/>
  <c r="Q288" i="5"/>
  <c r="Q202" i="5"/>
  <c r="Q164" i="5"/>
  <c r="Q250" i="5"/>
  <c r="Q300" i="5"/>
  <c r="Q334" i="5"/>
  <c r="Q228" i="5"/>
  <c r="Q364" i="5"/>
  <c r="Q219" i="5"/>
  <c r="Q309" i="5"/>
  <c r="Q200" i="5"/>
  <c r="Q38" i="5"/>
  <c r="Q28" i="5"/>
  <c r="Q44" i="5"/>
  <c r="Q379" i="5"/>
  <c r="Q377" i="5"/>
  <c r="Q499" i="5"/>
  <c r="Q453" i="5"/>
  <c r="Q446" i="5"/>
  <c r="Q329" i="5"/>
  <c r="Q88" i="5"/>
  <c r="Q40" i="5"/>
  <c r="Q553" i="5"/>
  <c r="Q399" i="5"/>
  <c r="Q263" i="5"/>
  <c r="Q368" i="5"/>
  <c r="Q429" i="5"/>
  <c r="Q456" i="5"/>
  <c r="Q185" i="5"/>
  <c r="Q278" i="5"/>
  <c r="Q431" i="5"/>
  <c r="Q130" i="5"/>
  <c r="Q159" i="5"/>
  <c r="Q496" i="5"/>
  <c r="Q494" i="5"/>
  <c r="Q338" i="5"/>
  <c r="Q291" i="5"/>
  <c r="Q155" i="5"/>
  <c r="Q106" i="5"/>
  <c r="Q492" i="5"/>
  <c r="Q176" i="5"/>
  <c r="Q384" i="5"/>
  <c r="Q433" i="5"/>
  <c r="Q472" i="5"/>
  <c r="Q347" i="5"/>
  <c r="Q255" i="5"/>
  <c r="Q230" i="5"/>
  <c r="Q243" i="5"/>
  <c r="Q332" i="5"/>
  <c r="Q95" i="5"/>
  <c r="Q31" i="5"/>
  <c r="Q251" i="5"/>
  <c r="Q167" i="5"/>
  <c r="Q372" i="5"/>
  <c r="Q171" i="5"/>
  <c r="Q175" i="5"/>
  <c r="Q277" i="5"/>
  <c r="Q479" i="5"/>
  <c r="Q239" i="5"/>
  <c r="Q440" i="5"/>
  <c r="Q397" i="5"/>
  <c r="Q549" i="5"/>
  <c r="Q258" i="5"/>
  <c r="Q422" i="5"/>
  <c r="Q236" i="5"/>
  <c r="Q229" i="5"/>
  <c r="Q189" i="5"/>
  <c r="Q548" i="5"/>
  <c r="Q136" i="5"/>
  <c r="Q474" i="5"/>
  <c r="Q312" i="5"/>
  <c r="Q10" i="5"/>
  <c r="Q554" i="5"/>
  <c r="Q523" i="5"/>
  <c r="Q525" i="5"/>
  <c r="Q51" i="5"/>
  <c r="Q470" i="5"/>
  <c r="Q483" i="5"/>
  <c r="Q437" i="5"/>
  <c r="Q352" i="5"/>
  <c r="Q245" i="5"/>
  <c r="Q75" i="5"/>
  <c r="Q100" i="5"/>
  <c r="Q498" i="5"/>
  <c r="Q275" i="5"/>
  <c r="Q371" i="5"/>
  <c r="Q307" i="5"/>
  <c r="Q305" i="5"/>
  <c r="Q524" i="5"/>
  <c r="Q330" i="5"/>
  <c r="Q160" i="5"/>
  <c r="Q545" i="5"/>
  <c r="Q139" i="5"/>
  <c r="Q345" i="5"/>
  <c r="Q262" i="5"/>
  <c r="Q101" i="5"/>
  <c r="Q43" i="5"/>
  <c r="Q558" i="5"/>
  <c r="Q198" i="5"/>
  <c r="Q166" i="5"/>
  <c r="Q208" i="5"/>
  <c r="Q247" i="5"/>
  <c r="Q358" i="5"/>
  <c r="Q254" i="5"/>
  <c r="Q365" i="5"/>
  <c r="Q487" i="5"/>
  <c r="Q77" i="5"/>
  <c r="Q314" i="5"/>
  <c r="Q92" i="5"/>
  <c r="Q290" i="5"/>
  <c r="Q403" i="5"/>
  <c r="Q308" i="5"/>
  <c r="Q54" i="5"/>
  <c r="Q374" i="5"/>
  <c r="Q511" i="5"/>
  <c r="Q417" i="5"/>
  <c r="Q485" i="5"/>
  <c r="Q341" i="5"/>
  <c r="Q84" i="5"/>
  <c r="Q32" i="5"/>
  <c r="Q449" i="5"/>
  <c r="Q115" i="5"/>
  <c r="Q216" i="5"/>
  <c r="Q220" i="5"/>
  <c r="Q551" i="5"/>
  <c r="Q445" i="5"/>
  <c r="Q153" i="5"/>
  <c r="Q192" i="5"/>
  <c r="Q30" i="5"/>
  <c r="Q76" i="5"/>
  <c r="Q297" i="5"/>
  <c r="Q122" i="5"/>
  <c r="Q284" i="5"/>
  <c r="Q482" i="5"/>
  <c r="Q469" i="5"/>
  <c r="Q354" i="5"/>
  <c r="Q170" i="5"/>
  <c r="Q174" i="5"/>
  <c r="Q380" i="5"/>
  <c r="Q430" i="5"/>
  <c r="Q294" i="5"/>
  <c r="Q475" i="5"/>
  <c r="Q340" i="5"/>
  <c r="Q410" i="5"/>
  <c r="Q165" i="5"/>
  <c r="Q426" i="5"/>
  <c r="Q491" i="5"/>
  <c r="Q241" i="5"/>
  <c r="Q186" i="5"/>
  <c r="Q468" i="5"/>
  <c r="Q205" i="5"/>
  <c r="Q502" i="5"/>
  <c r="Q436" i="5"/>
  <c r="Q337" i="5"/>
  <c r="Q196" i="5"/>
  <c r="Q260" i="5"/>
  <c r="Q42" i="5"/>
  <c r="Q276" i="5"/>
  <c r="Q83" i="5"/>
  <c r="Q87" i="5"/>
  <c r="Q405" i="5"/>
  <c r="Q268" i="5"/>
  <c r="Q519" i="5"/>
  <c r="Q478" i="5"/>
  <c r="Q407" i="5"/>
  <c r="Q532" i="5"/>
  <c r="Q49" i="5"/>
  <c r="Q86" i="5"/>
  <c r="Q526" i="5"/>
  <c r="Q450" i="5"/>
  <c r="Q270" i="5"/>
  <c r="Q310" i="5"/>
  <c r="Q360" i="5"/>
  <c r="Q490" i="5"/>
  <c r="Q406" i="5"/>
  <c r="Q316" i="5"/>
  <c r="Q447" i="5"/>
  <c r="Q521" i="5"/>
  <c r="Q41" i="5"/>
  <c r="Q353" i="5"/>
  <c r="Q90" i="5"/>
  <c r="Q313" i="5"/>
  <c r="Q420" i="5"/>
  <c r="Q493" i="5"/>
  <c r="Q148" i="5"/>
  <c r="Q152" i="5"/>
  <c r="Q162" i="5"/>
  <c r="Q112" i="5"/>
  <c r="Q395" i="5"/>
  <c r="Q127" i="5"/>
  <c r="Q232" i="5"/>
  <c r="Q94" i="5"/>
  <c r="Q439" i="5"/>
  <c r="Q271" i="5"/>
  <c r="Q147" i="5"/>
  <c r="Q226" i="5"/>
  <c r="Q227" i="5"/>
  <c r="Q355" i="5"/>
  <c r="Q203" i="5"/>
  <c r="Q235" i="5"/>
  <c r="Q221" i="5"/>
  <c r="Q510" i="5"/>
  <c r="Q59" i="5"/>
  <c r="Q383" i="5"/>
  <c r="Q481" i="5"/>
  <c r="Q22" i="5"/>
  <c r="Q546" i="5"/>
  <c r="Q67" i="5"/>
  <c r="Q457" i="5"/>
  <c r="Q280" i="5"/>
  <c r="Q556" i="5"/>
  <c r="Q188" i="5"/>
  <c r="Q516" i="5"/>
  <c r="Q335" i="5"/>
  <c r="Q85" i="5"/>
  <c r="Q252" i="5"/>
  <c r="Q169" i="5"/>
  <c r="Q145" i="5"/>
  <c r="Q126" i="5"/>
  <c r="Q50" i="5"/>
  <c r="Q142" i="5"/>
  <c r="Q560" i="5"/>
  <c r="Q178" i="5"/>
  <c r="Q376" i="5"/>
  <c r="Q295" i="5"/>
  <c r="Q544" i="5"/>
  <c r="Q195" i="5"/>
  <c r="Q539" i="5"/>
  <c r="Q193" i="5"/>
  <c r="Q425" i="5"/>
  <c r="Q486" i="5"/>
  <c r="Q218" i="5"/>
  <c r="Q319" i="5"/>
  <c r="Q98" i="5"/>
  <c r="Q20" i="5"/>
  <c r="Q342" i="5"/>
  <c r="Q500" i="5"/>
  <c r="Q21" i="5"/>
  <c r="Q259" i="5"/>
  <c r="Q231" i="5"/>
  <c r="Q537" i="5"/>
  <c r="Q559" i="5"/>
  <c r="Q289" i="5"/>
  <c r="Q391" i="5"/>
  <c r="Q190" i="5"/>
  <c r="Q138" i="5"/>
  <c r="Q444" i="5"/>
  <c r="Q206" i="5"/>
  <c r="Q225" i="5"/>
  <c r="Q398" i="5"/>
  <c r="Q508" i="5"/>
  <c r="Q306" i="5"/>
  <c r="Q514" i="5"/>
  <c r="Q181" i="5"/>
  <c r="Q324" i="5"/>
  <c r="Q462" i="5"/>
  <c r="Q68" i="5"/>
  <c r="Q413" i="5"/>
  <c r="Q489" i="5"/>
  <c r="Q476" i="5"/>
  <c r="Q415" i="5"/>
  <c r="Q57" i="5"/>
  <c r="Q536" i="5"/>
  <c r="Q65" i="5"/>
  <c r="Q441" i="5"/>
  <c r="Q234" i="5"/>
  <c r="Q401" i="5"/>
  <c r="Q120" i="5"/>
  <c r="Q201" i="5"/>
  <c r="Q507" i="5"/>
  <c r="Q37" i="5"/>
  <c r="Q71" i="5"/>
  <c r="Q209" i="5"/>
  <c r="Q520" i="5"/>
  <c r="Q343" i="5"/>
  <c r="Q249" i="5"/>
  <c r="Q435" i="5"/>
  <c r="Q299" i="5"/>
  <c r="Q533" i="5"/>
  <c r="Q116" i="5"/>
  <c r="Q357" i="5"/>
  <c r="Q102" i="5"/>
  <c r="Q419" i="5"/>
  <c r="Q180" i="5"/>
  <c r="Q512" i="5"/>
  <c r="Q47" i="5"/>
  <c r="Q253" i="5"/>
  <c r="Q60" i="5"/>
  <c r="Q105" i="5"/>
  <c r="Q36" i="5"/>
  <c r="Q128" i="5"/>
  <c r="Q527" i="5"/>
  <c r="Q557" i="5"/>
  <c r="Q25" i="5"/>
  <c r="Q125" i="5"/>
  <c r="Q93" i="5"/>
  <c r="Q267" i="5"/>
  <c r="Q121" i="5"/>
  <c r="Q223" i="5"/>
  <c r="Q237" i="5"/>
  <c r="Q331" i="5"/>
  <c r="Q80" i="5"/>
  <c r="Q378" i="5"/>
  <c r="Q91" i="5"/>
  <c r="Q394" i="5"/>
  <c r="Q141" i="5"/>
  <c r="Q257" i="5"/>
  <c r="Q191" i="5"/>
  <c r="Q555" i="5"/>
  <c r="Q56" i="5"/>
  <c r="Q454" i="5"/>
  <c r="Q497" i="5"/>
  <c r="Q182" i="5"/>
  <c r="Q109" i="5"/>
  <c r="Q34" i="5"/>
  <c r="Q298" i="5"/>
  <c r="Q256" i="5"/>
  <c r="Q373" i="5"/>
  <c r="Q240" i="5"/>
  <c r="Q509" i="5"/>
  <c r="Q423" i="5"/>
  <c r="Q369" i="5"/>
  <c r="Q107" i="5"/>
  <c r="Q210" i="5"/>
  <c r="Q118" i="5"/>
  <c r="Q323" i="5"/>
  <c r="Q222" i="5"/>
  <c r="Q443" i="5"/>
  <c r="Q367" i="5"/>
  <c r="Q265" i="5"/>
  <c r="Q129" i="5"/>
  <c r="Q303" i="5"/>
  <c r="Q242" i="5"/>
  <c r="Q264" i="5"/>
  <c r="Q151" i="5"/>
  <c r="Q318" i="5"/>
  <c r="Q302" i="5"/>
  <c r="Q375" i="5"/>
  <c r="Q381" i="5"/>
  <c r="Q522" i="5"/>
  <c r="Q13" i="5"/>
  <c r="Q550" i="5"/>
  <c r="Q432" i="5"/>
  <c r="Q282" i="5"/>
  <c r="Q183" i="5"/>
  <c r="Q35" i="5"/>
  <c r="Q135" i="5"/>
  <c r="Q63" i="5"/>
  <c r="Q311" i="5"/>
  <c r="Q179" i="5"/>
  <c r="Q9" i="5"/>
  <c r="AQ49" i="5"/>
  <c r="BI49" i="5"/>
  <c r="AR49" i="5"/>
  <c r="AP84" i="5"/>
  <c r="AR352" i="5"/>
  <c r="AQ352" i="5"/>
  <c r="BI352" i="5"/>
  <c r="AP386" i="5"/>
  <c r="AP219" i="5"/>
  <c r="BI456" i="5"/>
  <c r="AQ456" i="5"/>
  <c r="AR456" i="5"/>
  <c r="AP485" i="5"/>
  <c r="BI103" i="5"/>
  <c r="AQ103" i="5"/>
  <c r="AR103" i="5"/>
  <c r="AP151" i="5"/>
  <c r="AP73" i="5"/>
  <c r="AP372" i="5"/>
  <c r="AE108" i="4"/>
  <c r="AH108" i="4"/>
  <c r="AE150" i="4"/>
  <c r="AH150" i="4"/>
  <c r="Z150" i="4"/>
  <c r="AA150" i="4"/>
  <c r="AE57" i="4"/>
  <c r="AH57" i="4"/>
  <c r="AA70" i="4"/>
  <c r="Z70" i="4"/>
  <c r="AE70" i="4"/>
  <c r="AH70" i="4"/>
  <c r="AH148" i="4"/>
  <c r="AE148" i="4"/>
  <c r="AA84" i="4"/>
  <c r="AH84" i="4"/>
  <c r="AE84" i="4"/>
  <c r="Z84" i="4"/>
  <c r="AH144" i="4"/>
  <c r="AE144" i="4"/>
  <c r="AE128" i="4"/>
  <c r="AH128" i="4"/>
  <c r="AH106" i="4"/>
  <c r="AE106" i="4"/>
  <c r="AE88" i="4"/>
  <c r="AA88" i="4"/>
  <c r="Z88" i="4"/>
  <c r="AH88" i="4"/>
  <c r="AH140" i="4"/>
  <c r="AE140" i="4"/>
  <c r="AH20" i="4"/>
  <c r="Z20" i="4"/>
  <c r="X20" i="4" s="1"/>
  <c r="AJ20" i="4" s="1"/>
  <c r="AE20" i="4"/>
  <c r="AE135" i="4"/>
  <c r="AH135" i="4"/>
  <c r="AH55" i="4"/>
  <c r="AE55" i="4"/>
  <c r="AE105" i="4"/>
  <c r="AH105" i="4"/>
  <c r="AE130" i="4"/>
  <c r="AH130" i="4"/>
  <c r="AE43" i="4"/>
  <c r="AH43" i="4"/>
  <c r="Z43" i="4"/>
  <c r="X43" i="4" s="1"/>
  <c r="AA119" i="4"/>
  <c r="AH119" i="4"/>
  <c r="Z119" i="4"/>
  <c r="AE119" i="4"/>
  <c r="AH39" i="4"/>
  <c r="AE39" i="4"/>
  <c r="Z39" i="4"/>
  <c r="X39" i="4" s="1"/>
  <c r="AH102" i="4"/>
  <c r="AE102" i="4"/>
  <c r="AE56" i="4"/>
  <c r="AH56" i="4"/>
  <c r="Z68" i="4"/>
  <c r="AH68" i="4"/>
  <c r="AE68" i="4"/>
  <c r="AA68" i="4"/>
  <c r="AE37" i="4"/>
  <c r="AH37" i="4"/>
  <c r="Z37" i="4"/>
  <c r="X37" i="4" s="1"/>
  <c r="AH41" i="4"/>
  <c r="AE41" i="4"/>
  <c r="Z41" i="4"/>
  <c r="AE34" i="4"/>
  <c r="AH34" i="4"/>
  <c r="Z34" i="4"/>
  <c r="X34" i="4" s="1"/>
  <c r="AH113" i="4"/>
  <c r="AE113" i="4"/>
  <c r="AE109" i="4"/>
  <c r="AH109" i="4"/>
  <c r="AH136" i="4"/>
  <c r="AE136" i="4"/>
  <c r="AE129" i="4"/>
  <c r="AH129" i="4"/>
  <c r="AE98" i="4"/>
  <c r="AH98" i="4"/>
  <c r="AH64" i="4"/>
  <c r="AE64" i="4"/>
  <c r="Z64" i="4"/>
  <c r="AE146" i="4"/>
  <c r="Z146" i="4"/>
  <c r="AA146" i="4"/>
  <c r="AH146" i="4"/>
  <c r="AE85" i="4"/>
  <c r="AH85" i="4"/>
  <c r="BI559" i="5"/>
  <c r="AQ559" i="5"/>
  <c r="AR559" i="5"/>
  <c r="BI482" i="5"/>
  <c r="AQ482" i="5"/>
  <c r="AR482" i="5"/>
  <c r="AP186" i="5"/>
  <c r="AP284" i="5"/>
  <c r="AP54" i="5"/>
  <c r="AP13" i="5"/>
  <c r="AQ239" i="5"/>
  <c r="AR239" i="5"/>
  <c r="BI239" i="5"/>
  <c r="AP209" i="5"/>
  <c r="AP416" i="5"/>
  <c r="AP462" i="5"/>
  <c r="AP419" i="5"/>
  <c r="AP504" i="5"/>
  <c r="AR415" i="5"/>
  <c r="AQ415" i="5"/>
  <c r="BI415" i="5"/>
  <c r="BI112" i="5"/>
  <c r="AR112" i="5"/>
  <c r="AQ112" i="5"/>
  <c r="AP77" i="5"/>
  <c r="AE117" i="4"/>
  <c r="AH117" i="4"/>
  <c r="AE81" i="4"/>
  <c r="AH81" i="4"/>
  <c r="AO537" i="5"/>
  <c r="AN537" i="5"/>
  <c r="AO509" i="5"/>
  <c r="AN509" i="5"/>
  <c r="AN213" i="5"/>
  <c r="AO213" i="5"/>
  <c r="AN259" i="5"/>
  <c r="AO259" i="5"/>
  <c r="AN95" i="5"/>
  <c r="AO95" i="5"/>
  <c r="AO135" i="5"/>
  <c r="AN135" i="5"/>
  <c r="AO393" i="5"/>
  <c r="AN393" i="5"/>
  <c r="AN482" i="5"/>
  <c r="AO482" i="5"/>
  <c r="AN149" i="5"/>
  <c r="AO149" i="5"/>
  <c r="AN129" i="5"/>
  <c r="AO129" i="5"/>
  <c r="AO333" i="5"/>
  <c r="AN333" i="5"/>
  <c r="AO365" i="5"/>
  <c r="AN365" i="5"/>
  <c r="AO497" i="5"/>
  <c r="AN497" i="5"/>
  <c r="AN61" i="5"/>
  <c r="AO61" i="5"/>
  <c r="AO463" i="5"/>
  <c r="AN463" i="5"/>
  <c r="AO408" i="5"/>
  <c r="AN408" i="5"/>
  <c r="AN273" i="5"/>
  <c r="AO273" i="5"/>
  <c r="AO526" i="5"/>
  <c r="AN526" i="5"/>
  <c r="AN291" i="5"/>
  <c r="AO291" i="5"/>
  <c r="AN127" i="5"/>
  <c r="AO127" i="5"/>
  <c r="AO293" i="5"/>
  <c r="AN293" i="5"/>
  <c r="AN220" i="5"/>
  <c r="AO220" i="5"/>
  <c r="AO453" i="5"/>
  <c r="AN453" i="5"/>
  <c r="AN442" i="5"/>
  <c r="AO442" i="5"/>
  <c r="AN138" i="5"/>
  <c r="AO138" i="5"/>
  <c r="AO500" i="5"/>
  <c r="AN500" i="5"/>
  <c r="AO495" i="5"/>
  <c r="AN495" i="5"/>
  <c r="AN294" i="5"/>
  <c r="AO294" i="5"/>
  <c r="AO310" i="5"/>
  <c r="AN310" i="5"/>
  <c r="AO477" i="5"/>
  <c r="AN477" i="5"/>
  <c r="AO137" i="5"/>
  <c r="AN137" i="5"/>
  <c r="AO173" i="5"/>
  <c r="AN173" i="5"/>
  <c r="AO401" i="5"/>
  <c r="AN401" i="5"/>
  <c r="AO49" i="5"/>
  <c r="AN49" i="5"/>
  <c r="AN150" i="5"/>
  <c r="AO150" i="5"/>
  <c r="AO59" i="5"/>
  <c r="AN59" i="5"/>
  <c r="AO347" i="5"/>
  <c r="AN347" i="5"/>
  <c r="AN227" i="5"/>
  <c r="AO227" i="5"/>
  <c r="AN458" i="5"/>
  <c r="AO458" i="5"/>
  <c r="AN480" i="5"/>
  <c r="AO480" i="5"/>
  <c r="AN428" i="5"/>
  <c r="AO428" i="5"/>
  <c r="AN476" i="5"/>
  <c r="AO476" i="5"/>
  <c r="AN361" i="5"/>
  <c r="AO361" i="5"/>
  <c r="AN270" i="5"/>
  <c r="AO270" i="5"/>
  <c r="AN250" i="5"/>
  <c r="AO250" i="5"/>
  <c r="AN207" i="5"/>
  <c r="AO207" i="5"/>
  <c r="AN254" i="5"/>
  <c r="AO254" i="5"/>
  <c r="AO553" i="5"/>
  <c r="AN553" i="5"/>
  <c r="AN25" i="5"/>
  <c r="AO25" i="5"/>
  <c r="AN231" i="5"/>
  <c r="AO231" i="5"/>
  <c r="AO371" i="5"/>
  <c r="AN371" i="5"/>
  <c r="AO172" i="5"/>
  <c r="AN172" i="5"/>
  <c r="AN214" i="5"/>
  <c r="AO214" i="5"/>
  <c r="AO128" i="5"/>
  <c r="AN128" i="5"/>
  <c r="AN141" i="5"/>
  <c r="AO141" i="5"/>
  <c r="AN550" i="5"/>
  <c r="AO550" i="5"/>
  <c r="AN314" i="5"/>
  <c r="AO314" i="5"/>
  <c r="AN79" i="5"/>
  <c r="AO79" i="5"/>
  <c r="AO378" i="5"/>
  <c r="AN378" i="5"/>
  <c r="AO490" i="5"/>
  <c r="AN490" i="5"/>
  <c r="AO385" i="5"/>
  <c r="AN385" i="5"/>
  <c r="AO406" i="5"/>
  <c r="AN406" i="5"/>
  <c r="AN118" i="5"/>
  <c r="AO118" i="5"/>
  <c r="AO521" i="5"/>
  <c r="AN521" i="5"/>
  <c r="AO531" i="5"/>
  <c r="AN531" i="5"/>
  <c r="AO483" i="5"/>
  <c r="AN483" i="5"/>
  <c r="AO132" i="5"/>
  <c r="AN132" i="5"/>
  <c r="AO211" i="5"/>
  <c r="AN211" i="5"/>
  <c r="AN478" i="5"/>
  <c r="AO478" i="5"/>
  <c r="AO63" i="5"/>
  <c r="AN63" i="5"/>
  <c r="AN351" i="5"/>
  <c r="AO351" i="5"/>
  <c r="AN246" i="5"/>
  <c r="AO246" i="5"/>
  <c r="AN409" i="5"/>
  <c r="AO409" i="5"/>
  <c r="AO390" i="5"/>
  <c r="AN390" i="5"/>
  <c r="AO391" i="5"/>
  <c r="AN391" i="5"/>
  <c r="AO345" i="5"/>
  <c r="AN345" i="5"/>
  <c r="AN272" i="5"/>
  <c r="AO272" i="5"/>
  <c r="AO87" i="5"/>
  <c r="AN87" i="5"/>
  <c r="AN525" i="5"/>
  <c r="AO525" i="5"/>
  <c r="AO514" i="5"/>
  <c r="AN514" i="5"/>
  <c r="AO21" i="5"/>
  <c r="AN21" i="5"/>
  <c r="AO489" i="5"/>
  <c r="AN489" i="5"/>
  <c r="AO424" i="5"/>
  <c r="AN424" i="5"/>
  <c r="AN157" i="5"/>
  <c r="AO157" i="5"/>
  <c r="AN257" i="5"/>
  <c r="AO257" i="5"/>
  <c r="AO175" i="5"/>
  <c r="AN175" i="5"/>
  <c r="AO417" i="5"/>
  <c r="AN417" i="5"/>
  <c r="AH264" i="5"/>
  <c r="AI264" i="5"/>
  <c r="AI513" i="5"/>
  <c r="AH513" i="5"/>
  <c r="AI524" i="5"/>
  <c r="AH524" i="5"/>
  <c r="AI194" i="5"/>
  <c r="AH194" i="5"/>
  <c r="AI546" i="5"/>
  <c r="AH546" i="5"/>
  <c r="AI460" i="5"/>
  <c r="AH460" i="5"/>
  <c r="AH375" i="5"/>
  <c r="AI375" i="5"/>
  <c r="AH484" i="5"/>
  <c r="AI484" i="5"/>
  <c r="AH401" i="5"/>
  <c r="AI401" i="5"/>
  <c r="AI229" i="5"/>
  <c r="AH229" i="5"/>
  <c r="AH536" i="5"/>
  <c r="AI536" i="5"/>
  <c r="AI280" i="5"/>
  <c r="AH280" i="5"/>
  <c r="AH384" i="5"/>
  <c r="AI384" i="5"/>
  <c r="AH328" i="5"/>
  <c r="AI328" i="5"/>
  <c r="AI254" i="5"/>
  <c r="AH254" i="5"/>
  <c r="AI248" i="5"/>
  <c r="AH248" i="5"/>
  <c r="AH368" i="5"/>
  <c r="AI368" i="5"/>
  <c r="AI427" i="5"/>
  <c r="AH427" i="5"/>
  <c r="AH409" i="5"/>
  <c r="AI409" i="5"/>
  <c r="AH204" i="5"/>
  <c r="AI204" i="5"/>
  <c r="AI113" i="5"/>
  <c r="AH113" i="5"/>
  <c r="AH558" i="5"/>
  <c r="AI558" i="5"/>
  <c r="AI308" i="5"/>
  <c r="AH308" i="5"/>
  <c r="AI28" i="5"/>
  <c r="AH28" i="5"/>
  <c r="AI342" i="5"/>
  <c r="AH342" i="5"/>
  <c r="AI225" i="5"/>
  <c r="AH225" i="5"/>
  <c r="AI56" i="5"/>
  <c r="AH56" i="5"/>
  <c r="AI77" i="5"/>
  <c r="AH77" i="5"/>
  <c r="AI250" i="5"/>
  <c r="AH250" i="5"/>
  <c r="AH91" i="5"/>
  <c r="AI91" i="5"/>
  <c r="AH161" i="5"/>
  <c r="AI161" i="5"/>
  <c r="AH125" i="5"/>
  <c r="AI125" i="5"/>
  <c r="AH7" i="5"/>
  <c r="AI7" i="5"/>
  <c r="AI413" i="5"/>
  <c r="AH413" i="5"/>
  <c r="AH356" i="5"/>
  <c r="AI356" i="5"/>
  <c r="AI316" i="5"/>
  <c r="AH316" i="5"/>
  <c r="AH347" i="5"/>
  <c r="AI347" i="5"/>
  <c r="AI255" i="5"/>
  <c r="AH255" i="5"/>
  <c r="AH327" i="5"/>
  <c r="AI327" i="5"/>
  <c r="AH242" i="5"/>
  <c r="AI242" i="5"/>
  <c r="AI57" i="5"/>
  <c r="AH57" i="5"/>
  <c r="AH523" i="5"/>
  <c r="AI523" i="5"/>
  <c r="AI294" i="5"/>
  <c r="AH294" i="5"/>
  <c r="AH381" i="5"/>
  <c r="AI381" i="5"/>
  <c r="AH102" i="5"/>
  <c r="AI102" i="5"/>
  <c r="AI123" i="5"/>
  <c r="AH123" i="5"/>
  <c r="AH300" i="5"/>
  <c r="AI300" i="5"/>
  <c r="AH320" i="5"/>
  <c r="AI320" i="5"/>
  <c r="AI392" i="5"/>
  <c r="AH392" i="5"/>
  <c r="AI337" i="5"/>
  <c r="AH337" i="5"/>
  <c r="AH60" i="5"/>
  <c r="AI60" i="5"/>
  <c r="AI429" i="5"/>
  <c r="AH429" i="5"/>
  <c r="AH37" i="5"/>
  <c r="AI37" i="5"/>
  <c r="AH553" i="5"/>
  <c r="AI553" i="5"/>
  <c r="AI457" i="5"/>
  <c r="AH457" i="5"/>
  <c r="AH543" i="5"/>
  <c r="AI543" i="5"/>
  <c r="AI314" i="5"/>
  <c r="AH314" i="5"/>
  <c r="AH430" i="5"/>
  <c r="AI430" i="5"/>
  <c r="AH45" i="5"/>
  <c r="AI45" i="5"/>
  <c r="AI410" i="5"/>
  <c r="AH410" i="5"/>
  <c r="AH495" i="5"/>
  <c r="AI495" i="5"/>
  <c r="AH494" i="5"/>
  <c r="AI494" i="5"/>
  <c r="AI422" i="5"/>
  <c r="AH422" i="5"/>
  <c r="AI61" i="5"/>
  <c r="AH61" i="5"/>
  <c r="AH540" i="5"/>
  <c r="AI540" i="5"/>
  <c r="AH120" i="5"/>
  <c r="AI120" i="5"/>
  <c r="AI33" i="5"/>
  <c r="AH33" i="5"/>
  <c r="AH396" i="5"/>
  <c r="AI396" i="5"/>
  <c r="AI262" i="5"/>
  <c r="AH262" i="5"/>
  <c r="AI55" i="5"/>
  <c r="AH55" i="5"/>
  <c r="AI527" i="5"/>
  <c r="AH527" i="5"/>
  <c r="AI271" i="5"/>
  <c r="AH271" i="5"/>
  <c r="AH366" i="5"/>
  <c r="AI366" i="5"/>
  <c r="AI334" i="5"/>
  <c r="AH334" i="5"/>
  <c r="AH188" i="5"/>
  <c r="AI188" i="5"/>
  <c r="AH12" i="5"/>
  <c r="AI12" i="5"/>
  <c r="AH79" i="5"/>
  <c r="AI79" i="5"/>
  <c r="AH107" i="5"/>
  <c r="AI107" i="5"/>
  <c r="AI349" i="5"/>
  <c r="AH349" i="5"/>
  <c r="AH171" i="5"/>
  <c r="AI171" i="5"/>
  <c r="AH329" i="5"/>
  <c r="AI329" i="5"/>
  <c r="AI505" i="5"/>
  <c r="AH505" i="5"/>
  <c r="AI258" i="5"/>
  <c r="AH258" i="5"/>
  <c r="AH322" i="5"/>
  <c r="AI322" i="5"/>
  <c r="AI530" i="5"/>
  <c r="AH530" i="5"/>
  <c r="AI154" i="5"/>
  <c r="AH154" i="5"/>
  <c r="AI276" i="5"/>
  <c r="AH276" i="5"/>
  <c r="AI340" i="5"/>
  <c r="AH340" i="5"/>
  <c r="AI76" i="5"/>
  <c r="AH76" i="5"/>
  <c r="AI395" i="5"/>
  <c r="AH395" i="5"/>
  <c r="AI514" i="5"/>
  <c r="AH514" i="5"/>
  <c r="AH369" i="5"/>
  <c r="AI369" i="5"/>
  <c r="AH25" i="5"/>
  <c r="AI25" i="5"/>
  <c r="AH491" i="5"/>
  <c r="AI491" i="5"/>
  <c r="AH353" i="5"/>
  <c r="AI353" i="5"/>
  <c r="AH531" i="5"/>
  <c r="AI531" i="5"/>
  <c r="AH115" i="5"/>
  <c r="AI115" i="5"/>
  <c r="AI93" i="5"/>
  <c r="AH93" i="5"/>
  <c r="AH552" i="5"/>
  <c r="AI552" i="5"/>
  <c r="AI345" i="5"/>
  <c r="AH345" i="5"/>
  <c r="AI111" i="5"/>
  <c r="AH111" i="5"/>
  <c r="AI503" i="5"/>
  <c r="AH503" i="5"/>
  <c r="AH295" i="5"/>
  <c r="AI295" i="5"/>
  <c r="AH211" i="5"/>
  <c r="AI211" i="5"/>
  <c r="AH97" i="5"/>
  <c r="AI97" i="5"/>
  <c r="AH325" i="5"/>
  <c r="AI325" i="5"/>
  <c r="AI390" i="5"/>
  <c r="AH390" i="5"/>
  <c r="AH436" i="5"/>
  <c r="AI436" i="5"/>
  <c r="AH547" i="5"/>
  <c r="AI547" i="5"/>
  <c r="AI75" i="5"/>
  <c r="AH75" i="5"/>
  <c r="AI142" i="5"/>
  <c r="AH142" i="5"/>
  <c r="AH47" i="5"/>
  <c r="AI47" i="5"/>
  <c r="AH205" i="5"/>
  <c r="AI205" i="5"/>
  <c r="AI542" i="5"/>
  <c r="AH542" i="5"/>
  <c r="AI73" i="5"/>
  <c r="AH73" i="5"/>
  <c r="AI555" i="5"/>
  <c r="AH555" i="5"/>
  <c r="AH348" i="5"/>
  <c r="AI348" i="5"/>
  <c r="AH144" i="5"/>
  <c r="AI144" i="5"/>
  <c r="AI441" i="5"/>
  <c r="AH441" i="5"/>
  <c r="AI71" i="5"/>
  <c r="AH71" i="5"/>
  <c r="AI46" i="5"/>
  <c r="AH46" i="5"/>
  <c r="AH383" i="5"/>
  <c r="AI383" i="5"/>
  <c r="AH266" i="5"/>
  <c r="AI266" i="5"/>
  <c r="AI360" i="5"/>
  <c r="AH360" i="5"/>
  <c r="AI219" i="5"/>
  <c r="AH219" i="5"/>
  <c r="AH377" i="5"/>
  <c r="AI377" i="5"/>
  <c r="AH22" i="5"/>
  <c r="AI22" i="5"/>
  <c r="AH170" i="5"/>
  <c r="AI170" i="5"/>
  <c r="AH94" i="5"/>
  <c r="AI94" i="5"/>
  <c r="AI89" i="5"/>
  <c r="AH89" i="5"/>
  <c r="AI84" i="5"/>
  <c r="AH84" i="5"/>
  <c r="AH29" i="5"/>
  <c r="AI29" i="5"/>
  <c r="AI165" i="5"/>
  <c r="AH165" i="5"/>
  <c r="AH463" i="5"/>
  <c r="AI463" i="5"/>
  <c r="AH324" i="5"/>
  <c r="AI324" i="5"/>
  <c r="AI181" i="5"/>
  <c r="AH181" i="5"/>
  <c r="AH12" i="4"/>
  <c r="AE12" i="4"/>
  <c r="Z12" i="4"/>
  <c r="X12" i="4" s="1"/>
  <c r="AJ12" i="4" s="1"/>
  <c r="AH71" i="4"/>
  <c r="Z71" i="4"/>
  <c r="AE71" i="4"/>
  <c r="AA71" i="4"/>
  <c r="AE49" i="4"/>
  <c r="Z49" i="4"/>
  <c r="AH49" i="4"/>
  <c r="Z157" i="4"/>
  <c r="AH157" i="4"/>
  <c r="AE157" i="4"/>
  <c r="AA157" i="4"/>
  <c r="AH155" i="4"/>
  <c r="AE155" i="4"/>
  <c r="AH73" i="4"/>
  <c r="AE73" i="4"/>
  <c r="AH152" i="4"/>
  <c r="AE152" i="4"/>
  <c r="AE124" i="4"/>
  <c r="AH124" i="4"/>
  <c r="AH26" i="4"/>
  <c r="AE26" i="4"/>
  <c r="Z26" i="4"/>
  <c r="AE110" i="4"/>
  <c r="AH110" i="4"/>
  <c r="AH123" i="4"/>
  <c r="AE123" i="4"/>
  <c r="AE60" i="4"/>
  <c r="AH60" i="4"/>
  <c r="AE58" i="4"/>
  <c r="AH58" i="4"/>
  <c r="AE153" i="4"/>
  <c r="AA153" i="4"/>
  <c r="Z153" i="4"/>
  <c r="AH153" i="4"/>
  <c r="AE149" i="4"/>
  <c r="AH149" i="4"/>
  <c r="AH66" i="4"/>
  <c r="AE66" i="4"/>
  <c r="AH23" i="4"/>
  <c r="AE23" i="4"/>
  <c r="Z23" i="4"/>
  <c r="X23" i="4" s="1"/>
  <c r="AJ23" i="4" s="1"/>
  <c r="AE112" i="4"/>
  <c r="AH112" i="4"/>
  <c r="AH131" i="4"/>
  <c r="AE131" i="4"/>
  <c r="AE36" i="4"/>
  <c r="Z36" i="4"/>
  <c r="AH36" i="4"/>
  <c r="AH14" i="4"/>
  <c r="AE14" i="4"/>
  <c r="Z14" i="4"/>
  <c r="X14" i="4" s="1"/>
  <c r="AJ14" i="4" s="1"/>
  <c r="AE42" i="4"/>
  <c r="AH42" i="4"/>
  <c r="Z42" i="4"/>
  <c r="AE32" i="4"/>
  <c r="Z32" i="4"/>
  <c r="AH32" i="4"/>
  <c r="AE72" i="4"/>
  <c r="AH72" i="4"/>
  <c r="Z72" i="4"/>
  <c r="AA72" i="4"/>
  <c r="AH116" i="4"/>
  <c r="AE116" i="4"/>
  <c r="AQ128" i="5"/>
  <c r="AR128" i="5"/>
  <c r="BI128" i="5"/>
  <c r="AR140" i="5"/>
  <c r="BI140" i="5"/>
  <c r="AP267" i="5"/>
  <c r="AP148" i="5"/>
  <c r="AP452" i="5"/>
  <c r="AP33" i="5"/>
  <c r="AP497" i="5"/>
  <c r="AP9" i="5"/>
  <c r="AH67" i="4"/>
  <c r="AE67" i="4"/>
  <c r="AH31" i="4"/>
  <c r="Z31" i="4"/>
  <c r="X31" i="4" s="1"/>
  <c r="AE31" i="4"/>
  <c r="AH145" i="4"/>
  <c r="AE145" i="4"/>
  <c r="AE93" i="4"/>
  <c r="AH93" i="4"/>
  <c r="AH59" i="4"/>
  <c r="AE59" i="4"/>
  <c r="AE94" i="4"/>
  <c r="AH94" i="4"/>
  <c r="AH121" i="4"/>
  <c r="AE121" i="4"/>
  <c r="AE126" i="4"/>
  <c r="AH126" i="4"/>
  <c r="AE74" i="4"/>
  <c r="AH74" i="4"/>
  <c r="AE83" i="4"/>
  <c r="Z83" i="4"/>
  <c r="AA83" i="4"/>
  <c r="AH83" i="4"/>
  <c r="AH79" i="4"/>
  <c r="AE79" i="4"/>
  <c r="AX9" i="5"/>
  <c r="AY9" i="5"/>
  <c r="AO560" i="5"/>
  <c r="AN560" i="5"/>
  <c r="AO451" i="5"/>
  <c r="AN451" i="5"/>
  <c r="AN274" i="5"/>
  <c r="AO274" i="5"/>
  <c r="AO190" i="5"/>
  <c r="AN190" i="5"/>
  <c r="AO377" i="5"/>
  <c r="AN377" i="5"/>
  <c r="AO308" i="5"/>
  <c r="AN308" i="5"/>
  <c r="AN222" i="5"/>
  <c r="AO222" i="5"/>
  <c r="AO412" i="5"/>
  <c r="AN412" i="5"/>
  <c r="AO375" i="5"/>
  <c r="AN375" i="5"/>
  <c r="AN494" i="5"/>
  <c r="AO494" i="5"/>
  <c r="AO140" i="5"/>
  <c r="AN140" i="5"/>
  <c r="AO329" i="5"/>
  <c r="AN329" i="5"/>
  <c r="AO241" i="5"/>
  <c r="AN241" i="5"/>
  <c r="AO474" i="5"/>
  <c r="AN474" i="5"/>
  <c r="AO38" i="5"/>
  <c r="AN38" i="5"/>
  <c r="AN28" i="5"/>
  <c r="AO28" i="5"/>
  <c r="AN295" i="5"/>
  <c r="AO295" i="5"/>
  <c r="AO450" i="5"/>
  <c r="AN450" i="5"/>
  <c r="AO193" i="5"/>
  <c r="AN193" i="5"/>
  <c r="AN275" i="5"/>
  <c r="AO275" i="5"/>
  <c r="AN160" i="5"/>
  <c r="AO160" i="5"/>
  <c r="AO353" i="5"/>
  <c r="AN353" i="5"/>
  <c r="AN178" i="5"/>
  <c r="AO178" i="5"/>
  <c r="AO454" i="5"/>
  <c r="AN454" i="5"/>
  <c r="AO432" i="5"/>
  <c r="AN432" i="5"/>
  <c r="AN153" i="5"/>
  <c r="AO153" i="5"/>
  <c r="AO225" i="5"/>
  <c r="AN225" i="5"/>
  <c r="AN189" i="5"/>
  <c r="AO189" i="5"/>
  <c r="AO535" i="5"/>
  <c r="AN535" i="5"/>
  <c r="AN438" i="5"/>
  <c r="AO438" i="5"/>
  <c r="AO358" i="5"/>
  <c r="AN358" i="5"/>
  <c r="AO515" i="5"/>
  <c r="AN515" i="5"/>
  <c r="AN413" i="5"/>
  <c r="AO413" i="5"/>
  <c r="AO244" i="5"/>
  <c r="AN244" i="5"/>
  <c r="AN196" i="5"/>
  <c r="AO196" i="5"/>
  <c r="AN170" i="5"/>
  <c r="AO170" i="5"/>
  <c r="AO108" i="5"/>
  <c r="AN108" i="5"/>
  <c r="AO144" i="5"/>
  <c r="AN144" i="5"/>
  <c r="AO325" i="5"/>
  <c r="AN325" i="5"/>
  <c r="AO536" i="5"/>
  <c r="AN536" i="5"/>
  <c r="AN107" i="5"/>
  <c r="AO107" i="5"/>
  <c r="AO383" i="5"/>
  <c r="AN383" i="5"/>
  <c r="AO387" i="5"/>
  <c r="AN387" i="5"/>
  <c r="AN327" i="5"/>
  <c r="AO327" i="5"/>
  <c r="AN105" i="5"/>
  <c r="AO105" i="5"/>
  <c r="AO26" i="5"/>
  <c r="AN26" i="5"/>
  <c r="AN517" i="5"/>
  <c r="AO517" i="5"/>
  <c r="AO236" i="5"/>
  <c r="AN236" i="5"/>
  <c r="AO548" i="5"/>
  <c r="AN548" i="5"/>
  <c r="AN81" i="5"/>
  <c r="AO81" i="5"/>
  <c r="AN39" i="5"/>
  <c r="AO39" i="5"/>
  <c r="AO243" i="5"/>
  <c r="AN243" i="5"/>
  <c r="AO287" i="5"/>
  <c r="AN287" i="5"/>
  <c r="AN348" i="5"/>
  <c r="AO348" i="5"/>
  <c r="AO194" i="5"/>
  <c r="AN194" i="5"/>
  <c r="AO459" i="5"/>
  <c r="AN459" i="5"/>
  <c r="AO337" i="5"/>
  <c r="AN337" i="5"/>
  <c r="AO366" i="5"/>
  <c r="AN366" i="5"/>
  <c r="AN354" i="5"/>
  <c r="AO354" i="5"/>
  <c r="AO426" i="5"/>
  <c r="AN426" i="5"/>
  <c r="AO82" i="5"/>
  <c r="AN82" i="5"/>
  <c r="AO42" i="5"/>
  <c r="AN42" i="5"/>
  <c r="AO120" i="5"/>
  <c r="AN120" i="5"/>
  <c r="AN230" i="5"/>
  <c r="AO230" i="5"/>
  <c r="AO469" i="5"/>
  <c r="AN469" i="5"/>
  <c r="AO309" i="5"/>
  <c r="AN309" i="5"/>
  <c r="AO292" i="5"/>
  <c r="AN292" i="5"/>
  <c r="AN382" i="5"/>
  <c r="AO382" i="5"/>
  <c r="AO27" i="5"/>
  <c r="AN27" i="5"/>
  <c r="AO163" i="5"/>
  <c r="AN163" i="5"/>
  <c r="AO389" i="5"/>
  <c r="AN389" i="5"/>
  <c r="AN356" i="5"/>
  <c r="AO356" i="5"/>
  <c r="AN115" i="5"/>
  <c r="AO115" i="5"/>
  <c r="AN559" i="5"/>
  <c r="AO559" i="5"/>
  <c r="AN229" i="5"/>
  <c r="AO229" i="5"/>
  <c r="AO461" i="5"/>
  <c r="AN461" i="5"/>
  <c r="AN45" i="5"/>
  <c r="AO45" i="5"/>
  <c r="AN113" i="5"/>
  <c r="AO113" i="5"/>
  <c r="AO403" i="5"/>
  <c r="AN403" i="5"/>
  <c r="AN496" i="5"/>
  <c r="AO496" i="5"/>
  <c r="AO399" i="5"/>
  <c r="AN399" i="5"/>
  <c r="AO234" i="5"/>
  <c r="AN234" i="5"/>
  <c r="AO472" i="5"/>
  <c r="AN472" i="5"/>
  <c r="AN44" i="5"/>
  <c r="AO44" i="5"/>
  <c r="AN367" i="5"/>
  <c r="AO367" i="5"/>
  <c r="AN506" i="5"/>
  <c r="AO506" i="5"/>
  <c r="AN208" i="5"/>
  <c r="AO208" i="5"/>
  <c r="AN465" i="5"/>
  <c r="AO465" i="5"/>
  <c r="AO511" i="5"/>
  <c r="AN511" i="5"/>
  <c r="AO256" i="5"/>
  <c r="AN256" i="5"/>
  <c r="AN197" i="5"/>
  <c r="AO197" i="5"/>
  <c r="AO122" i="5"/>
  <c r="AN122" i="5"/>
  <c r="AN436" i="5"/>
  <c r="AO436" i="5"/>
  <c r="AO167" i="5"/>
  <c r="AN167" i="5"/>
  <c r="AN76" i="5"/>
  <c r="AO76" i="5"/>
  <c r="AO341" i="5"/>
  <c r="AN341" i="5"/>
  <c r="AN86" i="5"/>
  <c r="AO86" i="5"/>
  <c r="AO210" i="5"/>
  <c r="AN210" i="5"/>
  <c r="AN305" i="5"/>
  <c r="AO305" i="5"/>
  <c r="AO57" i="5"/>
  <c r="AN57" i="5"/>
  <c r="AN83" i="5"/>
  <c r="AO83" i="5"/>
  <c r="AO268" i="5"/>
  <c r="AN268" i="5"/>
  <c r="AO117" i="5"/>
  <c r="AN117" i="5"/>
  <c r="AN156" i="5"/>
  <c r="AO156" i="5"/>
  <c r="AN285" i="5"/>
  <c r="AO285" i="5"/>
  <c r="AN414" i="5"/>
  <c r="AO414" i="5"/>
  <c r="AO518" i="5"/>
  <c r="AN518" i="5"/>
  <c r="AN74" i="5"/>
  <c r="AO74" i="5"/>
  <c r="AN443" i="5"/>
  <c r="AO443" i="5"/>
  <c r="AN242" i="5"/>
  <c r="AO242" i="5"/>
  <c r="AO507" i="5"/>
  <c r="AN507" i="5"/>
  <c r="AO71" i="5"/>
  <c r="AN71" i="5"/>
  <c r="AN282" i="5"/>
  <c r="AO282" i="5"/>
  <c r="AO201" i="5"/>
  <c r="AN201" i="5"/>
  <c r="AN445" i="5"/>
  <c r="AO445" i="5"/>
  <c r="AN277" i="5"/>
  <c r="AO277" i="5"/>
  <c r="AN133" i="5"/>
  <c r="AO133" i="5"/>
  <c r="AO31" i="5"/>
  <c r="AN31" i="5"/>
  <c r="AO171" i="5"/>
  <c r="AN171" i="5"/>
  <c r="AN48" i="5"/>
  <c r="AO48" i="5"/>
  <c r="AN539" i="5"/>
  <c r="AO539" i="5"/>
  <c r="AO224" i="5"/>
  <c r="AN224" i="5"/>
  <c r="AN124" i="5"/>
  <c r="AO124" i="5"/>
  <c r="AN374" i="5"/>
  <c r="AO374" i="5"/>
  <c r="AO380" i="5"/>
  <c r="AN380" i="5"/>
  <c r="AO182" i="5"/>
  <c r="AN182" i="5"/>
  <c r="AN418" i="5"/>
  <c r="AO418" i="5"/>
  <c r="AN226" i="5"/>
  <c r="AO226" i="5"/>
  <c r="AO376" i="5"/>
  <c r="AN376" i="5"/>
  <c r="AN288" i="5"/>
  <c r="AO288" i="5"/>
  <c r="AN546" i="5"/>
  <c r="AO546" i="5"/>
  <c r="AN322" i="5"/>
  <c r="AO322" i="5"/>
  <c r="AN429" i="5"/>
  <c r="AO429" i="5"/>
  <c r="AN139" i="5"/>
  <c r="AO139" i="5"/>
  <c r="AN373" i="5"/>
  <c r="AO373" i="5"/>
  <c r="AO467" i="5"/>
  <c r="AN467" i="5"/>
  <c r="AO430" i="5"/>
  <c r="AN430" i="5"/>
  <c r="AH216" i="5"/>
  <c r="AI216" i="5"/>
  <c r="AH424" i="5"/>
  <c r="AI424" i="5"/>
  <c r="AH51" i="5"/>
  <c r="AI51" i="5"/>
  <c r="AH286" i="5"/>
  <c r="AI286" i="5"/>
  <c r="AI417" i="5"/>
  <c r="AH417" i="5"/>
  <c r="AI421" i="5"/>
  <c r="AH421" i="5"/>
  <c r="AH414" i="5"/>
  <c r="AI414" i="5"/>
  <c r="AH550" i="5"/>
  <c r="AI550" i="5"/>
  <c r="AI464" i="5"/>
  <c r="AH464" i="5"/>
  <c r="AH406" i="5"/>
  <c r="AI406" i="5"/>
  <c r="AH198" i="5"/>
  <c r="AI198" i="5"/>
  <c r="AI31" i="5"/>
  <c r="AH31" i="5"/>
  <c r="AH74" i="5"/>
  <c r="AI74" i="5"/>
  <c r="AI549" i="5"/>
  <c r="AH549" i="5"/>
  <c r="AI385" i="5"/>
  <c r="AH385" i="5"/>
  <c r="AI23" i="5"/>
  <c r="AH23" i="5"/>
  <c r="AI265" i="5"/>
  <c r="AH265" i="5"/>
  <c r="AH296" i="5"/>
  <c r="AI296" i="5"/>
  <c r="AH548" i="5"/>
  <c r="AI548" i="5"/>
  <c r="AH358" i="5"/>
  <c r="AI358" i="5"/>
  <c r="AH212" i="5"/>
  <c r="AI212" i="5"/>
  <c r="AI103" i="5"/>
  <c r="AH103" i="5"/>
  <c r="AH268" i="5"/>
  <c r="AI268" i="5"/>
  <c r="AH152" i="5"/>
  <c r="AI152" i="5"/>
  <c r="AH518" i="5"/>
  <c r="AI518" i="5"/>
  <c r="AI178" i="5"/>
  <c r="AH178" i="5"/>
  <c r="AH78" i="5"/>
  <c r="AI78" i="5"/>
  <c r="AI291" i="5"/>
  <c r="AH291" i="5"/>
  <c r="AH389" i="5"/>
  <c r="AI389" i="5"/>
  <c r="AH69" i="5"/>
  <c r="AI69" i="5"/>
  <c r="AH283" i="5"/>
  <c r="AI283" i="5"/>
  <c r="AI50" i="5"/>
  <c r="AH50" i="5"/>
  <c r="AI174" i="5"/>
  <c r="AH174" i="5"/>
  <c r="AH146" i="5"/>
  <c r="AI146" i="5"/>
  <c r="AI499" i="5"/>
  <c r="AH499" i="5"/>
  <c r="AI382" i="5"/>
  <c r="AH382" i="5"/>
  <c r="AI63" i="5"/>
  <c r="AH63" i="5"/>
  <c r="AH319" i="5"/>
  <c r="AI319" i="5"/>
  <c r="AI59" i="5"/>
  <c r="AH59" i="5"/>
  <c r="AH10" i="5"/>
  <c r="AI10" i="5"/>
  <c r="AI253" i="5"/>
  <c r="AH253" i="5"/>
  <c r="AI317" i="5"/>
  <c r="AH317" i="5"/>
  <c r="AI462" i="5"/>
  <c r="AH462" i="5"/>
  <c r="AI425" i="5"/>
  <c r="AH425" i="5"/>
  <c r="AI87" i="5"/>
  <c r="AH87" i="5"/>
  <c r="AI447" i="5"/>
  <c r="AH447" i="5"/>
  <c r="AI21" i="5"/>
  <c r="AH21" i="5"/>
  <c r="AH493" i="5"/>
  <c r="AI493" i="5"/>
  <c r="AH519" i="5"/>
  <c r="AI519" i="5"/>
  <c r="AI43" i="5"/>
  <c r="AH43" i="5"/>
  <c r="AH36" i="5"/>
  <c r="AI36" i="5"/>
  <c r="AI239" i="5"/>
  <c r="AH239" i="5"/>
  <c r="AI233" i="5"/>
  <c r="AH233" i="5"/>
  <c r="AH405" i="5"/>
  <c r="AI405" i="5"/>
  <c r="AH48" i="5"/>
  <c r="AI48" i="5"/>
  <c r="AH136" i="5"/>
  <c r="AI136" i="5"/>
  <c r="AH208" i="5"/>
  <c r="AI208" i="5"/>
  <c r="AH82" i="5"/>
  <c r="AI82" i="5"/>
  <c r="AH354" i="5"/>
  <c r="AI354" i="5"/>
  <c r="AH259" i="5"/>
  <c r="AI259" i="5"/>
  <c r="AH34" i="5"/>
  <c r="AI34" i="5"/>
  <c r="AH292" i="5"/>
  <c r="AI292" i="5"/>
  <c r="AH439" i="5"/>
  <c r="AI439" i="5"/>
  <c r="AH189" i="5"/>
  <c r="AI189" i="5"/>
  <c r="AI560" i="5"/>
  <c r="AH560" i="5"/>
  <c r="AI230" i="5"/>
  <c r="AH230" i="5"/>
  <c r="AH121" i="5"/>
  <c r="AI121" i="5"/>
  <c r="AH541" i="5"/>
  <c r="AI541" i="5"/>
  <c r="AI408" i="5"/>
  <c r="AH408" i="5"/>
  <c r="AH330" i="5"/>
  <c r="AI330" i="5"/>
  <c r="AH41" i="5"/>
  <c r="AI41" i="5"/>
  <c r="AI391" i="5"/>
  <c r="AH391" i="5"/>
  <c r="AH244" i="5"/>
  <c r="AI244" i="5"/>
  <c r="AI166" i="5"/>
  <c r="AH166" i="5"/>
  <c r="AI282" i="5"/>
  <c r="AH282" i="5"/>
  <c r="AI100" i="5"/>
  <c r="AH100" i="5"/>
  <c r="AI221" i="5"/>
  <c r="AH221" i="5"/>
  <c r="AH433" i="5"/>
  <c r="AI433" i="5"/>
  <c r="AI273" i="5"/>
  <c r="AH273" i="5"/>
  <c r="AH278" i="5"/>
  <c r="AI278" i="5"/>
  <c r="AI177" i="5"/>
  <c r="AH177" i="5"/>
  <c r="AI285" i="5"/>
  <c r="AH285" i="5"/>
  <c r="AI465" i="5"/>
  <c r="AH465" i="5"/>
  <c r="AH306" i="5"/>
  <c r="AI306" i="5"/>
  <c r="AI372" i="5"/>
  <c r="AH372" i="5"/>
  <c r="AI399" i="5"/>
  <c r="AH399" i="5"/>
  <c r="AH318" i="5"/>
  <c r="AI318" i="5"/>
  <c r="AH106" i="5"/>
  <c r="AI106" i="5"/>
  <c r="AH478" i="5"/>
  <c r="AI478" i="5"/>
  <c r="AH466" i="5"/>
  <c r="AI466" i="5"/>
  <c r="AH434" i="5"/>
  <c r="AI434" i="5"/>
  <c r="AH556" i="5"/>
  <c r="AI556" i="5"/>
  <c r="AI394" i="5"/>
  <c r="AH394" i="5"/>
  <c r="AI235" i="5"/>
  <c r="AH235" i="5"/>
  <c r="AH445" i="5"/>
  <c r="AI445" i="5"/>
  <c r="AH476" i="5"/>
  <c r="AI476" i="5"/>
  <c r="AI80" i="5"/>
  <c r="AH80" i="5"/>
  <c r="AH498" i="5"/>
  <c r="AI498" i="5"/>
  <c r="AI105" i="5"/>
  <c r="AH105" i="5"/>
  <c r="AI241" i="5"/>
  <c r="AH241" i="5"/>
  <c r="AI131" i="5"/>
  <c r="AH131" i="5"/>
  <c r="AI42" i="5"/>
  <c r="AH42" i="5"/>
  <c r="AI412" i="5"/>
  <c r="AH412" i="5"/>
  <c r="AI303" i="5"/>
  <c r="AH303" i="5"/>
  <c r="AI453" i="5"/>
  <c r="AH453" i="5"/>
  <c r="AI365" i="5"/>
  <c r="AH365" i="5"/>
  <c r="AH336" i="5"/>
  <c r="AI336" i="5"/>
  <c r="AI437" i="5"/>
  <c r="AH437" i="5"/>
  <c r="AH224" i="5"/>
  <c r="AI224" i="5"/>
  <c r="AH187" i="5"/>
  <c r="AI187" i="5"/>
  <c r="AH361" i="5"/>
  <c r="AI361" i="5"/>
  <c r="AI290" i="5"/>
  <c r="AH290" i="5"/>
  <c r="AI467" i="5"/>
  <c r="AH467" i="5"/>
  <c r="AH504" i="5"/>
  <c r="AI504" i="5"/>
  <c r="AH521" i="5"/>
  <c r="AI521" i="5"/>
  <c r="AI344" i="5"/>
  <c r="AH344" i="5"/>
  <c r="AH407" i="5"/>
  <c r="AI407" i="5"/>
  <c r="AH506" i="5"/>
  <c r="AI506" i="5"/>
  <c r="AH331" i="5"/>
  <c r="AI331" i="5"/>
  <c r="AH81" i="5"/>
  <c r="AI81" i="5"/>
  <c r="AH510" i="5"/>
  <c r="AI510" i="5"/>
  <c r="AH364" i="5"/>
  <c r="AI364" i="5"/>
  <c r="AI269" i="5"/>
  <c r="AH269" i="5"/>
  <c r="AH143" i="5"/>
  <c r="AI143" i="5"/>
  <c r="AI355" i="5"/>
  <c r="AH355" i="5"/>
  <c r="AH66" i="5"/>
  <c r="AI66" i="5"/>
  <c r="AI378" i="5"/>
  <c r="AH378" i="5"/>
  <c r="AH321" i="5"/>
  <c r="AI321" i="5"/>
  <c r="AI483" i="5"/>
  <c r="AH483" i="5"/>
  <c r="AH274" i="5"/>
  <c r="AI274" i="5"/>
  <c r="AI213" i="5"/>
  <c r="AH213" i="5"/>
  <c r="AI298" i="5"/>
  <c r="AH298" i="5"/>
  <c r="AI192" i="5"/>
  <c r="AH192" i="5"/>
  <c r="AH164" i="5"/>
  <c r="AI164" i="5"/>
  <c r="AI158" i="5"/>
  <c r="AH158" i="5"/>
  <c r="AH367" i="5"/>
  <c r="AI367" i="5"/>
  <c r="AI393" i="5"/>
  <c r="AH393" i="5"/>
  <c r="AE101" i="4"/>
  <c r="AH101" i="4"/>
  <c r="AH7" i="4"/>
  <c r="AE7" i="4"/>
  <c r="Z7" i="4"/>
  <c r="X7" i="4" s="1"/>
  <c r="AJ7" i="4" s="1"/>
  <c r="AO9" i="5"/>
  <c r="AN9" i="5"/>
  <c r="AA9" i="5"/>
  <c r="AB9" i="5"/>
  <c r="U9" i="5"/>
  <c r="V9" i="5"/>
  <c r="AO78" i="5"/>
  <c r="AN78" i="5"/>
  <c r="AO551" i="5"/>
  <c r="AN551" i="5"/>
  <c r="AN251" i="5"/>
  <c r="AO251" i="5"/>
  <c r="AN104" i="5"/>
  <c r="AO104" i="5"/>
  <c r="AN355" i="5"/>
  <c r="AO355" i="5"/>
  <c r="AO162" i="5"/>
  <c r="AN162" i="5"/>
  <c r="AO200" i="5"/>
  <c r="AN200" i="5"/>
  <c r="AN30" i="5"/>
  <c r="AO30" i="5"/>
  <c r="AO62" i="5"/>
  <c r="AN62" i="5"/>
  <c r="AO41" i="5"/>
  <c r="AN41" i="5"/>
  <c r="AO452" i="5"/>
  <c r="AN452" i="5"/>
  <c r="AO265" i="5"/>
  <c r="AN265" i="5"/>
  <c r="AN143" i="5"/>
  <c r="AO143" i="5"/>
  <c r="AO72" i="5"/>
  <c r="AN72" i="5"/>
  <c r="AO164" i="5"/>
  <c r="AN164" i="5"/>
  <c r="AO152" i="5"/>
  <c r="AN152" i="5"/>
  <c r="AO312" i="5"/>
  <c r="AN312" i="5"/>
  <c r="AO448" i="5"/>
  <c r="AN448" i="5"/>
  <c r="AN479" i="5"/>
  <c r="AO479" i="5"/>
  <c r="AN276" i="5"/>
  <c r="AO276" i="5"/>
  <c r="AN425" i="5"/>
  <c r="AO425" i="5"/>
  <c r="AO313" i="5"/>
  <c r="AN313" i="5"/>
  <c r="AO195" i="5"/>
  <c r="AN195" i="5"/>
  <c r="AO69" i="5"/>
  <c r="AN69" i="5"/>
  <c r="AN281" i="5"/>
  <c r="AO281" i="5"/>
  <c r="AO326" i="5"/>
  <c r="AN326" i="5"/>
  <c r="AN301" i="5"/>
  <c r="AO301" i="5"/>
  <c r="AO98" i="5"/>
  <c r="AN98" i="5"/>
  <c r="AN311" i="5"/>
  <c r="AO311" i="5"/>
  <c r="AN547" i="5"/>
  <c r="AO547" i="5"/>
  <c r="AO402" i="5"/>
  <c r="AN402" i="5"/>
  <c r="AN334" i="5"/>
  <c r="AO334" i="5"/>
  <c r="AN318" i="5"/>
  <c r="AO318" i="5"/>
  <c r="AO290" i="5"/>
  <c r="AN290" i="5"/>
  <c r="AN552" i="5"/>
  <c r="AO552" i="5"/>
  <c r="AO249" i="5"/>
  <c r="AN249" i="5"/>
  <c r="AO530" i="5"/>
  <c r="AN530" i="5"/>
  <c r="AO362" i="5"/>
  <c r="AN362" i="5"/>
  <c r="AN439" i="5"/>
  <c r="AO439" i="5"/>
  <c r="AO36" i="5"/>
  <c r="AN36" i="5"/>
  <c r="AN169" i="5"/>
  <c r="AO169" i="5"/>
  <c r="AN145" i="5"/>
  <c r="AO145" i="5"/>
  <c r="AN556" i="5"/>
  <c r="AO556" i="5"/>
  <c r="AN264" i="5"/>
  <c r="AO264" i="5"/>
  <c r="AO297" i="5"/>
  <c r="AN297" i="5"/>
  <c r="AO85" i="5"/>
  <c r="AN85" i="5"/>
  <c r="AO456" i="5"/>
  <c r="AN456" i="5"/>
  <c r="AO434" i="5"/>
  <c r="AN434" i="5"/>
  <c r="AO342" i="5"/>
  <c r="AN342" i="5"/>
  <c r="AO437" i="5"/>
  <c r="AN437" i="5"/>
  <c r="AO110" i="5"/>
  <c r="AN110" i="5"/>
  <c r="AO369" i="5"/>
  <c r="AN369" i="5"/>
  <c r="AO299" i="5"/>
  <c r="AN299" i="5"/>
  <c r="AO228" i="5"/>
  <c r="AN228" i="5"/>
  <c r="AO324" i="5"/>
  <c r="AN324" i="5"/>
  <c r="AN32" i="5"/>
  <c r="AO32" i="5"/>
  <c r="AO155" i="5"/>
  <c r="AN155" i="5"/>
  <c r="AN116" i="5"/>
  <c r="AO116" i="5"/>
  <c r="AN125" i="5"/>
  <c r="AO125" i="5"/>
  <c r="AO56" i="5"/>
  <c r="AN56" i="5"/>
  <c r="AN146" i="5"/>
  <c r="AO146" i="5"/>
  <c r="AN136" i="5"/>
  <c r="AO136" i="5"/>
  <c r="AN179" i="5"/>
  <c r="AO179" i="5"/>
  <c r="AO340" i="5"/>
  <c r="AN340" i="5"/>
  <c r="AN66" i="5"/>
  <c r="AO66" i="5"/>
  <c r="AN455" i="5"/>
  <c r="AO455" i="5"/>
  <c r="AN283" i="5"/>
  <c r="AO283" i="5"/>
  <c r="AO320" i="5"/>
  <c r="AN320" i="5"/>
  <c r="AN343" i="5"/>
  <c r="AO343" i="5"/>
  <c r="AN335" i="5"/>
  <c r="AO335" i="5"/>
  <c r="AN90" i="5"/>
  <c r="AO90" i="5"/>
  <c r="AO510" i="5"/>
  <c r="AN510" i="5"/>
  <c r="AO158" i="5"/>
  <c r="AN158" i="5"/>
  <c r="AN352" i="5"/>
  <c r="AO352" i="5"/>
  <c r="AN554" i="5"/>
  <c r="AO554" i="5"/>
  <c r="AN338" i="5"/>
  <c r="AO338" i="5"/>
  <c r="AO475" i="5"/>
  <c r="AN475" i="5"/>
  <c r="AO247" i="5"/>
  <c r="AN247" i="5"/>
  <c r="AO505" i="5"/>
  <c r="AN505" i="5"/>
  <c r="AO203" i="5"/>
  <c r="AN203" i="5"/>
  <c r="AN460" i="5"/>
  <c r="AO460" i="5"/>
  <c r="AO384" i="5"/>
  <c r="AN384" i="5"/>
  <c r="AN468" i="5"/>
  <c r="AO468" i="5"/>
  <c r="AO492" i="5"/>
  <c r="AN492" i="5"/>
  <c r="AN470" i="5"/>
  <c r="AO470" i="5"/>
  <c r="AN300" i="5"/>
  <c r="AO300" i="5"/>
  <c r="AN532" i="5"/>
  <c r="AO532" i="5"/>
  <c r="AN498" i="5"/>
  <c r="AO498" i="5"/>
  <c r="AN527" i="5"/>
  <c r="AO527" i="5"/>
  <c r="AN360" i="5"/>
  <c r="AO360" i="5"/>
  <c r="AO185" i="5"/>
  <c r="AN185" i="5"/>
  <c r="AO180" i="5"/>
  <c r="AN180" i="5"/>
  <c r="AO422" i="5"/>
  <c r="AN422" i="5"/>
  <c r="AN103" i="5"/>
  <c r="AO103" i="5"/>
  <c r="AO331" i="5"/>
  <c r="AN331" i="5"/>
  <c r="AO93" i="5"/>
  <c r="AN93" i="5"/>
  <c r="AN199" i="5"/>
  <c r="AO199" i="5"/>
  <c r="AN407" i="5"/>
  <c r="AO407" i="5"/>
  <c r="AO435" i="5"/>
  <c r="AN435" i="5"/>
  <c r="AN24" i="5"/>
  <c r="AO24" i="5"/>
  <c r="AN520" i="5"/>
  <c r="AO520" i="5"/>
  <c r="AN218" i="5"/>
  <c r="AO218" i="5"/>
  <c r="AN323" i="5"/>
  <c r="AO323" i="5"/>
  <c r="AN388" i="5"/>
  <c r="AO388" i="5"/>
  <c r="AO392" i="5"/>
  <c r="AN392" i="5"/>
  <c r="AN168" i="5"/>
  <c r="AO168" i="5"/>
  <c r="AO549" i="5"/>
  <c r="AN549" i="5"/>
  <c r="AO466" i="5"/>
  <c r="AN466" i="5"/>
  <c r="AO205" i="5"/>
  <c r="AN205" i="5"/>
  <c r="AO501" i="5"/>
  <c r="AN501" i="5"/>
  <c r="AN70" i="5"/>
  <c r="AO70" i="5"/>
  <c r="AO126" i="5"/>
  <c r="AN126" i="5"/>
  <c r="AN296" i="5"/>
  <c r="AO296" i="5"/>
  <c r="AN381" i="5"/>
  <c r="AO381" i="5"/>
  <c r="AO315" i="5"/>
  <c r="AN315" i="5"/>
  <c r="AO191" i="5"/>
  <c r="AN191" i="5"/>
  <c r="AN96" i="5"/>
  <c r="AO96" i="5"/>
  <c r="AO147" i="5"/>
  <c r="AN147" i="5"/>
  <c r="AN204" i="5"/>
  <c r="AO204" i="5"/>
  <c r="AN142" i="5"/>
  <c r="AO142" i="5"/>
  <c r="AN269" i="5"/>
  <c r="AO269" i="5"/>
  <c r="AO487" i="5"/>
  <c r="AN487" i="5"/>
  <c r="AN350" i="5"/>
  <c r="AO350" i="5"/>
  <c r="AO405" i="5"/>
  <c r="AN405" i="5"/>
  <c r="AN278" i="5"/>
  <c r="AO278" i="5"/>
  <c r="AO51" i="5"/>
  <c r="AN51" i="5"/>
  <c r="AO364" i="5"/>
  <c r="AN364" i="5"/>
  <c r="AN307" i="5"/>
  <c r="AO307" i="5"/>
  <c r="AN321" i="5"/>
  <c r="AO321" i="5"/>
  <c r="AO298" i="5"/>
  <c r="AN298" i="5"/>
  <c r="AO221" i="5"/>
  <c r="AN221" i="5"/>
  <c r="AO212" i="5"/>
  <c r="AN212" i="5"/>
  <c r="AN40" i="5"/>
  <c r="AO40" i="5"/>
  <c r="AO235" i="5"/>
  <c r="AN235" i="5"/>
  <c r="AN280" i="5"/>
  <c r="AO280" i="5"/>
  <c r="AN232" i="5"/>
  <c r="AO232" i="5"/>
  <c r="AH218" i="5"/>
  <c r="AI218" i="5"/>
  <c r="AI343" i="5"/>
  <c r="AH343" i="5"/>
  <c r="AI299" i="5"/>
  <c r="AH299" i="5"/>
  <c r="AH398" i="5"/>
  <c r="AI398" i="5"/>
  <c r="AI423" i="5"/>
  <c r="AH423" i="5"/>
  <c r="AI480" i="5"/>
  <c r="AH480" i="5"/>
  <c r="AI288" i="5"/>
  <c r="AH288" i="5"/>
  <c r="AI326" i="5"/>
  <c r="AH326" i="5"/>
  <c r="AH376" i="5"/>
  <c r="AI376" i="5"/>
  <c r="AI551" i="5"/>
  <c r="AH551" i="5"/>
  <c r="AI454" i="5"/>
  <c r="AH454" i="5"/>
  <c r="AI479" i="5"/>
  <c r="AH479" i="5"/>
  <c r="AH83" i="5"/>
  <c r="AI83" i="5"/>
  <c r="AH210" i="5"/>
  <c r="AI210" i="5"/>
  <c r="AI297" i="5"/>
  <c r="AH297" i="5"/>
  <c r="AI217" i="5"/>
  <c r="AH217" i="5"/>
  <c r="AH38" i="5"/>
  <c r="AI38" i="5"/>
  <c r="AI127" i="5"/>
  <c r="AH127" i="5"/>
  <c r="AI522" i="5"/>
  <c r="AH522" i="5"/>
  <c r="AI234" i="5"/>
  <c r="AH234" i="5"/>
  <c r="AI488" i="5"/>
  <c r="AH488" i="5"/>
  <c r="AI323" i="5"/>
  <c r="AH323" i="5"/>
  <c r="AH118" i="5"/>
  <c r="AI118" i="5"/>
  <c r="AH153" i="5"/>
  <c r="AI153" i="5"/>
  <c r="AI539" i="5"/>
  <c r="AH539" i="5"/>
  <c r="AI200" i="5"/>
  <c r="AH200" i="5"/>
  <c r="AI167" i="5"/>
  <c r="AH167" i="5"/>
  <c r="AI222" i="5"/>
  <c r="AH222" i="5"/>
  <c r="AI333" i="5"/>
  <c r="AH333" i="5"/>
  <c r="AI156" i="5"/>
  <c r="AH156" i="5"/>
  <c r="AH231" i="5"/>
  <c r="AI231" i="5"/>
  <c r="AH473" i="5"/>
  <c r="AI473" i="5"/>
  <c r="AI443" i="5"/>
  <c r="AH443" i="5"/>
  <c r="AI313" i="5"/>
  <c r="AH313" i="5"/>
  <c r="AH312" i="5"/>
  <c r="AI312" i="5"/>
  <c r="AI151" i="5"/>
  <c r="AH151" i="5"/>
  <c r="AH419" i="5"/>
  <c r="AI419" i="5"/>
  <c r="AH175" i="5"/>
  <c r="AI175" i="5"/>
  <c r="AH209" i="5"/>
  <c r="AI209" i="5"/>
  <c r="AH141" i="5"/>
  <c r="AI141" i="5"/>
  <c r="AI486" i="5"/>
  <c r="AH486" i="5"/>
  <c r="AH128" i="5"/>
  <c r="AI128" i="5"/>
  <c r="AH557" i="5"/>
  <c r="AI557" i="5"/>
  <c r="AI359" i="5"/>
  <c r="AH359" i="5"/>
  <c r="AH520" i="5"/>
  <c r="AI520" i="5"/>
  <c r="AI240" i="5"/>
  <c r="AH240" i="5"/>
  <c r="AI435" i="5"/>
  <c r="AH435" i="5"/>
  <c r="AI490" i="5"/>
  <c r="AH490" i="5"/>
  <c r="AH469" i="5"/>
  <c r="AI469" i="5"/>
  <c r="AI432" i="5"/>
  <c r="AH432" i="5"/>
  <c r="AI92" i="5"/>
  <c r="AH92" i="5"/>
  <c r="AH67" i="5"/>
  <c r="AI67" i="5"/>
  <c r="AH58" i="5"/>
  <c r="AI58" i="5"/>
  <c r="AH257" i="5"/>
  <c r="AI257" i="5"/>
  <c r="AI62" i="5"/>
  <c r="AH62" i="5"/>
  <c r="AI272" i="5"/>
  <c r="AH272" i="5"/>
  <c r="AI456" i="5"/>
  <c r="AH456" i="5"/>
  <c r="AI307" i="5"/>
  <c r="AH307" i="5"/>
  <c r="AH26" i="5"/>
  <c r="AI26" i="5"/>
  <c r="AI339" i="5"/>
  <c r="AH339" i="5"/>
  <c r="AI397" i="5"/>
  <c r="AH397" i="5"/>
  <c r="AI119" i="5"/>
  <c r="AH119" i="5"/>
  <c r="AI380" i="5"/>
  <c r="AH380" i="5"/>
  <c r="AI293" i="5"/>
  <c r="AH293" i="5"/>
  <c r="AH287" i="5"/>
  <c r="AI287" i="5"/>
  <c r="AI289" i="5"/>
  <c r="AH289" i="5"/>
  <c r="AH64" i="5"/>
  <c r="AI64" i="5"/>
  <c r="AH554" i="5"/>
  <c r="AI554" i="5"/>
  <c r="AH470" i="5"/>
  <c r="AI470" i="5"/>
  <c r="AH206" i="5"/>
  <c r="AI206" i="5"/>
  <c r="AI132" i="5"/>
  <c r="AH132" i="5"/>
  <c r="AI196" i="5"/>
  <c r="AH196" i="5"/>
  <c r="AH114" i="5"/>
  <c r="AI114" i="5"/>
  <c r="AH203" i="5"/>
  <c r="AI203" i="5"/>
  <c r="AI426" i="5"/>
  <c r="AH426" i="5"/>
  <c r="AH228" i="5"/>
  <c r="AI228" i="5"/>
  <c r="AI370" i="5"/>
  <c r="AH370" i="5"/>
  <c r="AH53" i="5"/>
  <c r="AI53" i="5"/>
  <c r="AI507" i="5"/>
  <c r="AH507" i="5"/>
  <c r="AI438" i="5"/>
  <c r="AH438" i="5"/>
  <c r="AI440" i="5"/>
  <c r="AH440" i="5"/>
  <c r="AI535" i="5"/>
  <c r="AH535" i="5"/>
  <c r="AI147" i="5"/>
  <c r="AH147" i="5"/>
  <c r="AI310" i="5"/>
  <c r="AH310" i="5"/>
  <c r="AH20" i="5"/>
  <c r="AI20" i="5"/>
  <c r="AH138" i="5"/>
  <c r="AI138" i="5"/>
  <c r="AH379" i="5"/>
  <c r="AI379" i="5"/>
  <c r="AI404" i="5"/>
  <c r="AH404" i="5"/>
  <c r="AH350" i="5"/>
  <c r="AI350" i="5"/>
  <c r="AH140" i="5"/>
  <c r="AI140" i="5"/>
  <c r="AI160" i="5"/>
  <c r="AH160" i="5"/>
  <c r="AH388" i="5"/>
  <c r="AI388" i="5"/>
  <c r="AH315" i="5"/>
  <c r="AI315" i="5"/>
  <c r="AH517" i="5"/>
  <c r="AI517" i="5"/>
  <c r="AI39" i="5"/>
  <c r="AH39" i="5"/>
  <c r="AH512" i="5"/>
  <c r="AI512" i="5"/>
  <c r="AH442" i="5"/>
  <c r="AI442" i="5"/>
  <c r="AI27" i="5"/>
  <c r="AH27" i="5"/>
  <c r="AH371" i="5"/>
  <c r="AI371" i="5"/>
  <c r="AI444" i="5"/>
  <c r="AH444" i="5"/>
  <c r="AH341" i="5"/>
  <c r="AI341" i="5"/>
  <c r="AH85" i="5"/>
  <c r="AI85" i="5"/>
  <c r="AI402" i="5"/>
  <c r="AH402" i="5"/>
  <c r="AI215" i="5"/>
  <c r="AH215" i="5"/>
  <c r="AI515" i="5"/>
  <c r="AH515" i="5"/>
  <c r="AI526" i="5"/>
  <c r="AH526" i="5"/>
  <c r="AH534" i="5"/>
  <c r="AI534" i="5"/>
  <c r="AH40" i="5"/>
  <c r="AI40" i="5"/>
  <c r="AI173" i="5"/>
  <c r="AH173" i="5"/>
  <c r="AH52" i="5"/>
  <c r="AI52" i="5"/>
  <c r="AI226" i="5"/>
  <c r="AH226" i="5"/>
  <c r="AH267" i="5"/>
  <c r="AI267" i="5"/>
  <c r="AI420" i="5"/>
  <c r="AH420" i="5"/>
  <c r="AH502" i="5"/>
  <c r="AI502" i="5"/>
  <c r="AI163" i="5"/>
  <c r="AH163" i="5"/>
  <c r="AI54" i="5"/>
  <c r="AH54" i="5"/>
  <c r="AI415" i="5"/>
  <c r="AH415" i="5"/>
  <c r="AH261" i="5"/>
  <c r="AI261" i="5"/>
  <c r="AI458" i="5"/>
  <c r="AH458" i="5"/>
  <c r="AI459" i="5"/>
  <c r="AH459" i="5"/>
  <c r="AH199" i="5"/>
  <c r="AI199" i="5"/>
  <c r="AH496" i="5"/>
  <c r="AI496" i="5"/>
  <c r="AH451" i="5"/>
  <c r="AI451" i="5"/>
  <c r="AI468" i="5"/>
  <c r="AH468" i="5"/>
  <c r="AH35" i="5"/>
  <c r="AI35" i="5"/>
  <c r="AH195" i="5"/>
  <c r="AI195" i="5"/>
  <c r="AI116" i="5"/>
  <c r="AH116" i="5"/>
  <c r="AI416" i="5"/>
  <c r="AH416" i="5"/>
  <c r="AH236" i="5"/>
  <c r="AI236" i="5"/>
  <c r="AH448" i="5"/>
  <c r="AI448" i="5"/>
  <c r="AI186" i="5"/>
  <c r="AH186" i="5"/>
  <c r="AI112" i="5"/>
  <c r="AH112" i="5"/>
  <c r="AI411" i="5"/>
  <c r="AH411" i="5"/>
  <c r="AH134" i="5"/>
  <c r="AI134" i="5"/>
  <c r="AI247" i="5"/>
  <c r="AH247" i="5"/>
  <c r="AI220" i="5"/>
  <c r="AH220" i="5"/>
  <c r="AI96" i="5"/>
  <c r="AH96" i="5"/>
  <c r="AH21" i="4"/>
  <c r="AE21" i="4"/>
  <c r="Z21" i="4"/>
  <c r="X21" i="4" s="1"/>
  <c r="AJ21" i="4" s="1"/>
  <c r="AH19" i="4"/>
  <c r="AE19" i="4"/>
  <c r="Z19" i="4"/>
  <c r="X19" i="4" s="1"/>
  <c r="AJ19" i="4" s="1"/>
  <c r="AH111" i="4"/>
  <c r="AE111" i="4"/>
  <c r="AH13" i="4"/>
  <c r="Z13" i="4"/>
  <c r="X13" i="4" s="1"/>
  <c r="AJ13" i="4" s="1"/>
  <c r="AE13" i="4"/>
  <c r="AH92" i="4"/>
  <c r="AE92" i="4"/>
  <c r="AH133" i="4"/>
  <c r="AE133" i="4"/>
  <c r="AH38" i="4"/>
  <c r="AE38" i="4"/>
  <c r="Z38" i="4"/>
  <c r="AA38" i="4"/>
  <c r="AE127" i="4"/>
  <c r="AH127" i="4"/>
  <c r="AE18" i="4"/>
  <c r="AH18" i="4"/>
  <c r="Z18" i="4"/>
  <c r="X18" i="4" s="1"/>
  <c r="AJ18" i="4" s="1"/>
  <c r="AE156" i="4"/>
  <c r="AH156" i="4"/>
  <c r="AH77" i="4"/>
  <c r="AE77" i="4"/>
  <c r="AH40" i="4"/>
  <c r="AE40" i="4"/>
  <c r="Z40" i="4"/>
  <c r="AE22" i="4"/>
  <c r="AH22" i="4"/>
  <c r="Z22" i="4"/>
  <c r="X22" i="4" s="1"/>
  <c r="AJ22" i="4" s="1"/>
  <c r="AH125" i="4"/>
  <c r="AE125" i="4"/>
  <c r="AE115" i="4"/>
  <c r="AH115" i="4"/>
  <c r="AA115" i="4"/>
  <c r="Z115" i="4"/>
  <c r="AH134" i="4"/>
  <c r="AE134" i="4"/>
  <c r="AE11" i="4"/>
  <c r="AH11" i="4"/>
  <c r="Z11" i="4"/>
  <c r="X11" i="4" s="1"/>
  <c r="AJ11" i="4" s="1"/>
  <c r="AH154" i="4"/>
  <c r="AE154" i="4"/>
  <c r="AH143" i="4"/>
  <c r="AE143" i="4"/>
  <c r="AE52" i="4"/>
  <c r="AH52" i="4"/>
  <c r="Z52" i="4"/>
  <c r="X52" i="4" s="1"/>
  <c r="AH17" i="4"/>
  <c r="Z17" i="4"/>
  <c r="X17" i="4" s="1"/>
  <c r="AA17" i="4" s="1"/>
  <c r="AE17" i="4"/>
  <c r="AH132" i="4"/>
  <c r="Z132" i="4"/>
  <c r="AE132" i="4"/>
  <c r="AA132" i="4"/>
  <c r="AH86" i="4"/>
  <c r="AE86" i="4"/>
  <c r="AH90" i="4"/>
  <c r="AE90" i="4"/>
  <c r="AH45" i="4"/>
  <c r="Z45" i="4"/>
  <c r="AE45" i="4"/>
  <c r="AH107" i="4"/>
  <c r="AA107" i="4"/>
  <c r="Z107" i="4"/>
  <c r="AE107" i="4"/>
  <c r="AP127" i="5"/>
  <c r="AP500" i="5"/>
  <c r="AP524" i="5"/>
  <c r="AH61" i="4"/>
  <c r="AE61" i="4"/>
  <c r="AE141" i="4"/>
  <c r="AH141" i="4"/>
  <c r="AE33" i="4"/>
  <c r="Z33" i="4"/>
  <c r="X33" i="4" s="1"/>
  <c r="AH33" i="4"/>
  <c r="AH44" i="4"/>
  <c r="AE44" i="4"/>
  <c r="Z44" i="4"/>
  <c r="X44" i="4" s="1"/>
  <c r="AJ44" i="4" s="1"/>
  <c r="AE30" i="4"/>
  <c r="Z30" i="4"/>
  <c r="X30" i="4" s="1"/>
  <c r="AH30" i="4"/>
  <c r="AH15" i="4"/>
  <c r="AE15" i="4"/>
  <c r="Z15" i="4"/>
  <c r="X15" i="4" s="1"/>
  <c r="AJ15" i="4" s="1"/>
  <c r="AH8" i="4"/>
  <c r="Z8" i="4"/>
  <c r="X8" i="4" s="1"/>
  <c r="AJ8" i="4" s="1"/>
  <c r="AE8" i="4"/>
  <c r="AA147" i="4"/>
  <c r="AE147" i="4"/>
  <c r="Z147" i="4"/>
  <c r="AH147" i="4"/>
  <c r="AH137" i="4"/>
  <c r="AE137" i="4"/>
  <c r="AE28" i="4"/>
  <c r="Z28" i="4"/>
  <c r="X28" i="4" s="1"/>
  <c r="AH28" i="4"/>
  <c r="AE151" i="4"/>
  <c r="AH151" i="4"/>
  <c r="AU9" i="5"/>
  <c r="AV9" i="5"/>
  <c r="BC9" i="5"/>
  <c r="BB9" i="5"/>
  <c r="BA9" i="5"/>
  <c r="X9" i="5"/>
  <c r="Y9" i="5"/>
  <c r="AN397" i="5"/>
  <c r="AO397" i="5"/>
  <c r="AN237" i="5"/>
  <c r="AO237" i="5"/>
  <c r="AO37" i="5"/>
  <c r="AN37" i="5"/>
  <c r="AN558" i="5"/>
  <c r="AO558" i="5"/>
  <c r="AN166" i="5"/>
  <c r="AO166" i="5"/>
  <c r="AN404" i="5"/>
  <c r="AO404" i="5"/>
  <c r="AN187" i="5"/>
  <c r="AO187" i="5"/>
  <c r="AN216" i="5"/>
  <c r="AO216" i="5"/>
  <c r="AO420" i="5"/>
  <c r="AN420" i="5"/>
  <c r="AN427" i="5"/>
  <c r="AO427" i="5"/>
  <c r="AO447" i="5"/>
  <c r="AN447" i="5"/>
  <c r="AO286" i="5"/>
  <c r="AN286" i="5"/>
  <c r="AN473" i="5"/>
  <c r="AO473" i="5"/>
  <c r="AO503" i="5"/>
  <c r="AN503" i="5"/>
  <c r="AN202" i="5"/>
  <c r="AO202" i="5"/>
  <c r="AN215" i="5"/>
  <c r="AO215" i="5"/>
  <c r="AN177" i="5"/>
  <c r="AO177" i="5"/>
  <c r="AN328" i="5"/>
  <c r="AO328" i="5"/>
  <c r="AN306" i="5"/>
  <c r="AO306" i="5"/>
  <c r="AN421" i="5"/>
  <c r="AO421" i="5"/>
  <c r="AO109" i="5"/>
  <c r="AN109" i="5"/>
  <c r="AN545" i="5"/>
  <c r="AO545" i="5"/>
  <c r="AN344" i="5"/>
  <c r="AO344" i="5"/>
  <c r="AN491" i="5"/>
  <c r="AO491" i="5"/>
  <c r="AO512" i="5"/>
  <c r="AN512" i="5"/>
  <c r="AO544" i="5"/>
  <c r="AN544" i="5"/>
  <c r="AO134" i="5"/>
  <c r="AN134" i="5"/>
  <c r="AN433" i="5"/>
  <c r="AO433" i="5"/>
  <c r="AN22" i="5"/>
  <c r="AO22" i="5"/>
  <c r="AN181" i="5"/>
  <c r="AO181" i="5"/>
  <c r="AO555" i="5"/>
  <c r="AN555" i="5"/>
  <c r="AO262" i="5"/>
  <c r="AN262" i="5"/>
  <c r="AN410" i="5"/>
  <c r="AO410" i="5"/>
  <c r="AN502" i="5"/>
  <c r="AO502" i="5"/>
  <c r="AN233" i="5"/>
  <c r="AO233" i="5"/>
  <c r="AN319" i="5"/>
  <c r="AO319" i="5"/>
  <c r="AN457" i="5"/>
  <c r="AO457" i="5"/>
  <c r="AN304" i="5"/>
  <c r="AO304" i="5"/>
  <c r="AO46" i="5"/>
  <c r="AN46" i="5"/>
  <c r="AN400" i="5"/>
  <c r="AO400" i="5"/>
  <c r="AN398" i="5"/>
  <c r="AO398" i="5"/>
  <c r="AO440" i="5"/>
  <c r="AN440" i="5"/>
  <c r="AO198" i="5"/>
  <c r="AN198" i="5"/>
  <c r="AN34" i="5"/>
  <c r="AO34" i="5"/>
  <c r="AO64" i="5"/>
  <c r="AN64" i="5"/>
  <c r="AN50" i="5"/>
  <c r="AO50" i="5"/>
  <c r="AN431" i="5"/>
  <c r="AO431" i="5"/>
  <c r="AO542" i="5"/>
  <c r="AN542" i="5"/>
  <c r="AO206" i="5"/>
  <c r="AN206" i="5"/>
  <c r="AO370" i="5"/>
  <c r="AN370" i="5"/>
  <c r="AO499" i="5"/>
  <c r="AN499" i="5"/>
  <c r="AN10" i="5"/>
  <c r="AO10" i="5"/>
  <c r="AO481" i="5"/>
  <c r="AN481" i="5"/>
  <c r="AO239" i="5"/>
  <c r="AN239" i="5"/>
  <c r="AO263" i="5"/>
  <c r="AN263" i="5"/>
  <c r="AO258" i="5"/>
  <c r="AN258" i="5"/>
  <c r="AO55" i="5"/>
  <c r="AN55" i="5"/>
  <c r="AN255" i="5"/>
  <c r="AO255" i="5"/>
  <c r="AN112" i="5"/>
  <c r="AO112" i="5"/>
  <c r="AO332" i="5"/>
  <c r="AN332" i="5"/>
  <c r="AN543" i="5"/>
  <c r="AO543" i="5"/>
  <c r="AN53" i="5"/>
  <c r="AO53" i="5"/>
  <c r="AN88" i="5"/>
  <c r="AO88" i="5"/>
  <c r="AN513" i="5"/>
  <c r="AO513" i="5"/>
  <c r="AN396" i="5"/>
  <c r="AO396" i="5"/>
  <c r="AN217" i="5"/>
  <c r="AO217" i="5"/>
  <c r="AN519" i="5"/>
  <c r="AO519" i="5"/>
  <c r="AO464" i="5"/>
  <c r="AN464" i="5"/>
  <c r="AN357" i="5"/>
  <c r="AO357" i="5"/>
  <c r="AO94" i="5"/>
  <c r="AN94" i="5"/>
  <c r="AN102" i="5"/>
  <c r="AO102" i="5"/>
  <c r="AN19" i="5"/>
  <c r="AO19" i="5"/>
  <c r="AO97" i="5"/>
  <c r="AN97" i="5"/>
  <c r="AO279" i="5"/>
  <c r="AN279" i="5"/>
  <c r="AN165" i="5"/>
  <c r="AO165" i="5"/>
  <c r="AN67" i="5"/>
  <c r="AO67" i="5"/>
  <c r="AO415" i="5"/>
  <c r="AN415" i="5"/>
  <c r="AO52" i="5"/>
  <c r="AN52" i="5"/>
  <c r="AN43" i="5"/>
  <c r="AO43" i="5"/>
  <c r="AN317" i="5"/>
  <c r="AO317" i="5"/>
  <c r="AO523" i="5"/>
  <c r="AN523" i="5"/>
  <c r="AO359" i="5"/>
  <c r="AN359" i="5"/>
  <c r="AO131" i="5"/>
  <c r="AN131" i="5"/>
  <c r="AO100" i="5"/>
  <c r="AN100" i="5"/>
  <c r="AN528" i="5"/>
  <c r="AO528" i="5"/>
  <c r="AN303" i="5"/>
  <c r="AO303" i="5"/>
  <c r="AN349" i="5"/>
  <c r="AO349" i="5"/>
  <c r="AO540" i="5"/>
  <c r="AN540" i="5"/>
  <c r="AO174" i="5"/>
  <c r="AN174" i="5"/>
  <c r="AO29" i="5"/>
  <c r="AN29" i="5"/>
  <c r="AN471" i="5"/>
  <c r="AO471" i="5"/>
  <c r="AN488" i="5"/>
  <c r="AO488" i="5"/>
  <c r="AN20" i="5"/>
  <c r="AO20" i="5"/>
  <c r="AN238" i="5"/>
  <c r="AO238" i="5"/>
  <c r="AN508" i="5"/>
  <c r="AO508" i="5"/>
  <c r="AN23" i="5"/>
  <c r="AO23" i="5"/>
  <c r="AN111" i="5"/>
  <c r="AO111" i="5"/>
  <c r="AN161" i="5"/>
  <c r="AO161" i="5"/>
  <c r="AO99" i="5"/>
  <c r="AN99" i="5"/>
  <c r="AN35" i="5"/>
  <c r="AO35" i="5"/>
  <c r="AO119" i="5"/>
  <c r="AN119" i="5"/>
  <c r="AO271" i="5"/>
  <c r="AN271" i="5"/>
  <c r="AN449" i="5"/>
  <c r="AO449" i="5"/>
  <c r="AO538" i="5"/>
  <c r="AN538" i="5"/>
  <c r="AN47" i="5"/>
  <c r="AO47" i="5"/>
  <c r="AO58" i="5"/>
  <c r="AN58" i="5"/>
  <c r="AN379" i="5"/>
  <c r="AO379" i="5"/>
  <c r="AN339" i="5"/>
  <c r="AO339" i="5"/>
  <c r="AN522" i="5"/>
  <c r="AO522" i="5"/>
  <c r="AN423" i="5"/>
  <c r="AO423" i="5"/>
  <c r="AN223" i="5"/>
  <c r="AO223" i="5"/>
  <c r="AO75" i="5"/>
  <c r="AN75" i="5"/>
  <c r="AN91" i="5"/>
  <c r="AO91" i="5"/>
  <c r="AN123" i="5"/>
  <c r="AO123" i="5"/>
  <c r="AO493" i="5"/>
  <c r="AN493" i="5"/>
  <c r="AO7" i="5"/>
  <c r="AN7" i="5"/>
  <c r="AO346" i="5"/>
  <c r="AN346" i="5"/>
  <c r="AN484" i="5"/>
  <c r="AO484" i="5"/>
  <c r="AO8" i="5"/>
  <c r="AN8" i="5"/>
  <c r="AO130" i="5"/>
  <c r="AN130" i="5"/>
  <c r="AO289" i="5"/>
  <c r="AN289" i="5"/>
  <c r="AO534" i="5"/>
  <c r="AN534" i="5"/>
  <c r="AO253" i="5"/>
  <c r="AN253" i="5"/>
  <c r="AN89" i="5"/>
  <c r="AO89" i="5"/>
  <c r="AO121" i="5"/>
  <c r="AN121" i="5"/>
  <c r="AN395" i="5"/>
  <c r="AO395" i="5"/>
  <c r="AN330" i="5"/>
  <c r="AO330" i="5"/>
  <c r="AN188" i="5"/>
  <c r="AO188" i="5"/>
  <c r="AO441" i="5"/>
  <c r="AN441" i="5"/>
  <c r="AO486" i="5"/>
  <c r="AN486" i="5"/>
  <c r="AN92" i="5"/>
  <c r="AO92" i="5"/>
  <c r="AO60" i="5"/>
  <c r="AN60" i="5"/>
  <c r="AO80" i="5"/>
  <c r="AN80" i="5"/>
  <c r="AN114" i="5"/>
  <c r="AO114" i="5"/>
  <c r="AO261" i="5"/>
  <c r="AN261" i="5"/>
  <c r="AN245" i="5"/>
  <c r="AO245" i="5"/>
  <c r="AN516" i="5"/>
  <c r="AO516" i="5"/>
  <c r="AH335" i="5"/>
  <c r="AI335" i="5"/>
  <c r="AH482" i="5"/>
  <c r="AI482" i="5"/>
  <c r="AH446" i="5"/>
  <c r="AI446" i="5"/>
  <c r="AH386" i="5"/>
  <c r="AI386" i="5"/>
  <c r="AI162" i="5"/>
  <c r="AH162" i="5"/>
  <c r="AH8" i="5"/>
  <c r="AI8" i="5"/>
  <c r="AI497" i="5"/>
  <c r="AH497" i="5"/>
  <c r="AI455" i="5"/>
  <c r="AH455" i="5"/>
  <c r="AH529" i="5"/>
  <c r="AI529" i="5"/>
  <c r="AI309" i="5"/>
  <c r="AH309" i="5"/>
  <c r="AI90" i="5"/>
  <c r="AH90" i="5"/>
  <c r="AH431" i="5"/>
  <c r="AI431" i="5"/>
  <c r="AH126" i="5"/>
  <c r="AI126" i="5"/>
  <c r="AH32" i="5"/>
  <c r="AI32" i="5"/>
  <c r="AH373" i="5"/>
  <c r="AI373" i="5"/>
  <c r="AH108" i="5"/>
  <c r="AI108" i="5"/>
  <c r="AI281" i="5"/>
  <c r="AH281" i="5"/>
  <c r="AI176" i="5"/>
  <c r="AH176" i="5"/>
  <c r="AI237" i="5"/>
  <c r="AH237" i="5"/>
  <c r="AI538" i="5"/>
  <c r="AH538" i="5"/>
  <c r="AH284" i="5"/>
  <c r="AI284" i="5"/>
  <c r="AH270" i="5"/>
  <c r="AI270" i="5"/>
  <c r="AH509" i="5"/>
  <c r="AI509" i="5"/>
  <c r="AH511" i="5"/>
  <c r="AI511" i="5"/>
  <c r="AH260" i="5"/>
  <c r="AI260" i="5"/>
  <c r="AH472" i="5"/>
  <c r="AI472" i="5"/>
  <c r="AH19" i="5"/>
  <c r="AI19" i="5"/>
  <c r="AI207" i="5"/>
  <c r="AH207" i="5"/>
  <c r="AI168" i="5"/>
  <c r="AH168" i="5"/>
  <c r="AI70" i="5"/>
  <c r="AH70" i="5"/>
  <c r="AI24" i="5"/>
  <c r="AH24" i="5"/>
  <c r="AI302" i="5"/>
  <c r="AH302" i="5"/>
  <c r="AH403" i="5"/>
  <c r="AI403" i="5"/>
  <c r="AH133" i="5"/>
  <c r="AI133" i="5"/>
  <c r="AH159" i="5"/>
  <c r="AI159" i="5"/>
  <c r="AH363" i="5"/>
  <c r="AI363" i="5"/>
  <c r="AH238" i="5"/>
  <c r="AI238" i="5"/>
  <c r="AI129" i="5"/>
  <c r="AH129" i="5"/>
  <c r="AI185" i="5"/>
  <c r="AH185" i="5"/>
  <c r="AI428" i="5"/>
  <c r="AH428" i="5"/>
  <c r="AI362" i="5"/>
  <c r="AH362" i="5"/>
  <c r="AH130" i="5"/>
  <c r="AI130" i="5"/>
  <c r="AH277" i="5"/>
  <c r="AI277" i="5"/>
  <c r="AH492" i="5"/>
  <c r="AI492" i="5"/>
  <c r="AH452" i="5"/>
  <c r="AI452" i="5"/>
  <c r="AH332" i="5"/>
  <c r="AI332" i="5"/>
  <c r="AH124" i="5"/>
  <c r="AI124" i="5"/>
  <c r="AH481" i="5"/>
  <c r="AI481" i="5"/>
  <c r="AH305" i="5"/>
  <c r="AI305" i="5"/>
  <c r="AI251" i="5"/>
  <c r="AH251" i="5"/>
  <c r="AI227" i="5"/>
  <c r="AH227" i="5"/>
  <c r="AH201" i="5"/>
  <c r="AI201" i="5"/>
  <c r="AH99" i="5"/>
  <c r="AI99" i="5"/>
  <c r="AH275" i="5"/>
  <c r="AI275" i="5"/>
  <c r="AI180" i="5"/>
  <c r="AH180" i="5"/>
  <c r="AH304" i="5"/>
  <c r="AI304" i="5"/>
  <c r="AH214" i="5"/>
  <c r="AI214" i="5"/>
  <c r="AH65" i="5"/>
  <c r="AI65" i="5"/>
  <c r="AH256" i="5"/>
  <c r="AI256" i="5"/>
  <c r="AI109" i="5"/>
  <c r="AH109" i="5"/>
  <c r="AI279" i="5"/>
  <c r="AH279" i="5"/>
  <c r="AH104" i="5"/>
  <c r="AI104" i="5"/>
  <c r="AH525" i="5"/>
  <c r="AI525" i="5"/>
  <c r="AH387" i="5"/>
  <c r="AI387" i="5"/>
  <c r="AI223" i="5"/>
  <c r="AH223" i="5"/>
  <c r="AI137" i="5"/>
  <c r="AH137" i="5"/>
  <c r="AI485" i="5"/>
  <c r="AH485" i="5"/>
  <c r="AH477" i="5"/>
  <c r="AI477" i="5"/>
  <c r="AH461" i="5"/>
  <c r="AI461" i="5"/>
  <c r="AH245" i="5"/>
  <c r="AI245" i="5"/>
  <c r="AI528" i="5"/>
  <c r="AH528" i="5"/>
  <c r="AH169" i="5"/>
  <c r="AI169" i="5"/>
  <c r="AI135" i="5"/>
  <c r="AH135" i="5"/>
  <c r="AI246" i="5"/>
  <c r="AH246" i="5"/>
  <c r="AI122" i="5"/>
  <c r="AH122" i="5"/>
  <c r="AI338" i="5"/>
  <c r="AH338" i="5"/>
  <c r="AI533" i="5"/>
  <c r="AH533" i="5"/>
  <c r="AI86" i="5"/>
  <c r="AH86" i="5"/>
  <c r="AI516" i="5"/>
  <c r="AH516" i="5"/>
  <c r="AI474" i="5"/>
  <c r="AH474" i="5"/>
  <c r="AI487" i="5"/>
  <c r="AH487" i="5"/>
  <c r="AI49" i="5"/>
  <c r="AH49" i="5"/>
  <c r="AI501" i="5"/>
  <c r="AH501" i="5"/>
  <c r="AI148" i="5"/>
  <c r="AH148" i="5"/>
  <c r="AH157" i="5"/>
  <c r="AI157" i="5"/>
  <c r="AH471" i="5"/>
  <c r="AI471" i="5"/>
  <c r="AI544" i="5"/>
  <c r="AH544" i="5"/>
  <c r="AH232" i="5"/>
  <c r="AI232" i="5"/>
  <c r="AH95" i="5"/>
  <c r="AI95" i="5"/>
  <c r="AI191" i="5"/>
  <c r="AH191" i="5"/>
  <c r="AH44" i="5"/>
  <c r="AI44" i="5"/>
  <c r="AH559" i="5"/>
  <c r="AI559" i="5"/>
  <c r="AH139" i="5"/>
  <c r="AI139" i="5"/>
  <c r="AI537" i="5"/>
  <c r="AH537" i="5"/>
  <c r="AI179" i="5"/>
  <c r="AH179" i="5"/>
  <c r="AH545" i="5"/>
  <c r="AI545" i="5"/>
  <c r="AH489" i="5"/>
  <c r="AI489" i="5"/>
  <c r="AH197" i="5"/>
  <c r="AI197" i="5"/>
  <c r="AH357" i="5"/>
  <c r="AI357" i="5"/>
  <c r="AH263" i="5"/>
  <c r="AI263" i="5"/>
  <c r="AH532" i="5"/>
  <c r="AI532" i="5"/>
  <c r="AH449" i="5"/>
  <c r="AI449" i="5"/>
  <c r="AH346" i="5"/>
  <c r="AI346" i="5"/>
  <c r="AI301" i="5"/>
  <c r="AH301" i="5"/>
  <c r="AI101" i="5"/>
  <c r="AH101" i="5"/>
  <c r="AI117" i="5"/>
  <c r="AH117" i="5"/>
  <c r="AI202" i="5"/>
  <c r="AH202" i="5"/>
  <c r="AH172" i="5"/>
  <c r="AI172" i="5"/>
  <c r="AI190" i="5"/>
  <c r="AH190" i="5"/>
  <c r="AI68" i="5"/>
  <c r="AH68" i="5"/>
  <c r="AH183" i="5"/>
  <c r="AI183" i="5"/>
  <c r="AI145" i="5"/>
  <c r="AH145" i="5"/>
  <c r="AI400" i="5"/>
  <c r="AH400" i="5"/>
  <c r="AI475" i="5"/>
  <c r="AH475" i="5"/>
  <c r="AH311" i="5"/>
  <c r="AI311" i="5"/>
  <c r="AI193" i="5"/>
  <c r="AH193" i="5"/>
  <c r="AH500" i="5"/>
  <c r="AI500" i="5"/>
  <c r="AH351" i="5"/>
  <c r="AI351" i="5"/>
  <c r="AI508" i="5"/>
  <c r="AH508" i="5"/>
  <c r="AH249" i="5"/>
  <c r="AI249" i="5"/>
  <c r="AH418" i="5"/>
  <c r="AI418" i="5"/>
  <c r="AH182" i="5"/>
  <c r="AI182" i="5"/>
  <c r="AH150" i="5"/>
  <c r="AI150" i="5"/>
  <c r="AH252" i="5"/>
  <c r="AI252" i="5"/>
  <c r="AI149" i="5"/>
  <c r="AH149" i="5"/>
  <c r="AH110" i="5"/>
  <c r="AI110" i="5"/>
  <c r="AI243" i="5"/>
  <c r="AH243" i="5"/>
  <c r="AI98" i="5"/>
  <c r="AH98" i="5"/>
  <c r="AH30" i="5"/>
  <c r="AI30" i="5"/>
  <c r="AH450" i="5"/>
  <c r="AI450" i="5"/>
  <c r="AI374" i="5"/>
  <c r="AH374" i="5"/>
  <c r="AH155" i="5"/>
  <c r="AI155" i="5"/>
  <c r="AH13" i="5"/>
  <c r="AI13" i="5"/>
  <c r="AI88" i="5"/>
  <c r="AH88" i="5"/>
  <c r="AH184" i="5"/>
  <c r="AI184" i="5"/>
  <c r="AI72" i="5"/>
  <c r="AH72" i="5"/>
  <c r="AH352" i="5"/>
  <c r="AI352" i="5"/>
  <c r="AE103" i="4"/>
  <c r="AA103" i="4"/>
  <c r="Z103" i="4"/>
  <c r="AH103" i="4"/>
  <c r="AH75" i="4"/>
  <c r="AE75" i="4"/>
  <c r="AQ178" i="5" l="1"/>
  <c r="BI178" i="5"/>
  <c r="BI270" i="5"/>
  <c r="BI80" i="5"/>
  <c r="AR535" i="5"/>
  <c r="BI535" i="5"/>
  <c r="AR80" i="5"/>
  <c r="AQ270" i="5"/>
  <c r="AQ338" i="5"/>
  <c r="BI338" i="5"/>
  <c r="BJ338" i="5" s="1"/>
  <c r="AR193" i="5"/>
  <c r="BI193" i="5"/>
  <c r="BJ193" i="5" s="1"/>
  <c r="AR438" i="5"/>
  <c r="AQ183" i="5"/>
  <c r="AQ418" i="5"/>
  <c r="AQ23" i="5"/>
  <c r="AQ473" i="5"/>
  <c r="AR23" i="5"/>
  <c r="AR473" i="5"/>
  <c r="BI418" i="5"/>
  <c r="BJ418" i="5" s="1"/>
  <c r="AR19" i="5"/>
  <c r="AR417" i="5"/>
  <c r="AR216" i="5"/>
  <c r="AQ216" i="5"/>
  <c r="AQ417" i="5"/>
  <c r="AR146" i="5"/>
  <c r="AQ438" i="5"/>
  <c r="AR183" i="5"/>
  <c r="AR399" i="5"/>
  <c r="BI274" i="5"/>
  <c r="BK274" i="5" s="1"/>
  <c r="AR253" i="5"/>
  <c r="AR138" i="5"/>
  <c r="AQ138" i="5"/>
  <c r="AQ117" i="5"/>
  <c r="BI397" i="5"/>
  <c r="BJ397" i="5" s="1"/>
  <c r="BI117" i="5"/>
  <c r="BJ117" i="5" s="1"/>
  <c r="AQ228" i="5"/>
  <c r="AR184" i="5"/>
  <c r="AQ184" i="5"/>
  <c r="AQ397" i="5"/>
  <c r="AR160" i="5"/>
  <c r="AR227" i="5"/>
  <c r="AQ160" i="5"/>
  <c r="BI227" i="5"/>
  <c r="BJ227" i="5" s="1"/>
  <c r="BI228" i="5"/>
  <c r="BJ228" i="5" s="1"/>
  <c r="BI250" i="5"/>
  <c r="BJ250" i="5" s="1"/>
  <c r="AQ250" i="5"/>
  <c r="AR368" i="5"/>
  <c r="AR472" i="5"/>
  <c r="AR286" i="5"/>
  <c r="AQ399" i="5"/>
  <c r="BI368" i="5"/>
  <c r="BJ368" i="5" s="1"/>
  <c r="BI243" i="5"/>
  <c r="BJ243" i="5" s="1"/>
  <c r="AR243" i="5"/>
  <c r="AQ286" i="5"/>
  <c r="AQ274" i="5"/>
  <c r="BI202" i="5"/>
  <c r="BJ202" i="5" s="1"/>
  <c r="AQ472" i="5"/>
  <c r="BI241" i="5"/>
  <c r="BJ241" i="5" s="1"/>
  <c r="AR306" i="5"/>
  <c r="AQ306" i="5"/>
  <c r="AQ275" i="5"/>
  <c r="AQ131" i="5"/>
  <c r="AQ445" i="5"/>
  <c r="AR467" i="5"/>
  <c r="AQ98" i="5"/>
  <c r="AR98" i="5"/>
  <c r="AR230" i="5"/>
  <c r="BI363" i="5"/>
  <c r="BJ363" i="5" s="1"/>
  <c r="AQ363" i="5"/>
  <c r="BI253" i="5"/>
  <c r="BJ253" i="5" s="1"/>
  <c r="BI164" i="5"/>
  <c r="BJ164" i="5" s="1"/>
  <c r="AR218" i="5"/>
  <c r="BI230" i="5"/>
  <c r="BK230" i="5" s="1"/>
  <c r="BI200" i="5"/>
  <c r="BK200" i="5" s="1"/>
  <c r="BI358" i="5"/>
  <c r="BK358" i="5" s="1"/>
  <c r="BI105" i="5"/>
  <c r="BJ105" i="5" s="1"/>
  <c r="AQ528" i="5"/>
  <c r="AR445" i="5"/>
  <c r="BI246" i="5"/>
  <c r="BK246" i="5" s="1"/>
  <c r="AQ246" i="5"/>
  <c r="BI282" i="5"/>
  <c r="BJ282" i="5" s="1"/>
  <c r="BI285" i="5"/>
  <c r="BJ285" i="5" s="1"/>
  <c r="BI560" i="5"/>
  <c r="BK560" i="5" s="1"/>
  <c r="AQ101" i="5"/>
  <c r="AR429" i="5"/>
  <c r="AR285" i="5"/>
  <c r="AR560" i="5"/>
  <c r="AQ47" i="5"/>
  <c r="AR101" i="5"/>
  <c r="AQ324" i="5"/>
  <c r="AR174" i="5"/>
  <c r="BI324" i="5"/>
  <c r="BJ324" i="5" s="1"/>
  <c r="BI528" i="5"/>
  <c r="BJ528" i="5" s="1"/>
  <c r="AR358" i="5"/>
  <c r="BI237" i="5"/>
  <c r="BK237" i="5" s="1"/>
  <c r="AR105" i="5"/>
  <c r="AR29" i="5"/>
  <c r="Z127" i="4"/>
  <c r="AK127" i="4" s="1"/>
  <c r="AL127" i="4" s="1"/>
  <c r="AR237" i="5"/>
  <c r="AR153" i="5"/>
  <c r="AR235" i="5"/>
  <c r="AQ39" i="5"/>
  <c r="AR131" i="5"/>
  <c r="AR499" i="5"/>
  <c r="BI39" i="5"/>
  <c r="BJ39" i="5" s="1"/>
  <c r="BI70" i="5"/>
  <c r="BK70" i="5" s="1"/>
  <c r="BI244" i="5"/>
  <c r="BK244" i="5" s="1"/>
  <c r="AR111" i="5"/>
  <c r="BI171" i="5"/>
  <c r="BK171" i="5" s="1"/>
  <c r="AQ135" i="5"/>
  <c r="AR261" i="5"/>
  <c r="AQ546" i="5"/>
  <c r="AQ499" i="5"/>
  <c r="BI132" i="5"/>
  <c r="BJ132" i="5" s="1"/>
  <c r="AR143" i="5"/>
  <c r="AQ132" i="5"/>
  <c r="BI143" i="5"/>
  <c r="BJ143" i="5" s="1"/>
  <c r="AR545" i="5"/>
  <c r="AR344" i="5"/>
  <c r="AR135" i="5"/>
  <c r="AQ235" i="5"/>
  <c r="AQ526" i="5"/>
  <c r="AR96" i="5"/>
  <c r="BI545" i="5"/>
  <c r="BJ545" i="5" s="1"/>
  <c r="AR217" i="5"/>
  <c r="BI281" i="5"/>
  <c r="BK281" i="5" s="1"/>
  <c r="BI526" i="5"/>
  <c r="BJ526" i="5" s="1"/>
  <c r="BI96" i="5"/>
  <c r="BJ96" i="5" s="1"/>
  <c r="AQ217" i="5"/>
  <c r="AQ281" i="5"/>
  <c r="AR305" i="5"/>
  <c r="BI340" i="5"/>
  <c r="BJ340" i="5" s="1"/>
  <c r="BI272" i="5"/>
  <c r="BK272" i="5" s="1"/>
  <c r="AR272" i="5"/>
  <c r="AQ407" i="5"/>
  <c r="AR407" i="5"/>
  <c r="AR20" i="5"/>
  <c r="AQ410" i="5"/>
  <c r="BI20" i="5"/>
  <c r="BK20" i="5" s="1"/>
  <c r="Z130" i="4"/>
  <c r="AF130" i="4" s="1"/>
  <c r="AG130" i="4" s="1"/>
  <c r="AI130" i="4" s="1"/>
  <c r="BI410" i="5"/>
  <c r="BJ410" i="5" s="1"/>
  <c r="AQ29" i="5"/>
  <c r="AQ174" i="5"/>
  <c r="AQ70" i="5"/>
  <c r="AR149" i="5"/>
  <c r="BI344" i="5"/>
  <c r="BJ344" i="5" s="1"/>
  <c r="AR171" i="5"/>
  <c r="AQ305" i="5"/>
  <c r="AQ149" i="5"/>
  <c r="AQ483" i="5"/>
  <c r="AQ111" i="5"/>
  <c r="AQ395" i="5"/>
  <c r="AQ257" i="5"/>
  <c r="AQ161" i="5"/>
  <c r="BI192" i="5"/>
  <c r="BJ192" i="5" s="1"/>
  <c r="AR409" i="5"/>
  <c r="AR192" i="5"/>
  <c r="AR257" i="5"/>
  <c r="AQ220" i="5"/>
  <c r="BI516" i="5"/>
  <c r="BK516" i="5" s="1"/>
  <c r="AQ172" i="5"/>
  <c r="AR483" i="5"/>
  <c r="AR172" i="5"/>
  <c r="AQ223" i="5"/>
  <c r="AR32" i="5"/>
  <c r="AR277" i="5"/>
  <c r="BI32" i="5"/>
  <c r="BJ32" i="5" s="1"/>
  <c r="AR222" i="5"/>
  <c r="AR355" i="5"/>
  <c r="BI277" i="5"/>
  <c r="BJ277" i="5" s="1"/>
  <c r="AQ222" i="5"/>
  <c r="BI355" i="5"/>
  <c r="BJ355" i="5" s="1"/>
  <c r="BI389" i="5"/>
  <c r="BJ389" i="5" s="1"/>
  <c r="AR466" i="5"/>
  <c r="AR389" i="5"/>
  <c r="BI466" i="5"/>
  <c r="BJ466" i="5" s="1"/>
  <c r="AA130" i="4"/>
  <c r="AP130" i="4" s="1"/>
  <c r="BI515" i="5"/>
  <c r="BJ515" i="5" s="1"/>
  <c r="AR515" i="5"/>
  <c r="BI501" i="5"/>
  <c r="BK501" i="5" s="1"/>
  <c r="AQ282" i="5"/>
  <c r="BI471" i="5"/>
  <c r="BK471" i="5" s="1"/>
  <c r="BI64" i="5"/>
  <c r="BJ64" i="5" s="1"/>
  <c r="AR220" i="5"/>
  <c r="AR64" i="5"/>
  <c r="BI512" i="5"/>
  <c r="BJ512" i="5" s="1"/>
  <c r="AR48" i="5"/>
  <c r="AR231" i="5"/>
  <c r="AQ493" i="5"/>
  <c r="AR373" i="5"/>
  <c r="AQ52" i="5"/>
  <c r="BI231" i="5"/>
  <c r="BK231" i="5" s="1"/>
  <c r="BI224" i="5"/>
  <c r="BJ224" i="5" s="1"/>
  <c r="BI439" i="5"/>
  <c r="BK439" i="5" s="1"/>
  <c r="AQ373" i="5"/>
  <c r="AQ224" i="5"/>
  <c r="AR375" i="5"/>
  <c r="AR321" i="5"/>
  <c r="BI375" i="5"/>
  <c r="BJ375" i="5" s="1"/>
  <c r="BI321" i="5"/>
  <c r="BK321" i="5" s="1"/>
  <c r="AR475" i="5"/>
  <c r="BI475" i="5"/>
  <c r="BK475" i="5" s="1"/>
  <c r="AQ323" i="5"/>
  <c r="AQ518" i="5"/>
  <c r="AR202" i="5"/>
  <c r="AR331" i="5"/>
  <c r="AQ468" i="5"/>
  <c r="BI468" i="5"/>
  <c r="BK468" i="5" s="1"/>
  <c r="BI173" i="5"/>
  <c r="BK173" i="5" s="1"/>
  <c r="AQ471" i="5"/>
  <c r="AR177" i="5"/>
  <c r="AQ241" i="5"/>
  <c r="AR298" i="5"/>
  <c r="BI177" i="5"/>
  <c r="BK177" i="5" s="1"/>
  <c r="BI298" i="5"/>
  <c r="BK298" i="5" s="1"/>
  <c r="AQ43" i="5"/>
  <c r="BI478" i="5"/>
  <c r="BJ478" i="5" s="1"/>
  <c r="AQ212" i="5"/>
  <c r="AR478" i="5"/>
  <c r="AR541" i="5"/>
  <c r="AQ491" i="5"/>
  <c r="AQ541" i="5"/>
  <c r="BI43" i="5"/>
  <c r="BK43" i="5" s="1"/>
  <c r="BI21" i="5"/>
  <c r="BJ21" i="5" s="1"/>
  <c r="AQ21" i="5"/>
  <c r="AR268" i="5"/>
  <c r="AQ63" i="5"/>
  <c r="AR345" i="5"/>
  <c r="Z58" i="4"/>
  <c r="X58" i="4" s="1"/>
  <c r="AJ58" i="4" s="1"/>
  <c r="AR242" i="5"/>
  <c r="AR518" i="5"/>
  <c r="AQ331" i="5"/>
  <c r="AR323" i="5"/>
  <c r="AR379" i="5"/>
  <c r="AQ453" i="5"/>
  <c r="AR170" i="5"/>
  <c r="AR453" i="5"/>
  <c r="AR82" i="5"/>
  <c r="BI82" i="5"/>
  <c r="BK82" i="5" s="1"/>
  <c r="AR428" i="5"/>
  <c r="BI544" i="5"/>
  <c r="BJ544" i="5" s="1"/>
  <c r="BI428" i="5"/>
  <c r="BK428" i="5" s="1"/>
  <c r="BI442" i="5"/>
  <c r="BJ442" i="5" s="1"/>
  <c r="AQ442" i="5"/>
  <c r="AQ544" i="5"/>
  <c r="AR434" i="5"/>
  <c r="AR40" i="5"/>
  <c r="BI434" i="5"/>
  <c r="BK434" i="5" s="1"/>
  <c r="BI40" i="5"/>
  <c r="BK40" i="5" s="1"/>
  <c r="AR480" i="5"/>
  <c r="AR406" i="5"/>
  <c r="BI480" i="5"/>
  <c r="BK480" i="5" s="1"/>
  <c r="AQ406" i="5"/>
  <c r="BI365" i="5"/>
  <c r="BJ365" i="5" s="1"/>
  <c r="AQ365" i="5"/>
  <c r="AQ201" i="5"/>
  <c r="BI463" i="5"/>
  <c r="BK463" i="5" s="1"/>
  <c r="BI361" i="5"/>
  <c r="BJ361" i="5" s="1"/>
  <c r="AR361" i="5"/>
  <c r="AR166" i="5"/>
  <c r="AQ379" i="5"/>
  <c r="AQ170" i="5"/>
  <c r="AR431" i="5"/>
  <c r="AR339" i="5"/>
  <c r="AQ431" i="5"/>
  <c r="AQ339" i="5"/>
  <c r="BI391" i="5"/>
  <c r="BK391" i="5" s="1"/>
  <c r="AQ391" i="5"/>
  <c r="AQ521" i="5"/>
  <c r="BI521" i="5"/>
  <c r="BJ521" i="5" s="1"/>
  <c r="AR167" i="5"/>
  <c r="AR78" i="5"/>
  <c r="BI167" i="5"/>
  <c r="BJ167" i="5" s="1"/>
  <c r="AR501" i="5"/>
  <c r="AQ137" i="5"/>
  <c r="BI137" i="5"/>
  <c r="BK137" i="5" s="1"/>
  <c r="AQ414" i="5"/>
  <c r="BI414" i="5"/>
  <c r="BK414" i="5" s="1"/>
  <c r="AR449" i="5"/>
  <c r="BI449" i="5"/>
  <c r="BJ449" i="5" s="1"/>
  <c r="AR356" i="5"/>
  <c r="AQ263" i="5"/>
  <c r="AR330" i="5"/>
  <c r="BI336" i="5"/>
  <c r="BJ336" i="5" s="1"/>
  <c r="AQ345" i="5"/>
  <c r="AR336" i="5"/>
  <c r="BI52" i="5"/>
  <c r="BJ52" i="5" s="1"/>
  <c r="BI146" i="5"/>
  <c r="BJ146" i="5" s="1"/>
  <c r="AQ158" i="5"/>
  <c r="AR213" i="5"/>
  <c r="AQ279" i="5"/>
  <c r="BI213" i="5"/>
  <c r="BJ213" i="5" s="1"/>
  <c r="BI141" i="5"/>
  <c r="BK141" i="5" s="1"/>
  <c r="AR287" i="5"/>
  <c r="BI330" i="5"/>
  <c r="BJ330" i="5" s="1"/>
  <c r="AQ141" i="5"/>
  <c r="AA86" i="4"/>
  <c r="AP86" i="4" s="1"/>
  <c r="AQ467" i="5"/>
  <c r="BI287" i="5"/>
  <c r="BK287" i="5" s="1"/>
  <c r="AQ356" i="5"/>
  <c r="AR92" i="5"/>
  <c r="BI92" i="5"/>
  <c r="BK92" i="5" s="1"/>
  <c r="BI85" i="5"/>
  <c r="BK85" i="5" s="1"/>
  <c r="AQ163" i="5"/>
  <c r="Z86" i="4"/>
  <c r="AN86" i="4" s="1"/>
  <c r="BI108" i="5"/>
  <c r="BJ108" i="5" s="1"/>
  <c r="AQ229" i="5"/>
  <c r="AR367" i="5"/>
  <c r="BI292" i="5"/>
  <c r="BK292" i="5" s="1"/>
  <c r="BI367" i="5"/>
  <c r="BJ367" i="5" s="1"/>
  <c r="AR108" i="5"/>
  <c r="AR181" i="5"/>
  <c r="BI229" i="5"/>
  <c r="BK229" i="5" s="1"/>
  <c r="AR292" i="5"/>
  <c r="BI432" i="5"/>
  <c r="BK432" i="5" s="1"/>
  <c r="AQ476" i="5"/>
  <c r="BI181" i="5"/>
  <c r="BK181" i="5" s="1"/>
  <c r="AQ432" i="5"/>
  <c r="BI476" i="5"/>
  <c r="BK476" i="5" s="1"/>
  <c r="AQ214" i="5"/>
  <c r="AR304" i="5"/>
  <c r="AQ304" i="5"/>
  <c r="BI106" i="5"/>
  <c r="BJ106" i="5" s="1"/>
  <c r="AR106" i="5"/>
  <c r="AQ369" i="5"/>
  <c r="BI8" i="5"/>
  <c r="BJ8" i="5" s="1"/>
  <c r="AR401" i="5"/>
  <c r="AQ401" i="5"/>
  <c r="AR47" i="5"/>
  <c r="AQ244" i="5"/>
  <c r="BI162" i="5"/>
  <c r="BK162" i="5" s="1"/>
  <c r="BI261" i="5"/>
  <c r="BK261" i="5" s="1"/>
  <c r="AR8" i="5"/>
  <c r="AQ489" i="5"/>
  <c r="AQ429" i="5"/>
  <c r="BI71" i="5"/>
  <c r="BK71" i="5" s="1"/>
  <c r="BI421" i="5"/>
  <c r="BK421" i="5" s="1"/>
  <c r="AR489" i="5"/>
  <c r="AQ71" i="5"/>
  <c r="AR421" i="5"/>
  <c r="AR546" i="5"/>
  <c r="AR289" i="5"/>
  <c r="AQ289" i="5"/>
  <c r="BI487" i="5"/>
  <c r="BK487" i="5" s="1"/>
  <c r="AQ470" i="5"/>
  <c r="AQ487" i="5"/>
  <c r="AQ164" i="5"/>
  <c r="AR275" i="5"/>
  <c r="AR161" i="5"/>
  <c r="AR259" i="5"/>
  <c r="AR516" i="5"/>
  <c r="BI259" i="5"/>
  <c r="BK259" i="5" s="1"/>
  <c r="AR223" i="5"/>
  <c r="BI486" i="5"/>
  <c r="BJ486" i="5" s="1"/>
  <c r="AR557" i="5"/>
  <c r="AR454" i="5"/>
  <c r="AQ119" i="5"/>
  <c r="AQ486" i="5"/>
  <c r="BI557" i="5"/>
  <c r="BK557" i="5" s="1"/>
  <c r="BI76" i="5"/>
  <c r="BK76" i="5" s="1"/>
  <c r="AR119" i="5"/>
  <c r="BI402" i="5"/>
  <c r="BK402" i="5" s="1"/>
  <c r="AQ76" i="5"/>
  <c r="AR118" i="5"/>
  <c r="AR85" i="5"/>
  <c r="BI158" i="5"/>
  <c r="BK158" i="5" s="1"/>
  <c r="BI279" i="5"/>
  <c r="BK279" i="5" s="1"/>
  <c r="BI346" i="5"/>
  <c r="BK346" i="5" s="1"/>
  <c r="BI133" i="5"/>
  <c r="BK133" i="5" s="1"/>
  <c r="BI74" i="5"/>
  <c r="BJ74" i="5" s="1"/>
  <c r="BI303" i="5"/>
  <c r="BJ303" i="5" s="1"/>
  <c r="AQ133" i="5"/>
  <c r="AQ242" i="5"/>
  <c r="AQ74" i="5"/>
  <c r="AR27" i="5"/>
  <c r="AR491" i="5"/>
  <c r="BI214" i="5"/>
  <c r="BK214" i="5" s="1"/>
  <c r="AQ27" i="5"/>
  <c r="BI63" i="5"/>
  <c r="BJ63" i="5" s="1"/>
  <c r="BI268" i="5"/>
  <c r="BK268" i="5" s="1"/>
  <c r="AR481" i="5"/>
  <c r="BI481" i="5"/>
  <c r="BK481" i="5" s="1"/>
  <c r="BI212" i="5"/>
  <c r="BK212" i="5" s="1"/>
  <c r="AQ150" i="5"/>
  <c r="BI150" i="5"/>
  <c r="BJ150" i="5" s="1"/>
  <c r="AQ55" i="5"/>
  <c r="BI514" i="5"/>
  <c r="BJ514" i="5" s="1"/>
  <c r="AR55" i="5"/>
  <c r="AQ514" i="5"/>
  <c r="BI532" i="5"/>
  <c r="BJ532" i="5" s="1"/>
  <c r="BI42" i="5"/>
  <c r="BK42" i="5" s="1"/>
  <c r="AR532" i="5"/>
  <c r="AQ42" i="5"/>
  <c r="AQ12" i="5"/>
  <c r="BI194" i="5"/>
  <c r="BK194" i="5" s="1"/>
  <c r="AQ194" i="5"/>
  <c r="AQ179" i="5"/>
  <c r="AQ208" i="5"/>
  <c r="AQ88" i="5"/>
  <c r="BI201" i="5"/>
  <c r="BJ201" i="5" s="1"/>
  <c r="BI78" i="5"/>
  <c r="BJ78" i="5" s="1"/>
  <c r="AR403" i="5"/>
  <c r="AQ303" i="5"/>
  <c r="AQ403" i="5"/>
  <c r="AQ182" i="5"/>
  <c r="AR182" i="5"/>
  <c r="AQ326" i="5"/>
  <c r="BI24" i="5"/>
  <c r="BK24" i="5" s="1"/>
  <c r="AQ24" i="5"/>
  <c r="AR370" i="5"/>
  <c r="BI126" i="5"/>
  <c r="BJ126" i="5" s="1"/>
  <c r="BI203" i="5"/>
  <c r="BJ203" i="5" s="1"/>
  <c r="AR424" i="5"/>
  <c r="AR126" i="5"/>
  <c r="AR346" i="5"/>
  <c r="AR203" i="5"/>
  <c r="BI12" i="5"/>
  <c r="BJ12" i="5" s="1"/>
  <c r="AR513" i="5"/>
  <c r="AQ302" i="5"/>
  <c r="BI291" i="5"/>
  <c r="BJ291" i="5" s="1"/>
  <c r="AQ173" i="5"/>
  <c r="BI88" i="5"/>
  <c r="BJ88" i="5" s="1"/>
  <c r="BI376" i="5"/>
  <c r="BK376" i="5" s="1"/>
  <c r="AR477" i="5"/>
  <c r="AR376" i="5"/>
  <c r="AR10" i="5"/>
  <c r="BI326" i="5"/>
  <c r="BJ326" i="5" s="1"/>
  <c r="AQ536" i="5"/>
  <c r="BI536" i="5"/>
  <c r="BJ536" i="5" s="1"/>
  <c r="AQ333" i="5"/>
  <c r="BI318" i="5"/>
  <c r="BK318" i="5" s="1"/>
  <c r="BI443" i="5"/>
  <c r="BJ443" i="5" s="1"/>
  <c r="AQ553" i="5"/>
  <c r="BI374" i="5"/>
  <c r="BJ374" i="5" s="1"/>
  <c r="AR208" i="5"/>
  <c r="AA145" i="4"/>
  <c r="AP145" i="4" s="1"/>
  <c r="AQ374" i="5"/>
  <c r="AQ19" i="5"/>
  <c r="BI302" i="5"/>
  <c r="BJ302" i="5" s="1"/>
  <c r="AR342" i="5"/>
  <c r="BI342" i="5"/>
  <c r="BK342" i="5" s="1"/>
  <c r="AR380" i="5"/>
  <c r="AR329" i="5"/>
  <c r="AR510" i="5"/>
  <c r="BI380" i="5"/>
  <c r="BK380" i="5" s="1"/>
  <c r="BI329" i="5"/>
  <c r="BJ329" i="5" s="1"/>
  <c r="AR496" i="5"/>
  <c r="BI510" i="5"/>
  <c r="BK510" i="5" s="1"/>
  <c r="BI496" i="5"/>
  <c r="BK496" i="5" s="1"/>
  <c r="AQ205" i="5"/>
  <c r="BI205" i="5"/>
  <c r="BJ205" i="5" s="1"/>
  <c r="AQ511" i="5"/>
  <c r="BI136" i="5"/>
  <c r="BJ136" i="5" s="1"/>
  <c r="AR366" i="5"/>
  <c r="BI511" i="5"/>
  <c r="BJ511" i="5" s="1"/>
  <c r="AQ136" i="5"/>
  <c r="BI366" i="5"/>
  <c r="BJ366" i="5" s="1"/>
  <c r="AR436" i="5"/>
  <c r="AQ26" i="5"/>
  <c r="AR256" i="5"/>
  <c r="BI256" i="5"/>
  <c r="BK256" i="5" s="1"/>
  <c r="AA131" i="4"/>
  <c r="AP131" i="4" s="1"/>
  <c r="AQ436" i="5"/>
  <c r="AR490" i="5"/>
  <c r="AR26" i="5"/>
  <c r="AQ533" i="5"/>
  <c r="Z131" i="4"/>
  <c r="AK131" i="4" s="1"/>
  <c r="AL131" i="4" s="1"/>
  <c r="AR509" i="5"/>
  <c r="AR382" i="5"/>
  <c r="AQ490" i="5"/>
  <c r="BI533" i="5"/>
  <c r="BK533" i="5" s="1"/>
  <c r="BI28" i="5"/>
  <c r="BJ28" i="5" s="1"/>
  <c r="AQ509" i="5"/>
  <c r="BI382" i="5"/>
  <c r="BK382" i="5" s="1"/>
  <c r="AR168" i="5"/>
  <c r="AA123" i="4"/>
  <c r="AP123" i="4" s="1"/>
  <c r="AR122" i="5"/>
  <c r="AR28" i="5"/>
  <c r="AR412" i="5"/>
  <c r="BI525" i="5"/>
  <c r="BJ525" i="5" s="1"/>
  <c r="AQ122" i="5"/>
  <c r="AR553" i="5"/>
  <c r="AQ412" i="5"/>
  <c r="BI290" i="5"/>
  <c r="BK290" i="5" s="1"/>
  <c r="AR525" i="5"/>
  <c r="Z145" i="4"/>
  <c r="AF145" i="4" s="1"/>
  <c r="AG145" i="4" s="1"/>
  <c r="AI145" i="4" s="1"/>
  <c r="Z123" i="4"/>
  <c r="AK123" i="4" s="1"/>
  <c r="AL123" i="4" s="1"/>
  <c r="BI190" i="5"/>
  <c r="BK190" i="5" s="1"/>
  <c r="AQ190" i="5"/>
  <c r="BI276" i="5"/>
  <c r="BJ276" i="5" s="1"/>
  <c r="AR392" i="5"/>
  <c r="AR276" i="5"/>
  <c r="AR139" i="5"/>
  <c r="AQ139" i="5"/>
  <c r="BI441" i="5"/>
  <c r="BJ441" i="5" s="1"/>
  <c r="AR156" i="5"/>
  <c r="BI477" i="5"/>
  <c r="BK477" i="5" s="1"/>
  <c r="AQ318" i="5"/>
  <c r="AR296" i="5"/>
  <c r="AR517" i="5"/>
  <c r="BI400" i="5"/>
  <c r="BJ400" i="5" s="1"/>
  <c r="AR519" i="5"/>
  <c r="AR254" i="5"/>
  <c r="AQ390" i="5"/>
  <c r="AQ517" i="5"/>
  <c r="AQ319" i="5"/>
  <c r="AQ48" i="5"/>
  <c r="AQ60" i="5"/>
  <c r="BI493" i="5"/>
  <c r="BJ493" i="5" s="1"/>
  <c r="AQ400" i="5"/>
  <c r="AR512" i="5"/>
  <c r="AQ254" i="5"/>
  <c r="AR319" i="5"/>
  <c r="BI424" i="5"/>
  <c r="BJ424" i="5" s="1"/>
  <c r="BI60" i="5"/>
  <c r="BK60" i="5" s="1"/>
  <c r="AQ513" i="5"/>
  <c r="AR110" i="5"/>
  <c r="AQ348" i="5"/>
  <c r="AQ278" i="5"/>
  <c r="BI317" i="5"/>
  <c r="BK317" i="5" s="1"/>
  <c r="BI295" i="5"/>
  <c r="BK295" i="5" s="1"/>
  <c r="BI110" i="5"/>
  <c r="BJ110" i="5" s="1"/>
  <c r="BI348" i="5"/>
  <c r="BJ348" i="5" s="1"/>
  <c r="AQ322" i="5"/>
  <c r="AR317" i="5"/>
  <c r="AR460" i="5"/>
  <c r="AR295" i="5"/>
  <c r="AR207" i="5"/>
  <c r="AR191" i="5"/>
  <c r="AQ530" i="5"/>
  <c r="AA125" i="4"/>
  <c r="AC125" i="4" s="1"/>
  <c r="AD125" i="4" s="1"/>
  <c r="AQ207" i="5"/>
  <c r="BI191" i="5"/>
  <c r="BJ191" i="5" s="1"/>
  <c r="AR530" i="5"/>
  <c r="AQ301" i="5"/>
  <c r="BI537" i="5"/>
  <c r="BK537" i="5" s="1"/>
  <c r="AR441" i="5"/>
  <c r="BI83" i="5"/>
  <c r="BK83" i="5" s="1"/>
  <c r="BI301" i="5"/>
  <c r="BK301" i="5" s="1"/>
  <c r="AQ264" i="5"/>
  <c r="AQ537" i="5"/>
  <c r="AQ83" i="5"/>
  <c r="AQ234" i="5"/>
  <c r="BI405" i="5"/>
  <c r="BJ405" i="5" s="1"/>
  <c r="BI264" i="5"/>
  <c r="BK264" i="5" s="1"/>
  <c r="AQ233" i="5"/>
  <c r="AR234" i="5"/>
  <c r="AR364" i="5"/>
  <c r="AR435" i="5"/>
  <c r="AR420" i="5"/>
  <c r="AR309" i="5"/>
  <c r="AR405" i="5"/>
  <c r="BI233" i="5"/>
  <c r="BK233" i="5" s="1"/>
  <c r="BI495" i="5"/>
  <c r="BK495" i="5" s="1"/>
  <c r="AQ435" i="5"/>
  <c r="AQ420" i="5"/>
  <c r="Z109" i="4"/>
  <c r="AK109" i="4" s="1"/>
  <c r="AL109" i="4" s="1"/>
  <c r="AQ309" i="5"/>
  <c r="BI447" i="5"/>
  <c r="BK447" i="5" s="1"/>
  <c r="AR114" i="5"/>
  <c r="AR25" i="5"/>
  <c r="AQ495" i="5"/>
  <c r="AR447" i="5"/>
  <c r="AQ114" i="5"/>
  <c r="AR87" i="5"/>
  <c r="AR278" i="5"/>
  <c r="AQ430" i="5"/>
  <c r="BI542" i="5"/>
  <c r="BJ542" i="5" s="1"/>
  <c r="AQ271" i="5"/>
  <c r="BI25" i="5"/>
  <c r="BJ25" i="5" s="1"/>
  <c r="AR465" i="5"/>
  <c r="AR430" i="5"/>
  <c r="AQ542" i="5"/>
  <c r="AR271" i="5"/>
  <c r="BI238" i="5"/>
  <c r="BJ238" i="5" s="1"/>
  <c r="AQ87" i="5"/>
  <c r="BI460" i="5"/>
  <c r="BJ460" i="5" s="1"/>
  <c r="AQ465" i="5"/>
  <c r="AQ238" i="5"/>
  <c r="AQ283" i="5"/>
  <c r="AQ79" i="5"/>
  <c r="AQ370" i="5"/>
  <c r="BI390" i="5"/>
  <c r="BJ390" i="5" s="1"/>
  <c r="AR283" i="5"/>
  <c r="AR439" i="5"/>
  <c r="AR37" i="5"/>
  <c r="AQ519" i="5"/>
  <c r="BI163" i="5"/>
  <c r="BK163" i="5" s="1"/>
  <c r="AR147" i="5"/>
  <c r="BI37" i="5"/>
  <c r="BJ37" i="5" s="1"/>
  <c r="AR185" i="5"/>
  <c r="AQ503" i="5"/>
  <c r="AR36" i="5"/>
  <c r="AQ185" i="5"/>
  <c r="AR393" i="5"/>
  <c r="AR448" i="5"/>
  <c r="AQ145" i="5"/>
  <c r="BI322" i="5"/>
  <c r="BJ322" i="5" s="1"/>
  <c r="BI58" i="5"/>
  <c r="BK58" i="5" s="1"/>
  <c r="AR145" i="5"/>
  <c r="AR210" i="5"/>
  <c r="BI153" i="5"/>
  <c r="BK153" i="5" s="1"/>
  <c r="BI269" i="5"/>
  <c r="BJ269" i="5" s="1"/>
  <c r="BI492" i="5"/>
  <c r="BJ492" i="5" s="1"/>
  <c r="BI59" i="5"/>
  <c r="BJ59" i="5" s="1"/>
  <c r="BI349" i="5"/>
  <c r="BJ349" i="5" s="1"/>
  <c r="BI508" i="5"/>
  <c r="BJ508" i="5" s="1"/>
  <c r="AQ349" i="5"/>
  <c r="AR520" i="5"/>
  <c r="AR508" i="5"/>
  <c r="AQ273" i="5"/>
  <c r="BI498" i="5"/>
  <c r="BJ498" i="5" s="1"/>
  <c r="AR273" i="5"/>
  <c r="BI458" i="5"/>
  <c r="BK458" i="5" s="1"/>
  <c r="AA126" i="4"/>
  <c r="AP126" i="4" s="1"/>
  <c r="AR458" i="5"/>
  <c r="BI294" i="5"/>
  <c r="BJ294" i="5" s="1"/>
  <c r="AR469" i="5"/>
  <c r="AR129" i="5"/>
  <c r="AR294" i="5"/>
  <c r="AQ469" i="5"/>
  <c r="BI129" i="5"/>
  <c r="BK129" i="5" s="1"/>
  <c r="AR369" i="5"/>
  <c r="AR335" i="5"/>
  <c r="BI335" i="5"/>
  <c r="BJ335" i="5" s="1"/>
  <c r="AR507" i="5"/>
  <c r="AQ402" i="5"/>
  <c r="BI484" i="5"/>
  <c r="BK484" i="5" s="1"/>
  <c r="AQ65" i="5"/>
  <c r="AR484" i="5"/>
  <c r="BI65" i="5"/>
  <c r="BK65" i="5" s="1"/>
  <c r="AQ360" i="5"/>
  <c r="BI35" i="5"/>
  <c r="BJ35" i="5" s="1"/>
  <c r="Z148" i="4"/>
  <c r="AN148" i="4" s="1"/>
  <c r="BI300" i="5"/>
  <c r="BK300" i="5" s="1"/>
  <c r="AR196" i="5"/>
  <c r="Z126" i="4"/>
  <c r="AK126" i="4" s="1"/>
  <c r="AL126" i="4" s="1"/>
  <c r="BI360" i="5"/>
  <c r="BK360" i="5" s="1"/>
  <c r="BI393" i="5"/>
  <c r="BJ393" i="5" s="1"/>
  <c r="AQ35" i="5"/>
  <c r="AR204" i="5"/>
  <c r="AR300" i="5"/>
  <c r="AQ196" i="5"/>
  <c r="AQ66" i="5"/>
  <c r="BI459" i="5"/>
  <c r="BJ459" i="5" s="1"/>
  <c r="AR395" i="5"/>
  <c r="BI503" i="5"/>
  <c r="BJ503" i="5" s="1"/>
  <c r="AR450" i="5"/>
  <c r="AR459" i="5"/>
  <c r="AQ56" i="5"/>
  <c r="AQ364" i="5"/>
  <c r="AR506" i="5"/>
  <c r="BI555" i="5"/>
  <c r="BK555" i="5" s="1"/>
  <c r="AQ123" i="5"/>
  <c r="AQ320" i="5"/>
  <c r="BI180" i="5"/>
  <c r="BJ180" i="5" s="1"/>
  <c r="AQ147" i="5"/>
  <c r="AR498" i="5"/>
  <c r="AR123" i="5"/>
  <c r="AR320" i="5"/>
  <c r="AQ245" i="5"/>
  <c r="AQ45" i="5"/>
  <c r="AQ538" i="5"/>
  <c r="AQ180" i="5"/>
  <c r="AR245" i="5"/>
  <c r="AR134" i="5"/>
  <c r="AR538" i="5"/>
  <c r="BI56" i="5"/>
  <c r="BK56" i="5" s="1"/>
  <c r="AR451" i="5"/>
  <c r="BI310" i="5"/>
  <c r="BK310" i="5" s="1"/>
  <c r="BI506" i="5"/>
  <c r="BJ506" i="5" s="1"/>
  <c r="AQ69" i="5"/>
  <c r="BI427" i="5"/>
  <c r="BJ427" i="5" s="1"/>
  <c r="BI488" i="5"/>
  <c r="BJ488" i="5" s="1"/>
  <c r="AQ451" i="5"/>
  <c r="AR310" i="5"/>
  <c r="BI69" i="5"/>
  <c r="BJ69" i="5" s="1"/>
  <c r="AR67" i="5"/>
  <c r="AQ134" i="5"/>
  <c r="AQ86" i="5"/>
  <c r="AQ422" i="5"/>
  <c r="BI34" i="5"/>
  <c r="BK34" i="5" s="1"/>
  <c r="AQ488" i="5"/>
  <c r="AR427" i="5"/>
  <c r="AA154" i="4"/>
  <c r="AC154" i="4" s="1"/>
  <c r="AD154" i="4" s="1"/>
  <c r="AQ354" i="5"/>
  <c r="BI67" i="5"/>
  <c r="BK67" i="5" s="1"/>
  <c r="AR383" i="5"/>
  <c r="AQ81" i="5"/>
  <c r="BI378" i="5"/>
  <c r="BK378" i="5" s="1"/>
  <c r="AQ41" i="5"/>
  <c r="AR422" i="5"/>
  <c r="BI296" i="5"/>
  <c r="BJ296" i="5" s="1"/>
  <c r="AR34" i="5"/>
  <c r="AQ550" i="5"/>
  <c r="BI62" i="5"/>
  <c r="BJ62" i="5" s="1"/>
  <c r="Z154" i="4"/>
  <c r="AK154" i="4" s="1"/>
  <c r="AL154" i="4" s="1"/>
  <c r="BI354" i="5"/>
  <c r="BK354" i="5" s="1"/>
  <c r="BI413" i="5"/>
  <c r="BK413" i="5" s="1"/>
  <c r="AQ384" i="5"/>
  <c r="AQ383" i="5"/>
  <c r="AQ44" i="5"/>
  <c r="AR81" i="5"/>
  <c r="AR107" i="5"/>
  <c r="BI251" i="5"/>
  <c r="BK251" i="5" s="1"/>
  <c r="AQ332" i="5"/>
  <c r="AQ555" i="5"/>
  <c r="AR550" i="5"/>
  <c r="AQ62" i="5"/>
  <c r="AQ413" i="5"/>
  <c r="AR384" i="5"/>
  <c r="BI455" i="5"/>
  <c r="BJ455" i="5" s="1"/>
  <c r="AQ251" i="5"/>
  <c r="AQ534" i="5"/>
  <c r="AQ99" i="5"/>
  <c r="AR387" i="5"/>
  <c r="AQ221" i="5"/>
  <c r="BI357" i="5"/>
  <c r="BJ357" i="5" s="1"/>
  <c r="AQ357" i="5"/>
  <c r="AQ520" i="5"/>
  <c r="AQ269" i="5"/>
  <c r="AQ200" i="5"/>
  <c r="BI155" i="5"/>
  <c r="BK155" i="5" s="1"/>
  <c r="AQ36" i="5"/>
  <c r="BI157" i="5"/>
  <c r="BK157" i="5" s="1"/>
  <c r="BI232" i="5"/>
  <c r="BJ232" i="5" s="1"/>
  <c r="AR455" i="5"/>
  <c r="AR534" i="5"/>
  <c r="BI99" i="5"/>
  <c r="BK99" i="5" s="1"/>
  <c r="BI387" i="5"/>
  <c r="BJ387" i="5" s="1"/>
  <c r="AR155" i="5"/>
  <c r="AQ157" i="5"/>
  <c r="AR232" i="5"/>
  <c r="BI507" i="5"/>
  <c r="BK507" i="5" s="1"/>
  <c r="BI450" i="5"/>
  <c r="BK450" i="5" s="1"/>
  <c r="BI44" i="5"/>
  <c r="BK44" i="5" s="1"/>
  <c r="BI332" i="5"/>
  <c r="BK332" i="5" s="1"/>
  <c r="AQ492" i="5"/>
  <c r="AQ162" i="5"/>
  <c r="AR41" i="5"/>
  <c r="AQ552" i="5"/>
  <c r="BI263" i="5"/>
  <c r="BJ263" i="5" s="1"/>
  <c r="AQ204" i="5"/>
  <c r="AQ378" i="5"/>
  <c r="AQ113" i="5"/>
  <c r="BI266" i="5"/>
  <c r="BK266" i="5" s="1"/>
  <c r="AR291" i="5"/>
  <c r="BI86" i="5"/>
  <c r="BJ86" i="5" s="1"/>
  <c r="AQ315" i="5"/>
  <c r="AQ95" i="5"/>
  <c r="AQ118" i="5"/>
  <c r="BI325" i="5"/>
  <c r="BK325" i="5" s="1"/>
  <c r="BI75" i="5"/>
  <c r="BK75" i="5" s="1"/>
  <c r="BI552" i="5"/>
  <c r="BJ552" i="5" s="1"/>
  <c r="AR211" i="5"/>
  <c r="AR113" i="5"/>
  <c r="AQ266" i="5"/>
  <c r="AQ199" i="5"/>
  <c r="AQ120" i="5"/>
  <c r="BI95" i="5"/>
  <c r="BJ95" i="5" s="1"/>
  <c r="AR325" i="5"/>
  <c r="AR426" i="5"/>
  <c r="AR75" i="5"/>
  <c r="AQ211" i="5"/>
  <c r="BI426" i="5"/>
  <c r="BK426" i="5" s="1"/>
  <c r="AQ404" i="5"/>
  <c r="AQ258" i="5"/>
  <c r="AR22" i="5"/>
  <c r="BI100" i="5"/>
  <c r="BK100" i="5" s="1"/>
  <c r="BI540" i="5"/>
  <c r="BK540" i="5" s="1"/>
  <c r="BI50" i="5"/>
  <c r="BK50" i="5" s="1"/>
  <c r="BI144" i="5"/>
  <c r="BJ144" i="5" s="1"/>
  <c r="BI404" i="5"/>
  <c r="BK404" i="5" s="1"/>
  <c r="BI258" i="5"/>
  <c r="BK258" i="5" s="1"/>
  <c r="AQ22" i="5"/>
  <c r="AQ100" i="5"/>
  <c r="AQ540" i="5"/>
  <c r="AR50" i="5"/>
  <c r="AQ215" i="5"/>
  <c r="AQ144" i="5"/>
  <c r="AQ293" i="5"/>
  <c r="AR226" i="5"/>
  <c r="AR215" i="5"/>
  <c r="AQ175" i="5"/>
  <c r="BI293" i="5"/>
  <c r="BK293" i="5" s="1"/>
  <c r="AQ297" i="5"/>
  <c r="AR175" i="5"/>
  <c r="AQ527" i="5"/>
  <c r="AQ93" i="5"/>
  <c r="AR388" i="5"/>
  <c r="BI51" i="5"/>
  <c r="BJ51" i="5" s="1"/>
  <c r="BI297" i="5"/>
  <c r="BK297" i="5" s="1"/>
  <c r="BI197" i="5"/>
  <c r="BK197" i="5" s="1"/>
  <c r="AR130" i="5"/>
  <c r="BI115" i="5"/>
  <c r="BK115" i="5" s="1"/>
  <c r="BI527" i="5"/>
  <c r="BJ527" i="5" s="1"/>
  <c r="BI93" i="5"/>
  <c r="BK93" i="5" s="1"/>
  <c r="AR51" i="5"/>
  <c r="AR197" i="5"/>
  <c r="AQ91" i="5"/>
  <c r="AQ115" i="5"/>
  <c r="AR189" i="5"/>
  <c r="BI388" i="5"/>
  <c r="BJ388" i="5" s="1"/>
  <c r="AQ152" i="5"/>
  <c r="BI265" i="5"/>
  <c r="BJ265" i="5" s="1"/>
  <c r="AR548" i="5"/>
  <c r="AR334" i="5"/>
  <c r="BI152" i="5"/>
  <c r="BJ152" i="5" s="1"/>
  <c r="AQ165" i="5"/>
  <c r="AR206" i="5"/>
  <c r="BI91" i="5"/>
  <c r="BJ91" i="5" s="1"/>
  <c r="AR396" i="5"/>
  <c r="BI168" i="5"/>
  <c r="BK168" i="5" s="1"/>
  <c r="AQ334" i="5"/>
  <c r="AQ206" i="5"/>
  <c r="AR470" i="5"/>
  <c r="AR59" i="5"/>
  <c r="AR265" i="5"/>
  <c r="BI548" i="5"/>
  <c r="BJ548" i="5" s="1"/>
  <c r="AR165" i="5"/>
  <c r="AR45" i="5"/>
  <c r="AR58" i="5"/>
  <c r="BI218" i="5"/>
  <c r="BK218" i="5" s="1"/>
  <c r="Z73" i="4"/>
  <c r="AK73" i="4" s="1"/>
  <c r="AL73" i="4" s="1"/>
  <c r="AA73" i="4"/>
  <c r="AQ73" i="4" s="1"/>
  <c r="Z92" i="4"/>
  <c r="AK92" i="4" s="1"/>
  <c r="AL92" i="4" s="1"/>
  <c r="Z56" i="4"/>
  <c r="X56" i="4" s="1"/>
  <c r="AK56" i="4" s="1"/>
  <c r="AL56" i="4" s="1"/>
  <c r="AA127" i="4"/>
  <c r="AC127" i="4" s="1"/>
  <c r="AD127" i="4" s="1"/>
  <c r="Z151" i="4"/>
  <c r="AN151" i="4" s="1"/>
  <c r="AR94" i="5"/>
  <c r="AQ94" i="5"/>
  <c r="BI523" i="5"/>
  <c r="BJ523" i="5" s="1"/>
  <c r="AR437" i="5"/>
  <c r="AQ523" i="5"/>
  <c r="AR307" i="5"/>
  <c r="BI437" i="5"/>
  <c r="BJ437" i="5" s="1"/>
  <c r="AQ307" i="5"/>
  <c r="AQ505" i="5"/>
  <c r="BI505" i="5"/>
  <c r="BJ505" i="5" s="1"/>
  <c r="AQ290" i="5"/>
  <c r="AR199" i="5"/>
  <c r="AR247" i="5"/>
  <c r="AJ43" i="4"/>
  <c r="AA43" i="4"/>
  <c r="AP43" i="4" s="1"/>
  <c r="AA58" i="4"/>
  <c r="AQ58" i="4" s="1"/>
  <c r="AA46" i="4"/>
  <c r="AQ46" i="4" s="1"/>
  <c r="AJ46" i="4"/>
  <c r="AA49" i="4"/>
  <c r="AP49" i="4" s="1"/>
  <c r="AA56" i="4"/>
  <c r="AQ56" i="4" s="1"/>
  <c r="AJ51" i="4"/>
  <c r="AA51" i="4"/>
  <c r="AQ51" i="4" s="1"/>
  <c r="AJ48" i="4"/>
  <c r="AA48" i="4"/>
  <c r="AP48" i="4" s="1"/>
  <c r="AA39" i="4"/>
  <c r="AQ39" i="4" s="1"/>
  <c r="AJ39" i="4"/>
  <c r="AA52" i="4"/>
  <c r="AP52" i="4" s="1"/>
  <c r="AJ52" i="4"/>
  <c r="AR221" i="5"/>
  <c r="AR121" i="5"/>
  <c r="AQ340" i="5"/>
  <c r="AQ313" i="5"/>
  <c r="X64" i="4"/>
  <c r="AJ64" i="4" s="1"/>
  <c r="AQ443" i="5"/>
  <c r="AQ53" i="5"/>
  <c r="BI130" i="5"/>
  <c r="BK130" i="5" s="1"/>
  <c r="AR347" i="5"/>
  <c r="AR313" i="5"/>
  <c r="BI53" i="5"/>
  <c r="BK53" i="5" s="1"/>
  <c r="BI347" i="5"/>
  <c r="BJ347" i="5" s="1"/>
  <c r="AQ189" i="5"/>
  <c r="BI109" i="5"/>
  <c r="BJ109" i="5" s="1"/>
  <c r="AQ554" i="5"/>
  <c r="X42" i="4"/>
  <c r="AJ42" i="4" s="1"/>
  <c r="AA53" i="4"/>
  <c r="AP53" i="4" s="1"/>
  <c r="AQ109" i="5"/>
  <c r="BI554" i="5"/>
  <c r="BJ554" i="5" s="1"/>
  <c r="X45" i="4"/>
  <c r="AJ45" i="4" s="1"/>
  <c r="X49" i="4"/>
  <c r="AJ49" i="4" s="1"/>
  <c r="AQ522" i="5"/>
  <c r="AR522" i="5"/>
  <c r="AR240" i="5"/>
  <c r="AR314" i="5"/>
  <c r="AQ337" i="5"/>
  <c r="AQ240" i="5"/>
  <c r="AA44" i="4"/>
  <c r="AQ44" i="4" s="1"/>
  <c r="BI314" i="5"/>
  <c r="BJ314" i="5" s="1"/>
  <c r="AR350" i="5"/>
  <c r="AQ102" i="5"/>
  <c r="AR440" i="5"/>
  <c r="AQ381" i="5"/>
  <c r="AQ142" i="5"/>
  <c r="BI350" i="5"/>
  <c r="BJ350" i="5" s="1"/>
  <c r="AR102" i="5"/>
  <c r="X40" i="4"/>
  <c r="AJ40" i="4" s="1"/>
  <c r="AR371" i="5"/>
  <c r="AR381" i="5"/>
  <c r="BI464" i="5"/>
  <c r="BJ464" i="5" s="1"/>
  <c r="BI142" i="5"/>
  <c r="BK142" i="5" s="1"/>
  <c r="BI371" i="5"/>
  <c r="BJ371" i="5" s="1"/>
  <c r="AA41" i="4"/>
  <c r="AQ41" i="4" s="1"/>
  <c r="AQ464" i="5"/>
  <c r="BI454" i="5"/>
  <c r="BJ454" i="5" s="1"/>
  <c r="AQ97" i="5"/>
  <c r="AR169" i="5"/>
  <c r="AQ457" i="5"/>
  <c r="BI97" i="5"/>
  <c r="BK97" i="5" s="1"/>
  <c r="X50" i="4"/>
  <c r="AJ50" i="4" s="1"/>
  <c r="AQ558" i="5"/>
  <c r="BI248" i="5"/>
  <c r="BJ248" i="5" s="1"/>
  <c r="AQ169" i="5"/>
  <c r="BI457" i="5"/>
  <c r="BJ457" i="5" s="1"/>
  <c r="AR312" i="5"/>
  <c r="AR57" i="5"/>
  <c r="AR104" i="5"/>
  <c r="AR558" i="5"/>
  <c r="BI398" i="5"/>
  <c r="BJ398" i="5" s="1"/>
  <c r="AQ248" i="5"/>
  <c r="BI308" i="5"/>
  <c r="BK308" i="5" s="1"/>
  <c r="BI312" i="5"/>
  <c r="BJ312" i="5" s="1"/>
  <c r="BI198" i="5"/>
  <c r="BJ198" i="5" s="1"/>
  <c r="BI104" i="5"/>
  <c r="BJ104" i="5" s="1"/>
  <c r="AR398" i="5"/>
  <c r="AQ409" i="5"/>
  <c r="BI210" i="5"/>
  <c r="BK210" i="5" s="1"/>
  <c r="AQ308" i="5"/>
  <c r="AR351" i="5"/>
  <c r="BI120" i="5"/>
  <c r="BJ120" i="5" s="1"/>
  <c r="AR198" i="5"/>
  <c r="AR66" i="5"/>
  <c r="BI351" i="5"/>
  <c r="BJ351" i="5" s="1"/>
  <c r="AJ37" i="4"/>
  <c r="AA37" i="4"/>
  <c r="AC37" i="4" s="1"/>
  <c r="AD37" i="4" s="1"/>
  <c r="AJ31" i="4"/>
  <c r="AA31" i="4"/>
  <c r="AQ31" i="4" s="1"/>
  <c r="AA36" i="4"/>
  <c r="AQ36" i="4" s="1"/>
  <c r="AJ27" i="4"/>
  <c r="AA27" i="4"/>
  <c r="AP27" i="4" s="1"/>
  <c r="AJ28" i="4"/>
  <c r="AA28" i="4"/>
  <c r="AQ28" i="4" s="1"/>
  <c r="AA33" i="4"/>
  <c r="AP33" i="4" s="1"/>
  <c r="AJ33" i="4"/>
  <c r="AJ35" i="4"/>
  <c r="AA35" i="4"/>
  <c r="AP35" i="4" s="1"/>
  <c r="AJ34" i="4"/>
  <c r="AA34" i="4"/>
  <c r="AQ34" i="4" s="1"/>
  <c r="AJ29" i="4"/>
  <c r="AA29" i="4"/>
  <c r="AC29" i="4" s="1"/>
  <c r="AD29" i="4" s="1"/>
  <c r="AJ30" i="4"/>
  <c r="AA30" i="4"/>
  <c r="AP30" i="4" s="1"/>
  <c r="X36" i="4"/>
  <c r="AJ36" i="4" s="1"/>
  <c r="AQ107" i="5"/>
  <c r="BI448" i="5"/>
  <c r="BK448" i="5" s="1"/>
  <c r="AQ408" i="5"/>
  <c r="BI125" i="5"/>
  <c r="BK125" i="5" s="1"/>
  <c r="AR408" i="5"/>
  <c r="AR125" i="5"/>
  <c r="BI327" i="5"/>
  <c r="BK327" i="5" s="1"/>
  <c r="AR327" i="5"/>
  <c r="BI362" i="5"/>
  <c r="BK362" i="5" s="1"/>
  <c r="AR362" i="5"/>
  <c r="X26" i="4"/>
  <c r="AJ26" i="4" s="1"/>
  <c r="BI188" i="5"/>
  <c r="BJ188" i="5" s="1"/>
  <c r="X32" i="4"/>
  <c r="AJ32" i="4" s="1"/>
  <c r="BI116" i="5"/>
  <c r="BJ116" i="5" s="1"/>
  <c r="AQ188" i="5"/>
  <c r="BI179" i="5"/>
  <c r="BJ179" i="5" s="1"/>
  <c r="AR543" i="5"/>
  <c r="AR328" i="5"/>
  <c r="BI543" i="5"/>
  <c r="BJ543" i="5" s="1"/>
  <c r="BI328" i="5"/>
  <c r="BJ328" i="5" s="1"/>
  <c r="AR249" i="5"/>
  <c r="BI226" i="5"/>
  <c r="BJ226" i="5" s="1"/>
  <c r="AQ463" i="5"/>
  <c r="AQ392" i="5"/>
  <c r="BI249" i="5"/>
  <c r="BK249" i="5" s="1"/>
  <c r="AQ316" i="5"/>
  <c r="BI79" i="5"/>
  <c r="BK79" i="5" s="1"/>
  <c r="AR333" i="5"/>
  <c r="BI7" i="5"/>
  <c r="BJ7" i="5" s="1"/>
  <c r="AQ425" i="5"/>
  <c r="AR385" i="5"/>
  <c r="AQ479" i="5"/>
  <c r="AR236" i="5"/>
  <c r="BI423" i="5"/>
  <c r="BK423" i="5" s="1"/>
  <c r="BI551" i="5"/>
  <c r="BJ551" i="5" s="1"/>
  <c r="AQ61" i="5"/>
  <c r="BI280" i="5"/>
  <c r="BK280" i="5" s="1"/>
  <c r="AA76" i="4"/>
  <c r="AQ76" i="4" s="1"/>
  <c r="AR30" i="5"/>
  <c r="AR479" i="5"/>
  <c r="BI166" i="5"/>
  <c r="BK166" i="5" s="1"/>
  <c r="AQ236" i="5"/>
  <c r="AQ551" i="5"/>
  <c r="AR280" i="5"/>
  <c r="BI315" i="5"/>
  <c r="BJ315" i="5" s="1"/>
  <c r="AQ121" i="5"/>
  <c r="AQ57" i="5"/>
  <c r="AR38" i="5"/>
  <c r="AQ440" i="5"/>
  <c r="BI89" i="5"/>
  <c r="BJ89" i="5" s="1"/>
  <c r="AQ474" i="5"/>
  <c r="BI341" i="5"/>
  <c r="BJ341" i="5" s="1"/>
  <c r="AQ38" i="5"/>
  <c r="AQ89" i="5"/>
  <c r="BI474" i="5"/>
  <c r="BJ474" i="5" s="1"/>
  <c r="AR531" i="5"/>
  <c r="AR341" i="5"/>
  <c r="BI531" i="5"/>
  <c r="BJ531" i="5" s="1"/>
  <c r="AQ494" i="5"/>
  <c r="BI255" i="5"/>
  <c r="BK255" i="5" s="1"/>
  <c r="AR494" i="5"/>
  <c r="AR425" i="5"/>
  <c r="AR255" i="5"/>
  <c r="AR549" i="5"/>
  <c r="AR547" i="5"/>
  <c r="BI539" i="5"/>
  <c r="BJ539" i="5" s="1"/>
  <c r="BI72" i="5"/>
  <c r="BJ72" i="5" s="1"/>
  <c r="AQ549" i="5"/>
  <c r="AQ547" i="5"/>
  <c r="AQ539" i="5"/>
  <c r="BI433" i="5"/>
  <c r="BJ433" i="5" s="1"/>
  <c r="AR72" i="5"/>
  <c r="AR316" i="5"/>
  <c r="AQ30" i="5"/>
  <c r="AQ433" i="5"/>
  <c r="BI187" i="5"/>
  <c r="BJ187" i="5" s="1"/>
  <c r="AR195" i="5"/>
  <c r="AR90" i="5"/>
  <c r="AR353" i="5"/>
  <c r="AQ187" i="5"/>
  <c r="AR311" i="5"/>
  <c r="AQ116" i="5"/>
  <c r="AQ195" i="5"/>
  <c r="BI90" i="5"/>
  <c r="BJ90" i="5" s="1"/>
  <c r="BI299" i="5"/>
  <c r="BK299" i="5" s="1"/>
  <c r="BI353" i="5"/>
  <c r="BJ353" i="5" s="1"/>
  <c r="AQ225" i="5"/>
  <c r="AQ359" i="5"/>
  <c r="BI311" i="5"/>
  <c r="BK311" i="5" s="1"/>
  <c r="AQ156" i="5"/>
  <c r="AR377" i="5"/>
  <c r="AQ299" i="5"/>
  <c r="AQ262" i="5"/>
  <c r="AQ502" i="5"/>
  <c r="BI225" i="5"/>
  <c r="BJ225" i="5" s="1"/>
  <c r="BI359" i="5"/>
  <c r="BK359" i="5" s="1"/>
  <c r="BI288" i="5"/>
  <c r="BK288" i="5" s="1"/>
  <c r="BI377" i="5"/>
  <c r="BK377" i="5" s="1"/>
  <c r="AR461" i="5"/>
  <c r="AR262" i="5"/>
  <c r="AR46" i="5"/>
  <c r="BI502" i="5"/>
  <c r="BJ502" i="5" s="1"/>
  <c r="AQ556" i="5"/>
  <c r="AR288" i="5"/>
  <c r="AR337" i="5"/>
  <c r="BI247" i="5"/>
  <c r="BJ247" i="5" s="1"/>
  <c r="BI461" i="5"/>
  <c r="BJ461" i="5" s="1"/>
  <c r="AQ385" i="5"/>
  <c r="AQ46" i="5"/>
  <c r="AQ423" i="5"/>
  <c r="BI556" i="5"/>
  <c r="BK556" i="5" s="1"/>
  <c r="AR61" i="5"/>
  <c r="BI396" i="5"/>
  <c r="BJ396" i="5" s="1"/>
  <c r="Z55" i="4"/>
  <c r="AQ10" i="5"/>
  <c r="Z54" i="4"/>
  <c r="Z105" i="4"/>
  <c r="AK105" i="4" s="1"/>
  <c r="AL105" i="4" s="1"/>
  <c r="AA151" i="4"/>
  <c r="AQ151" i="4" s="1"/>
  <c r="AA105" i="4"/>
  <c r="AQ105" i="4" s="1"/>
  <c r="Z142" i="4"/>
  <c r="AN142" i="4" s="1"/>
  <c r="AA148" i="4"/>
  <c r="AP148" i="4" s="1"/>
  <c r="AA142" i="4"/>
  <c r="AP142" i="4" s="1"/>
  <c r="Z78" i="4"/>
  <c r="AK78" i="4" s="1"/>
  <c r="AL78" i="4" s="1"/>
  <c r="AA85" i="4"/>
  <c r="AP85" i="4" s="1"/>
  <c r="AA129" i="4"/>
  <c r="AC129" i="4" s="1"/>
  <c r="AD129" i="4" s="1"/>
  <c r="Z85" i="4"/>
  <c r="AN85" i="4" s="1"/>
  <c r="Z129" i="4"/>
  <c r="AN129" i="4" s="1"/>
  <c r="AA114" i="4"/>
  <c r="AC114" i="4" s="1"/>
  <c r="AD114" i="4" s="1"/>
  <c r="Z63" i="4"/>
  <c r="AN63" i="4" s="1"/>
  <c r="Z114" i="4"/>
  <c r="AK114" i="4" s="1"/>
  <c r="AL114" i="4" s="1"/>
  <c r="AA78" i="4"/>
  <c r="AQ78" i="4" s="1"/>
  <c r="Z134" i="4"/>
  <c r="AK134" i="4" s="1"/>
  <c r="AL134" i="4" s="1"/>
  <c r="AA117" i="4"/>
  <c r="AQ117" i="4" s="1"/>
  <c r="Z61" i="4"/>
  <c r="AA134" i="4"/>
  <c r="AP134" i="4" s="1"/>
  <c r="Z152" i="4"/>
  <c r="AN152" i="4" s="1"/>
  <c r="AA152" i="4"/>
  <c r="AP152" i="4" s="1"/>
  <c r="Z101" i="4"/>
  <c r="AF101" i="4" s="1"/>
  <c r="AG101" i="4" s="1"/>
  <c r="AI101" i="4" s="1"/>
  <c r="AA149" i="4"/>
  <c r="AQ149" i="4" s="1"/>
  <c r="AA155" i="4"/>
  <c r="AP155" i="4" s="1"/>
  <c r="Z133" i="4"/>
  <c r="AN133" i="4" s="1"/>
  <c r="Z69" i="4"/>
  <c r="AK69" i="4" s="1"/>
  <c r="AL69" i="4" s="1"/>
  <c r="Z95" i="4"/>
  <c r="AN95" i="4" s="1"/>
  <c r="Z110" i="4"/>
  <c r="AN110" i="4" s="1"/>
  <c r="AA97" i="4"/>
  <c r="AP97" i="4" s="1"/>
  <c r="Z111" i="4"/>
  <c r="AK111" i="4" s="1"/>
  <c r="AL111" i="4" s="1"/>
  <c r="AA113" i="4"/>
  <c r="AQ113" i="4" s="1"/>
  <c r="Z106" i="4"/>
  <c r="AN106" i="4" s="1"/>
  <c r="AA95" i="4"/>
  <c r="AQ95" i="4" s="1"/>
  <c r="Z65" i="4"/>
  <c r="AA112" i="4"/>
  <c r="AC112" i="4" s="1"/>
  <c r="AD112" i="4" s="1"/>
  <c r="AA110" i="4"/>
  <c r="AQ110" i="4" s="1"/>
  <c r="Z113" i="4"/>
  <c r="AK113" i="4" s="1"/>
  <c r="AL113" i="4" s="1"/>
  <c r="AA135" i="4"/>
  <c r="AC135" i="4" s="1"/>
  <c r="AD135" i="4" s="1"/>
  <c r="AA106" i="4"/>
  <c r="AC106" i="4" s="1"/>
  <c r="AD106" i="4" s="1"/>
  <c r="AA111" i="4"/>
  <c r="AP111" i="4" s="1"/>
  <c r="Z59" i="4"/>
  <c r="Z112" i="4"/>
  <c r="AK112" i="4" s="1"/>
  <c r="AL112" i="4" s="1"/>
  <c r="Z117" i="4"/>
  <c r="AK117" i="4" s="1"/>
  <c r="AL117" i="4" s="1"/>
  <c r="Z135" i="4"/>
  <c r="AN135" i="4" s="1"/>
  <c r="Z57" i="4"/>
  <c r="AA141" i="4"/>
  <c r="AQ141" i="4" s="1"/>
  <c r="AA156" i="4"/>
  <c r="AQ156" i="4" s="1"/>
  <c r="AA92" i="4"/>
  <c r="AQ92" i="4" s="1"/>
  <c r="AA79" i="4"/>
  <c r="AP79" i="4" s="1"/>
  <c r="Z94" i="4"/>
  <c r="AF94" i="4" s="1"/>
  <c r="AG94" i="4" s="1"/>
  <c r="AI94" i="4" s="1"/>
  <c r="Z140" i="4"/>
  <c r="AK140" i="4" s="1"/>
  <c r="AL140" i="4" s="1"/>
  <c r="AA108" i="4"/>
  <c r="AC108" i="4" s="1"/>
  <c r="AD108" i="4" s="1"/>
  <c r="Z137" i="4"/>
  <c r="AF137" i="4" s="1"/>
  <c r="AG137" i="4" s="1"/>
  <c r="AI137" i="4" s="1"/>
  <c r="Z141" i="4"/>
  <c r="AN141" i="4" s="1"/>
  <c r="Z90" i="4"/>
  <c r="AF90" i="4" s="1"/>
  <c r="AG90" i="4" s="1"/>
  <c r="AI90" i="4" s="1"/>
  <c r="Z67" i="4"/>
  <c r="AK67" i="4" s="1"/>
  <c r="AL67" i="4" s="1"/>
  <c r="AA137" i="4"/>
  <c r="AP137" i="4" s="1"/>
  <c r="Z156" i="4"/>
  <c r="AK156" i="4" s="1"/>
  <c r="AL156" i="4" s="1"/>
  <c r="AA94" i="4"/>
  <c r="AQ94" i="4" s="1"/>
  <c r="Z102" i="4"/>
  <c r="AN102" i="4" s="1"/>
  <c r="AA140" i="4"/>
  <c r="AC140" i="4" s="1"/>
  <c r="AD140" i="4" s="1"/>
  <c r="Z118" i="4"/>
  <c r="AK118" i="4" s="1"/>
  <c r="AL118" i="4" s="1"/>
  <c r="Z77" i="4"/>
  <c r="AN77" i="4" s="1"/>
  <c r="Z60" i="4"/>
  <c r="AA109" i="4"/>
  <c r="AP109" i="4" s="1"/>
  <c r="Z108" i="4"/>
  <c r="AK108" i="4" s="1"/>
  <c r="AL108" i="4" s="1"/>
  <c r="Z93" i="4"/>
  <c r="AN93" i="4" s="1"/>
  <c r="AA102" i="4"/>
  <c r="AQ102" i="4" s="1"/>
  <c r="AA90" i="4"/>
  <c r="AC90" i="4" s="1"/>
  <c r="AD90" i="4" s="1"/>
  <c r="AA77" i="4"/>
  <c r="AC77" i="4" s="1"/>
  <c r="AD77" i="4" s="1"/>
  <c r="Z79" i="4"/>
  <c r="AN79" i="4" s="1"/>
  <c r="AA93" i="4"/>
  <c r="AQ93" i="4" s="1"/>
  <c r="AA67" i="4"/>
  <c r="AC67" i="4" s="1"/>
  <c r="AD67" i="4" s="1"/>
  <c r="AA101" i="4"/>
  <c r="AP101" i="4" s="1"/>
  <c r="AA98" i="4"/>
  <c r="AP98" i="4" s="1"/>
  <c r="AA96" i="4"/>
  <c r="AQ96" i="4" s="1"/>
  <c r="Z149" i="4"/>
  <c r="AK149" i="4" s="1"/>
  <c r="AL149" i="4" s="1"/>
  <c r="AA81" i="4"/>
  <c r="AP81" i="4" s="1"/>
  <c r="Z98" i="4"/>
  <c r="AK98" i="4" s="1"/>
  <c r="AL98" i="4" s="1"/>
  <c r="AA136" i="4"/>
  <c r="AC136" i="4" s="1"/>
  <c r="AD136" i="4" s="1"/>
  <c r="Z96" i="4"/>
  <c r="AN96" i="4" s="1"/>
  <c r="Z75" i="4"/>
  <c r="AF75" i="4" s="1"/>
  <c r="AG75" i="4" s="1"/>
  <c r="AI75" i="4" s="1"/>
  <c r="Z122" i="4"/>
  <c r="AN122" i="4" s="1"/>
  <c r="AA143" i="4"/>
  <c r="AQ143" i="4" s="1"/>
  <c r="AA74" i="4"/>
  <c r="AP74" i="4" s="1"/>
  <c r="AA66" i="4"/>
  <c r="AQ66" i="4" s="1"/>
  <c r="Z81" i="4"/>
  <c r="AN81" i="4" s="1"/>
  <c r="Z136" i="4"/>
  <c r="AN136" i="4" s="1"/>
  <c r="Z89" i="4"/>
  <c r="AK89" i="4" s="1"/>
  <c r="AL89" i="4" s="1"/>
  <c r="AA75" i="4"/>
  <c r="AP75" i="4" s="1"/>
  <c r="AA133" i="4"/>
  <c r="AP133" i="4" s="1"/>
  <c r="Z66" i="4"/>
  <c r="AF66" i="4" s="1"/>
  <c r="AG66" i="4" s="1"/>
  <c r="AI66" i="4" s="1"/>
  <c r="AA122" i="4"/>
  <c r="AQ122" i="4" s="1"/>
  <c r="AA89" i="4"/>
  <c r="AQ89" i="4" s="1"/>
  <c r="Z82" i="4"/>
  <c r="AK82" i="4" s="1"/>
  <c r="AL82" i="4" s="1"/>
  <c r="Z143" i="4"/>
  <c r="AN143" i="4" s="1"/>
  <c r="AA121" i="4"/>
  <c r="AP121" i="4" s="1"/>
  <c r="Z155" i="4"/>
  <c r="AN155" i="4" s="1"/>
  <c r="Z74" i="4"/>
  <c r="AN74" i="4" s="1"/>
  <c r="Z121" i="4"/>
  <c r="AK121" i="4" s="1"/>
  <c r="AL121" i="4" s="1"/>
  <c r="AA82" i="4"/>
  <c r="AQ82" i="4" s="1"/>
  <c r="Z128" i="4"/>
  <c r="AK128" i="4" s="1"/>
  <c r="AL128" i="4" s="1"/>
  <c r="Z144" i="4"/>
  <c r="AK144" i="4" s="1"/>
  <c r="AL144" i="4" s="1"/>
  <c r="Z125" i="4"/>
  <c r="AN125" i="4" s="1"/>
  <c r="AA116" i="4"/>
  <c r="AC116" i="4" s="1"/>
  <c r="AD116" i="4" s="1"/>
  <c r="AA124" i="4"/>
  <c r="AQ124" i="4" s="1"/>
  <c r="AA144" i="4"/>
  <c r="AC144" i="4" s="1"/>
  <c r="AD144" i="4" s="1"/>
  <c r="Z76" i="4"/>
  <c r="AF76" i="4" s="1"/>
  <c r="AG76" i="4" s="1"/>
  <c r="AI76" i="4" s="1"/>
  <c r="Z97" i="4"/>
  <c r="AK97" i="4" s="1"/>
  <c r="AL97" i="4" s="1"/>
  <c r="Z116" i="4"/>
  <c r="AK116" i="4" s="1"/>
  <c r="AL116" i="4" s="1"/>
  <c r="Z124" i="4"/>
  <c r="AF124" i="4" s="1"/>
  <c r="AG124" i="4" s="1"/>
  <c r="AI124" i="4" s="1"/>
  <c r="AA128" i="4"/>
  <c r="AC128" i="4" s="1"/>
  <c r="AD128" i="4" s="1"/>
  <c r="AA69" i="4"/>
  <c r="AQ69" i="4" s="1"/>
  <c r="AA118" i="4"/>
  <c r="AQ118" i="4" s="1"/>
  <c r="Z62" i="4"/>
  <c r="AF62" i="4" s="1"/>
  <c r="AG62" i="4" s="1"/>
  <c r="AI62" i="4" s="1"/>
  <c r="AJ17" i="4"/>
  <c r="AA16" i="4"/>
  <c r="AC16" i="4" s="1"/>
  <c r="AD16" i="4" s="1"/>
  <c r="AA22" i="4"/>
  <c r="AC22" i="4" s="1"/>
  <c r="AD22" i="4" s="1"/>
  <c r="AA12" i="4"/>
  <c r="AQ12" i="4" s="1"/>
  <c r="AA19" i="4"/>
  <c r="AP19" i="4" s="1"/>
  <c r="AA14" i="4"/>
  <c r="AQ14" i="4" s="1"/>
  <c r="AA20" i="4"/>
  <c r="AQ20" i="4" s="1"/>
  <c r="AA10" i="4"/>
  <c r="AP10" i="4" s="1"/>
  <c r="AA11" i="4"/>
  <c r="AQ11" i="4" s="1"/>
  <c r="AA23" i="4"/>
  <c r="AP23" i="4" s="1"/>
  <c r="AA24" i="4"/>
  <c r="AP24" i="4" s="1"/>
  <c r="AA9" i="4"/>
  <c r="AC9" i="4" s="1"/>
  <c r="AD9" i="4" s="1"/>
  <c r="AA21" i="4"/>
  <c r="AQ21" i="4" s="1"/>
  <c r="AA8" i="4"/>
  <c r="AC8" i="4" s="1"/>
  <c r="AD8" i="4" s="1"/>
  <c r="AA15" i="4"/>
  <c r="AQ15" i="4" s="1"/>
  <c r="AA18" i="4"/>
  <c r="AP18" i="4" s="1"/>
  <c r="AA13" i="4"/>
  <c r="AP13" i="4" s="1"/>
  <c r="AA7" i="4"/>
  <c r="AC7" i="4" s="1"/>
  <c r="AD7" i="4" s="1"/>
  <c r="AA25" i="4"/>
  <c r="AP25" i="4" s="1"/>
  <c r="AQ7" i="5"/>
  <c r="B209" i="2" s="1"/>
  <c r="B214" i="2" s="1"/>
  <c r="B215" i="2" s="1"/>
  <c r="B188" i="2"/>
  <c r="B222" i="2" s="1"/>
  <c r="F68" i="1" s="1"/>
  <c r="B190" i="2"/>
  <c r="B226" i="2" s="1"/>
  <c r="F70" i="1" s="1"/>
  <c r="AC418" i="5"/>
  <c r="AD418" i="5" s="1"/>
  <c r="AN28" i="4"/>
  <c r="AK28" i="4"/>
  <c r="AL28" i="4" s="1"/>
  <c r="AF28" i="4"/>
  <c r="AG28" i="4" s="1"/>
  <c r="AI28" i="4" s="1"/>
  <c r="BK118" i="5"/>
  <c r="BJ118" i="5"/>
  <c r="AN45" i="4"/>
  <c r="AF45" i="4"/>
  <c r="AG45" i="4" s="1"/>
  <c r="AI45" i="4" s="1"/>
  <c r="AQ132" i="4"/>
  <c r="AP132" i="4"/>
  <c r="AC132" i="4"/>
  <c r="AD132" i="4" s="1"/>
  <c r="AN17" i="4"/>
  <c r="AF17" i="4"/>
  <c r="AG17" i="4" s="1"/>
  <c r="AI17" i="4" s="1"/>
  <c r="AK17" i="4"/>
  <c r="AL17" i="4" s="1"/>
  <c r="AP115" i="4"/>
  <c r="AQ115" i="4"/>
  <c r="AC115" i="4"/>
  <c r="AD115" i="4" s="1"/>
  <c r="AN40" i="4"/>
  <c r="AF40" i="4"/>
  <c r="AG40" i="4" s="1"/>
  <c r="AI40" i="4" s="1"/>
  <c r="AQ38" i="4"/>
  <c r="AP38" i="4"/>
  <c r="AC38" i="4"/>
  <c r="AD38" i="4" s="1"/>
  <c r="AK13" i="4"/>
  <c r="AL13" i="4" s="1"/>
  <c r="AN13" i="4"/>
  <c r="AF13" i="4"/>
  <c r="AG13" i="4" s="1"/>
  <c r="AI13" i="4" s="1"/>
  <c r="AP83" i="4"/>
  <c r="AQ83" i="4"/>
  <c r="AC83" i="4"/>
  <c r="AD83" i="4" s="1"/>
  <c r="AK31" i="4"/>
  <c r="AL31" i="4" s="1"/>
  <c r="AN31" i="4"/>
  <c r="AF31" i="4"/>
  <c r="AG31" i="4" s="1"/>
  <c r="AI31" i="4" s="1"/>
  <c r="AQ148" i="5"/>
  <c r="BI148" i="5"/>
  <c r="AR148" i="5"/>
  <c r="BJ451" i="5"/>
  <c r="BK451" i="5"/>
  <c r="BJ257" i="5"/>
  <c r="BK257" i="5"/>
  <c r="AN36" i="4"/>
  <c r="AF36" i="4"/>
  <c r="AG36" i="4" s="1"/>
  <c r="AI36" i="4" s="1"/>
  <c r="AN12" i="4"/>
  <c r="AF12" i="4"/>
  <c r="AG12" i="4" s="1"/>
  <c r="AI12" i="4" s="1"/>
  <c r="AK12" i="4"/>
  <c r="AL12" i="4" s="1"/>
  <c r="BK499" i="5"/>
  <c r="BJ499" i="5"/>
  <c r="BK122" i="5"/>
  <c r="BJ122" i="5"/>
  <c r="BJ19" i="5"/>
  <c r="BK19" i="5"/>
  <c r="BK216" i="5"/>
  <c r="BJ216" i="5"/>
  <c r="BJ429" i="5"/>
  <c r="BK429" i="5"/>
  <c r="BI504" i="5"/>
  <c r="AR504" i="5"/>
  <c r="AQ504" i="5"/>
  <c r="BI419" i="5"/>
  <c r="AQ419" i="5"/>
  <c r="AR419" i="5"/>
  <c r="BJ549" i="5"/>
  <c r="BK549" i="5"/>
  <c r="BJ320" i="5"/>
  <c r="BK320" i="5"/>
  <c r="AR462" i="5"/>
  <c r="AQ462" i="5"/>
  <c r="BI462" i="5"/>
  <c r="BJ223" i="5"/>
  <c r="BK223" i="5"/>
  <c r="BI284" i="5"/>
  <c r="AR284" i="5"/>
  <c r="AQ284" i="5"/>
  <c r="AR186" i="5"/>
  <c r="AQ186" i="5"/>
  <c r="BI186" i="5"/>
  <c r="BK147" i="5"/>
  <c r="BJ147" i="5"/>
  <c r="BK518" i="5"/>
  <c r="BJ518" i="5"/>
  <c r="AQ146" i="4"/>
  <c r="AP146" i="4"/>
  <c r="AC146" i="4"/>
  <c r="AD146" i="4" s="1"/>
  <c r="AN64" i="4"/>
  <c r="AF64" i="4"/>
  <c r="AG64" i="4" s="1"/>
  <c r="AI64" i="4" s="1"/>
  <c r="AN37" i="4"/>
  <c r="AF37" i="4"/>
  <c r="AG37" i="4" s="1"/>
  <c r="AI37" i="4" s="1"/>
  <c r="AK37" i="4"/>
  <c r="AL37" i="4" s="1"/>
  <c r="AK68" i="4"/>
  <c r="AL68" i="4" s="1"/>
  <c r="AN68" i="4"/>
  <c r="AF68" i="4"/>
  <c r="AG68" i="4" s="1"/>
  <c r="AI68" i="4" s="1"/>
  <c r="AK119" i="4"/>
  <c r="AL119" i="4" s="1"/>
  <c r="AN119" i="4"/>
  <c r="AF119" i="4"/>
  <c r="AG119" i="4" s="1"/>
  <c r="AI119" i="4" s="1"/>
  <c r="AN43" i="4"/>
  <c r="AK43" i="4"/>
  <c r="AL43" i="4" s="1"/>
  <c r="AF43" i="4"/>
  <c r="AG43" i="4" s="1"/>
  <c r="AI43" i="4" s="1"/>
  <c r="AN84" i="4"/>
  <c r="AK84" i="4"/>
  <c r="AL84" i="4" s="1"/>
  <c r="AF84" i="4"/>
  <c r="AG84" i="4" s="1"/>
  <c r="AI84" i="4" s="1"/>
  <c r="AP84" i="4"/>
  <c r="AQ84" i="4"/>
  <c r="AC84" i="4"/>
  <c r="AD84" i="4" s="1"/>
  <c r="AK70" i="4"/>
  <c r="AL70" i="4" s="1"/>
  <c r="AN70" i="4"/>
  <c r="AF70" i="4"/>
  <c r="AG70" i="4" s="1"/>
  <c r="AI70" i="4" s="1"/>
  <c r="BJ431" i="5"/>
  <c r="BK431" i="5"/>
  <c r="BK381" i="5"/>
  <c r="BJ381" i="5"/>
  <c r="BK417" i="5"/>
  <c r="BJ417" i="5"/>
  <c r="BJ211" i="5"/>
  <c r="BK211" i="5"/>
  <c r="BJ47" i="5"/>
  <c r="BK47" i="5"/>
  <c r="BK406" i="5"/>
  <c r="BJ406" i="5"/>
  <c r="BJ456" i="5"/>
  <c r="BK456" i="5"/>
  <c r="AQ386" i="5"/>
  <c r="BI386" i="5"/>
  <c r="AR386" i="5"/>
  <c r="BK352" i="5"/>
  <c r="BJ352" i="5"/>
  <c r="S9" i="5"/>
  <c r="R9" i="5"/>
  <c r="R135" i="5"/>
  <c r="S135" i="5"/>
  <c r="R432" i="5"/>
  <c r="S432" i="5"/>
  <c r="S381" i="5"/>
  <c r="R381" i="5"/>
  <c r="S151" i="5"/>
  <c r="R151" i="5"/>
  <c r="R129" i="5"/>
  <c r="S129" i="5"/>
  <c r="S222" i="5"/>
  <c r="R222" i="5"/>
  <c r="R107" i="5"/>
  <c r="S107" i="5"/>
  <c r="R240" i="5"/>
  <c r="S240" i="5"/>
  <c r="S34" i="5"/>
  <c r="R34" i="5"/>
  <c r="R454" i="5"/>
  <c r="S454" i="5"/>
  <c r="R257" i="5"/>
  <c r="S257" i="5"/>
  <c r="S378" i="5"/>
  <c r="R378" i="5"/>
  <c r="S223" i="5"/>
  <c r="R223" i="5"/>
  <c r="R125" i="5"/>
  <c r="S125" i="5"/>
  <c r="R128" i="5"/>
  <c r="S128" i="5"/>
  <c r="S253" i="5"/>
  <c r="R253" i="5"/>
  <c r="R419" i="5"/>
  <c r="S419" i="5"/>
  <c r="R533" i="5"/>
  <c r="S533" i="5"/>
  <c r="S343" i="5"/>
  <c r="R343" i="5"/>
  <c r="R37" i="5"/>
  <c r="S37" i="5"/>
  <c r="R401" i="5"/>
  <c r="S401" i="5"/>
  <c r="S536" i="5"/>
  <c r="R536" i="5"/>
  <c r="R489" i="5"/>
  <c r="S489" i="5"/>
  <c r="S324" i="5"/>
  <c r="R324" i="5"/>
  <c r="R508" i="5"/>
  <c r="S508" i="5"/>
  <c r="R444" i="5"/>
  <c r="S444" i="5"/>
  <c r="S289" i="5"/>
  <c r="R289" i="5"/>
  <c r="R259" i="5"/>
  <c r="S259" i="5"/>
  <c r="R20" i="5"/>
  <c r="S20" i="5"/>
  <c r="S486" i="5"/>
  <c r="R486" i="5"/>
  <c r="S195" i="5"/>
  <c r="R195" i="5"/>
  <c r="S178" i="5"/>
  <c r="R178" i="5"/>
  <c r="S126" i="5"/>
  <c r="R126" i="5"/>
  <c r="R85" i="5"/>
  <c r="S85" i="5"/>
  <c r="S556" i="5"/>
  <c r="R556" i="5"/>
  <c r="R546" i="5"/>
  <c r="S546" i="5"/>
  <c r="S59" i="5"/>
  <c r="R59" i="5"/>
  <c r="R203" i="5"/>
  <c r="S203" i="5"/>
  <c r="R147" i="5"/>
  <c r="S147" i="5"/>
  <c r="S232" i="5"/>
  <c r="R232" i="5"/>
  <c r="R162" i="5"/>
  <c r="S162" i="5"/>
  <c r="S420" i="5"/>
  <c r="R420" i="5"/>
  <c r="S41" i="5"/>
  <c r="R41" i="5"/>
  <c r="S406" i="5"/>
  <c r="R406" i="5"/>
  <c r="R270" i="5"/>
  <c r="S270" i="5"/>
  <c r="S49" i="5"/>
  <c r="R49" i="5"/>
  <c r="S519" i="5"/>
  <c r="R519" i="5"/>
  <c r="S83" i="5"/>
  <c r="R83" i="5"/>
  <c r="S196" i="5"/>
  <c r="R196" i="5"/>
  <c r="S205" i="5"/>
  <c r="R205" i="5"/>
  <c r="S491" i="5"/>
  <c r="R491" i="5"/>
  <c r="R340" i="5"/>
  <c r="S340" i="5"/>
  <c r="S380" i="5"/>
  <c r="R380" i="5"/>
  <c r="R469" i="5"/>
  <c r="S469" i="5"/>
  <c r="S297" i="5"/>
  <c r="R297" i="5"/>
  <c r="S153" i="5"/>
  <c r="R153" i="5"/>
  <c r="R216" i="5"/>
  <c r="S216" i="5"/>
  <c r="S84" i="5"/>
  <c r="R84" i="5"/>
  <c r="S511" i="5"/>
  <c r="R511" i="5"/>
  <c r="R403" i="5"/>
  <c r="S403" i="5"/>
  <c r="S77" i="5"/>
  <c r="R77" i="5"/>
  <c r="R358" i="5"/>
  <c r="S358" i="5"/>
  <c r="S198" i="5"/>
  <c r="R198" i="5"/>
  <c r="S262" i="5"/>
  <c r="R262" i="5"/>
  <c r="S160" i="5"/>
  <c r="R160" i="5"/>
  <c r="R307" i="5"/>
  <c r="S307" i="5"/>
  <c r="S100" i="5"/>
  <c r="R100" i="5"/>
  <c r="S437" i="5"/>
  <c r="R437" i="5"/>
  <c r="R525" i="5"/>
  <c r="S525" i="5"/>
  <c r="R312" i="5"/>
  <c r="S312" i="5"/>
  <c r="R189" i="5"/>
  <c r="S189" i="5"/>
  <c r="S258" i="5"/>
  <c r="R258" i="5"/>
  <c r="R239" i="5"/>
  <c r="S239" i="5"/>
  <c r="S171" i="5"/>
  <c r="R171" i="5"/>
  <c r="R31" i="5"/>
  <c r="S31" i="5"/>
  <c r="R230" i="5"/>
  <c r="S230" i="5"/>
  <c r="S433" i="5"/>
  <c r="R433" i="5"/>
  <c r="R106" i="5"/>
  <c r="S106" i="5"/>
  <c r="S494" i="5"/>
  <c r="R494" i="5"/>
  <c r="R431" i="5"/>
  <c r="S431" i="5"/>
  <c r="R429" i="5"/>
  <c r="S429" i="5"/>
  <c r="R553" i="5"/>
  <c r="S553" i="5"/>
  <c r="R446" i="5"/>
  <c r="S446" i="5"/>
  <c r="R379" i="5"/>
  <c r="S379" i="5"/>
  <c r="S200" i="5"/>
  <c r="R200" i="5"/>
  <c r="R228" i="5"/>
  <c r="S228" i="5"/>
  <c r="S164" i="5"/>
  <c r="R164" i="5"/>
  <c r="S370" i="5"/>
  <c r="R370" i="5"/>
  <c r="S552" i="5"/>
  <c r="R552" i="5"/>
  <c r="S140" i="5"/>
  <c r="R140" i="5"/>
  <c r="S467" i="5"/>
  <c r="R467" i="5"/>
  <c r="S414" i="5"/>
  <c r="R414" i="5"/>
  <c r="R427" i="5"/>
  <c r="S427" i="5"/>
  <c r="R473" i="5"/>
  <c r="S473" i="5"/>
  <c r="R74" i="5"/>
  <c r="S74" i="5"/>
  <c r="S248" i="5"/>
  <c r="R248" i="5"/>
  <c r="S261" i="5"/>
  <c r="R261" i="5"/>
  <c r="S163" i="5"/>
  <c r="R163" i="5"/>
  <c r="S320" i="5"/>
  <c r="R320" i="5"/>
  <c r="R172" i="5"/>
  <c r="S172" i="5"/>
  <c r="S349" i="5"/>
  <c r="R349" i="5"/>
  <c r="S197" i="5"/>
  <c r="R197" i="5"/>
  <c r="R19" i="5"/>
  <c r="S19" i="5"/>
  <c r="S82" i="5"/>
  <c r="R82" i="5"/>
  <c r="S315" i="5"/>
  <c r="R315" i="5"/>
  <c r="R535" i="5"/>
  <c r="S535" i="5"/>
  <c r="S296" i="5"/>
  <c r="R296" i="5"/>
  <c r="R346" i="5"/>
  <c r="S346" i="5"/>
  <c r="S393" i="5"/>
  <c r="R393" i="5"/>
  <c r="S149" i="5"/>
  <c r="R149" i="5"/>
  <c r="S204" i="5"/>
  <c r="R204" i="5"/>
  <c r="S187" i="5"/>
  <c r="R187" i="5"/>
  <c r="S506" i="5"/>
  <c r="R506" i="5"/>
  <c r="S412" i="5"/>
  <c r="R412" i="5"/>
  <c r="R66" i="5"/>
  <c r="S66" i="5"/>
  <c r="S434" i="5"/>
  <c r="R434" i="5"/>
  <c r="R461" i="5"/>
  <c r="S461" i="5"/>
  <c r="S72" i="5"/>
  <c r="R72" i="5"/>
  <c r="R389" i="5"/>
  <c r="S389" i="5"/>
  <c r="R529" i="5"/>
  <c r="S529" i="5"/>
  <c r="R350" i="5"/>
  <c r="S350" i="5"/>
  <c r="S111" i="5"/>
  <c r="R111" i="5"/>
  <c r="S542" i="5"/>
  <c r="R542" i="5"/>
  <c r="R269" i="5"/>
  <c r="S269" i="5"/>
  <c r="R460" i="5"/>
  <c r="S460" i="5"/>
  <c r="R123" i="5"/>
  <c r="S123" i="5"/>
  <c r="S168" i="5"/>
  <c r="R168" i="5"/>
  <c r="R137" i="5"/>
  <c r="S137" i="5"/>
  <c r="R69" i="5"/>
  <c r="S69" i="5"/>
  <c r="R400" i="5"/>
  <c r="S400" i="5"/>
  <c r="R416" i="5"/>
  <c r="S416" i="5"/>
  <c r="R504" i="5"/>
  <c r="S504" i="5"/>
  <c r="R495" i="5"/>
  <c r="S495" i="5"/>
  <c r="R459" i="5"/>
  <c r="S459" i="5"/>
  <c r="R150" i="5"/>
  <c r="S150" i="5"/>
  <c r="Q11" i="5"/>
  <c r="AG11" i="5"/>
  <c r="AT11" i="5"/>
  <c r="AM11" i="5"/>
  <c r="AZ11" i="5"/>
  <c r="T11" i="5"/>
  <c r="AW11" i="5"/>
  <c r="AJ11" i="5"/>
  <c r="W11" i="5"/>
  <c r="Z11" i="5"/>
  <c r="AN103" i="4"/>
  <c r="AK103" i="4"/>
  <c r="AL103" i="4" s="1"/>
  <c r="AF103" i="4"/>
  <c r="AG103" i="4" s="1"/>
  <c r="AI103" i="4" s="1"/>
  <c r="AP103" i="4"/>
  <c r="AQ103" i="4"/>
  <c r="AC103" i="4"/>
  <c r="AD103" i="4" s="1"/>
  <c r="BE9" i="5"/>
  <c r="BD9" i="5"/>
  <c r="AP147" i="4"/>
  <c r="AC147" i="4"/>
  <c r="AD147" i="4" s="1"/>
  <c r="AQ147" i="4"/>
  <c r="AN30" i="4"/>
  <c r="AK30" i="4"/>
  <c r="AL30" i="4" s="1"/>
  <c r="AF30" i="4"/>
  <c r="AG30" i="4" s="1"/>
  <c r="AI30" i="4" s="1"/>
  <c r="AK44" i="4"/>
  <c r="AL44" i="4" s="1"/>
  <c r="AN44" i="4"/>
  <c r="AF44" i="4"/>
  <c r="AG44" i="4" s="1"/>
  <c r="AI44" i="4" s="1"/>
  <c r="AK33" i="4"/>
  <c r="AL33" i="4" s="1"/>
  <c r="AF33" i="4"/>
  <c r="AG33" i="4" s="1"/>
  <c r="AI33" i="4" s="1"/>
  <c r="AN33" i="4"/>
  <c r="BJ445" i="5"/>
  <c r="BK445" i="5"/>
  <c r="AR500" i="5"/>
  <c r="BI500" i="5"/>
  <c r="AQ500" i="5"/>
  <c r="AQ127" i="5"/>
  <c r="BI127" i="5"/>
  <c r="AR127" i="5"/>
  <c r="BK465" i="5"/>
  <c r="BJ465" i="5"/>
  <c r="BJ425" i="5"/>
  <c r="BK425" i="5"/>
  <c r="AK107" i="4"/>
  <c r="AL107" i="4" s="1"/>
  <c r="AN107" i="4"/>
  <c r="AF107" i="4"/>
  <c r="AG107" i="4" s="1"/>
  <c r="AI107" i="4" s="1"/>
  <c r="AN11" i="4"/>
  <c r="AK11" i="4"/>
  <c r="AL11" i="4" s="1"/>
  <c r="AF11" i="4"/>
  <c r="AG11" i="4" s="1"/>
  <c r="AI11" i="4" s="1"/>
  <c r="AN18" i="4"/>
  <c r="AF18" i="4"/>
  <c r="AG18" i="4" s="1"/>
  <c r="AI18" i="4" s="1"/>
  <c r="AK18" i="4"/>
  <c r="AL18" i="4" s="1"/>
  <c r="AN19" i="4"/>
  <c r="AK19" i="4"/>
  <c r="AL19" i="4" s="1"/>
  <c r="AF19" i="4"/>
  <c r="AG19" i="4" s="1"/>
  <c r="AI19" i="4" s="1"/>
  <c r="AF7" i="4"/>
  <c r="AG7" i="4" s="1"/>
  <c r="AI7" i="4" s="1"/>
  <c r="AN7" i="4"/>
  <c r="AK7" i="4"/>
  <c r="AL7" i="4" s="1"/>
  <c r="AK83" i="4"/>
  <c r="AL83" i="4" s="1"/>
  <c r="AN83" i="4"/>
  <c r="AF83" i="4"/>
  <c r="AG83" i="4" s="1"/>
  <c r="AI83" i="4" s="1"/>
  <c r="AR9" i="5"/>
  <c r="AQ9" i="5"/>
  <c r="BI9" i="5"/>
  <c r="BJ430" i="5"/>
  <c r="BK430" i="5"/>
  <c r="AQ267" i="5"/>
  <c r="BI267" i="5"/>
  <c r="AR267" i="5"/>
  <c r="BK128" i="5"/>
  <c r="BJ128" i="5"/>
  <c r="AQ72" i="4"/>
  <c r="AP72" i="4"/>
  <c r="AC72" i="4"/>
  <c r="AD72" i="4" s="1"/>
  <c r="AN49" i="4"/>
  <c r="AF49" i="4"/>
  <c r="AG49" i="4" s="1"/>
  <c r="AI49" i="4" s="1"/>
  <c r="AQ71" i="4"/>
  <c r="AP71" i="4"/>
  <c r="AC71" i="4"/>
  <c r="AD71" i="4" s="1"/>
  <c r="BJ513" i="5"/>
  <c r="BK513" i="5"/>
  <c r="AR77" i="5"/>
  <c r="AQ77" i="5"/>
  <c r="BI77" i="5"/>
  <c r="BK55" i="5"/>
  <c r="BJ55" i="5"/>
  <c r="BK467" i="5"/>
  <c r="BJ467" i="5"/>
  <c r="BK401" i="5"/>
  <c r="BJ401" i="5"/>
  <c r="BK123" i="5"/>
  <c r="BJ123" i="5"/>
  <c r="BK520" i="5"/>
  <c r="BJ520" i="5"/>
  <c r="AR416" i="5"/>
  <c r="BI416" i="5"/>
  <c r="AQ416" i="5"/>
  <c r="BK270" i="5"/>
  <c r="BJ270" i="5"/>
  <c r="BJ215" i="5"/>
  <c r="BK215" i="5"/>
  <c r="BK482" i="5"/>
  <c r="BJ482" i="5"/>
  <c r="BJ559" i="5"/>
  <c r="BK559" i="5"/>
  <c r="AN146" i="4"/>
  <c r="AK146" i="4"/>
  <c r="AL146" i="4" s="1"/>
  <c r="AF146" i="4"/>
  <c r="AG146" i="4" s="1"/>
  <c r="AI146" i="4" s="1"/>
  <c r="AP68" i="4"/>
  <c r="AC68" i="4"/>
  <c r="AD68" i="4" s="1"/>
  <c r="AQ68" i="4"/>
  <c r="AN20" i="4"/>
  <c r="AF20" i="4"/>
  <c r="AG20" i="4" s="1"/>
  <c r="AI20" i="4" s="1"/>
  <c r="AK20" i="4"/>
  <c r="AL20" i="4" s="1"/>
  <c r="AN88" i="4"/>
  <c r="AK88" i="4"/>
  <c r="AL88" i="4" s="1"/>
  <c r="AF88" i="4"/>
  <c r="AG88" i="4" s="1"/>
  <c r="AI88" i="4" s="1"/>
  <c r="AQ70" i="4"/>
  <c r="AP70" i="4"/>
  <c r="AC70" i="4"/>
  <c r="AD70" i="4" s="1"/>
  <c r="AQ150" i="4"/>
  <c r="AP150" i="4"/>
  <c r="AC150" i="4"/>
  <c r="AD150" i="4" s="1"/>
  <c r="BK309" i="5"/>
  <c r="BJ309" i="5"/>
  <c r="BJ438" i="5"/>
  <c r="BK438" i="5"/>
  <c r="BK36" i="5"/>
  <c r="BJ36" i="5"/>
  <c r="BJ46" i="5"/>
  <c r="BK46" i="5"/>
  <c r="BK453" i="5"/>
  <c r="BJ453" i="5"/>
  <c r="BK236" i="5"/>
  <c r="BJ236" i="5"/>
  <c r="BJ369" i="5"/>
  <c r="BK369" i="5"/>
  <c r="BK204" i="5"/>
  <c r="BJ204" i="5"/>
  <c r="BJ470" i="5"/>
  <c r="BK470" i="5"/>
  <c r="BK81" i="5"/>
  <c r="BJ81" i="5"/>
  <c r="BK407" i="5"/>
  <c r="BJ407" i="5"/>
  <c r="AR84" i="5"/>
  <c r="BI84" i="5"/>
  <c r="AQ84" i="5"/>
  <c r="BJ49" i="5"/>
  <c r="BK49" i="5"/>
  <c r="R179" i="5"/>
  <c r="S179" i="5"/>
  <c r="S35" i="5"/>
  <c r="R35" i="5"/>
  <c r="S550" i="5"/>
  <c r="R550" i="5"/>
  <c r="R375" i="5"/>
  <c r="S375" i="5"/>
  <c r="S264" i="5"/>
  <c r="R264" i="5"/>
  <c r="S265" i="5"/>
  <c r="R265" i="5"/>
  <c r="R323" i="5"/>
  <c r="S323" i="5"/>
  <c r="R369" i="5"/>
  <c r="S369" i="5"/>
  <c r="S373" i="5"/>
  <c r="R373" i="5"/>
  <c r="S109" i="5"/>
  <c r="R109" i="5"/>
  <c r="S56" i="5"/>
  <c r="R56" i="5"/>
  <c r="S141" i="5"/>
  <c r="R141" i="5"/>
  <c r="S80" i="5"/>
  <c r="R80" i="5"/>
  <c r="R121" i="5"/>
  <c r="S121" i="5"/>
  <c r="R25" i="5"/>
  <c r="S25" i="5"/>
  <c r="R36" i="5"/>
  <c r="S36" i="5"/>
  <c r="R47" i="5"/>
  <c r="S47" i="5"/>
  <c r="R102" i="5"/>
  <c r="S102" i="5"/>
  <c r="R299" i="5"/>
  <c r="S299" i="5"/>
  <c r="S520" i="5"/>
  <c r="R520" i="5"/>
  <c r="R507" i="5"/>
  <c r="S507" i="5"/>
  <c r="R234" i="5"/>
  <c r="S234" i="5"/>
  <c r="R57" i="5"/>
  <c r="S57" i="5"/>
  <c r="R413" i="5"/>
  <c r="S413" i="5"/>
  <c r="S181" i="5"/>
  <c r="R181" i="5"/>
  <c r="R398" i="5"/>
  <c r="S398" i="5"/>
  <c r="R138" i="5"/>
  <c r="S138" i="5"/>
  <c r="R559" i="5"/>
  <c r="S559" i="5"/>
  <c r="R21" i="5"/>
  <c r="S21" i="5"/>
  <c r="R98" i="5"/>
  <c r="S98" i="5"/>
  <c r="S425" i="5"/>
  <c r="R425" i="5"/>
  <c r="S544" i="5"/>
  <c r="R544" i="5"/>
  <c r="S560" i="5"/>
  <c r="R560" i="5"/>
  <c r="S145" i="5"/>
  <c r="R145" i="5"/>
  <c r="R335" i="5"/>
  <c r="S335" i="5"/>
  <c r="R280" i="5"/>
  <c r="S280" i="5"/>
  <c r="S22" i="5"/>
  <c r="R22" i="5"/>
  <c r="R510" i="5"/>
  <c r="S510" i="5"/>
  <c r="R355" i="5"/>
  <c r="S355" i="5"/>
  <c r="S271" i="5"/>
  <c r="R271" i="5"/>
  <c r="R127" i="5"/>
  <c r="S127" i="5"/>
  <c r="S152" i="5"/>
  <c r="R152" i="5"/>
  <c r="R313" i="5"/>
  <c r="S313" i="5"/>
  <c r="R521" i="5"/>
  <c r="S521" i="5"/>
  <c r="R490" i="5"/>
  <c r="S490" i="5"/>
  <c r="R450" i="5"/>
  <c r="S450" i="5"/>
  <c r="R532" i="5"/>
  <c r="S532" i="5"/>
  <c r="S268" i="5"/>
  <c r="R268" i="5"/>
  <c r="S276" i="5"/>
  <c r="R276" i="5"/>
  <c r="R337" i="5"/>
  <c r="S337" i="5"/>
  <c r="R468" i="5"/>
  <c r="S468" i="5"/>
  <c r="S426" i="5"/>
  <c r="R426" i="5"/>
  <c r="R475" i="5"/>
  <c r="S475" i="5"/>
  <c r="S174" i="5"/>
  <c r="R174" i="5"/>
  <c r="S482" i="5"/>
  <c r="R482" i="5"/>
  <c r="S76" i="5"/>
  <c r="R76" i="5"/>
  <c r="S445" i="5"/>
  <c r="R445" i="5"/>
  <c r="R115" i="5"/>
  <c r="S115" i="5"/>
  <c r="R341" i="5"/>
  <c r="S341" i="5"/>
  <c r="S374" i="5"/>
  <c r="R374" i="5"/>
  <c r="S290" i="5"/>
  <c r="R290" i="5"/>
  <c r="S487" i="5"/>
  <c r="R487" i="5"/>
  <c r="S247" i="5"/>
  <c r="R247" i="5"/>
  <c r="S558" i="5"/>
  <c r="R558" i="5"/>
  <c r="S345" i="5"/>
  <c r="R345" i="5"/>
  <c r="R330" i="5"/>
  <c r="S330" i="5"/>
  <c r="R371" i="5"/>
  <c r="S371" i="5"/>
  <c r="S75" i="5"/>
  <c r="R75" i="5"/>
  <c r="R483" i="5"/>
  <c r="S483" i="5"/>
  <c r="R523" i="5"/>
  <c r="S523" i="5"/>
  <c r="R474" i="5"/>
  <c r="S474" i="5"/>
  <c r="R229" i="5"/>
  <c r="S229" i="5"/>
  <c r="R549" i="5"/>
  <c r="S549" i="5"/>
  <c r="S479" i="5"/>
  <c r="R479" i="5"/>
  <c r="S372" i="5"/>
  <c r="R372" i="5"/>
  <c r="R95" i="5"/>
  <c r="S95" i="5"/>
  <c r="R255" i="5"/>
  <c r="S255" i="5"/>
  <c r="R384" i="5"/>
  <c r="S384" i="5"/>
  <c r="R155" i="5"/>
  <c r="S155" i="5"/>
  <c r="S496" i="5"/>
  <c r="R496" i="5"/>
  <c r="R278" i="5"/>
  <c r="S278" i="5"/>
  <c r="R368" i="5"/>
  <c r="S368" i="5"/>
  <c r="S40" i="5"/>
  <c r="R40" i="5"/>
  <c r="S453" i="5"/>
  <c r="R453" i="5"/>
  <c r="S44" i="5"/>
  <c r="R44" i="5"/>
  <c r="R309" i="5"/>
  <c r="S309" i="5"/>
  <c r="S334" i="5"/>
  <c r="R334" i="5"/>
  <c r="R202" i="5"/>
  <c r="S202" i="5"/>
  <c r="S61" i="5"/>
  <c r="R61" i="5"/>
  <c r="R46" i="5"/>
  <c r="S46" i="5"/>
  <c r="S396" i="5"/>
  <c r="R396" i="5"/>
  <c r="S157" i="5"/>
  <c r="R157" i="5"/>
  <c r="R480" i="5"/>
  <c r="S480" i="5"/>
  <c r="S279" i="5"/>
  <c r="R279" i="5"/>
  <c r="R351" i="5"/>
  <c r="S351" i="5"/>
  <c r="R64" i="5"/>
  <c r="S64" i="5"/>
  <c r="R505" i="5"/>
  <c r="S505" i="5"/>
  <c r="S515" i="5"/>
  <c r="R515" i="5"/>
  <c r="S29" i="5"/>
  <c r="R29" i="5"/>
  <c r="R266" i="5"/>
  <c r="S266" i="5"/>
  <c r="R530" i="5"/>
  <c r="S530" i="5"/>
  <c r="S333" i="5"/>
  <c r="R333" i="5"/>
  <c r="S538" i="5"/>
  <c r="R538" i="5"/>
  <c r="R359" i="5"/>
  <c r="S359" i="5"/>
  <c r="S39" i="5"/>
  <c r="R39" i="5"/>
  <c r="R110" i="5"/>
  <c r="S110" i="5"/>
  <c r="S356" i="5"/>
  <c r="R356" i="5"/>
  <c r="S99" i="5"/>
  <c r="R99" i="5"/>
  <c r="R301" i="5"/>
  <c r="S301" i="5"/>
  <c r="S212" i="5"/>
  <c r="R212" i="5"/>
  <c r="S273" i="5"/>
  <c r="R273" i="5"/>
  <c r="R238" i="5"/>
  <c r="S238" i="5"/>
  <c r="R246" i="5"/>
  <c r="S246" i="5"/>
  <c r="R283" i="5"/>
  <c r="S283" i="5"/>
  <c r="R24" i="5"/>
  <c r="S24" i="5"/>
  <c r="R390" i="5"/>
  <c r="S390" i="5"/>
  <c r="S113" i="5"/>
  <c r="R113" i="5"/>
  <c r="R12" i="5"/>
  <c r="S12" i="5"/>
  <c r="R466" i="5"/>
  <c r="S466" i="5"/>
  <c r="R156" i="5"/>
  <c r="S156" i="5"/>
  <c r="S81" i="5"/>
  <c r="R81" i="5"/>
  <c r="S363" i="5"/>
  <c r="R363" i="5"/>
  <c r="S452" i="5"/>
  <c r="R452" i="5"/>
  <c r="S451" i="5"/>
  <c r="R451" i="5"/>
  <c r="S244" i="5"/>
  <c r="R244" i="5"/>
  <c r="R134" i="5"/>
  <c r="S134" i="5"/>
  <c r="S386" i="5"/>
  <c r="R386" i="5"/>
  <c r="S442" i="5"/>
  <c r="R442" i="5"/>
  <c r="R281" i="5"/>
  <c r="S281" i="5"/>
  <c r="R233" i="5"/>
  <c r="S233" i="5"/>
  <c r="R488" i="5"/>
  <c r="S488" i="5"/>
  <c r="R131" i="5"/>
  <c r="S131" i="5"/>
  <c r="R292" i="5"/>
  <c r="S292" i="5"/>
  <c r="S45" i="5"/>
  <c r="R45" i="5"/>
  <c r="R402" i="5"/>
  <c r="S402" i="5"/>
  <c r="R464" i="5"/>
  <c r="S464" i="5"/>
  <c r="R154" i="5"/>
  <c r="S154" i="5"/>
  <c r="AK99" i="4"/>
  <c r="AL99" i="4" s="1"/>
  <c r="AF99" i="4"/>
  <c r="AG99" i="4" s="1"/>
  <c r="AI99" i="4" s="1"/>
  <c r="AN99" i="4"/>
  <c r="AP91" i="4"/>
  <c r="AQ91" i="4"/>
  <c r="AC91" i="4"/>
  <c r="AD91" i="4" s="1"/>
  <c r="AK48" i="4"/>
  <c r="AL48" i="4" s="1"/>
  <c r="AN48" i="4"/>
  <c r="AF48" i="4"/>
  <c r="AG48" i="4" s="1"/>
  <c r="AI48" i="4" s="1"/>
  <c r="AC129" i="5"/>
  <c r="AC249" i="5"/>
  <c r="AC167" i="5"/>
  <c r="AC170" i="5"/>
  <c r="AC527" i="5"/>
  <c r="AC315" i="5"/>
  <c r="AN147" i="4"/>
  <c r="AK147" i="4"/>
  <c r="AL147" i="4" s="1"/>
  <c r="AF147" i="4"/>
  <c r="AG147" i="4" s="1"/>
  <c r="AI147" i="4" s="1"/>
  <c r="BK395" i="5"/>
  <c r="BJ395" i="5"/>
  <c r="BK29" i="5"/>
  <c r="BJ29" i="5"/>
  <c r="BJ139" i="5"/>
  <c r="BK139" i="5"/>
  <c r="BK172" i="5"/>
  <c r="BJ172" i="5"/>
  <c r="BJ550" i="5"/>
  <c r="BK550" i="5"/>
  <c r="AP107" i="4"/>
  <c r="AQ107" i="4"/>
  <c r="AC107" i="4"/>
  <c r="AD107" i="4" s="1"/>
  <c r="AN132" i="4"/>
  <c r="AK132" i="4"/>
  <c r="AL132" i="4" s="1"/>
  <c r="AF132" i="4"/>
  <c r="AG132" i="4" s="1"/>
  <c r="AI132" i="4" s="1"/>
  <c r="AQ17" i="4"/>
  <c r="AC17" i="4"/>
  <c r="AD17" i="4" s="1"/>
  <c r="AP17" i="4"/>
  <c r="AK52" i="4"/>
  <c r="AL52" i="4" s="1"/>
  <c r="AN52" i="4"/>
  <c r="AF52" i="4"/>
  <c r="AG52" i="4" s="1"/>
  <c r="AI52" i="4" s="1"/>
  <c r="AF22" i="4"/>
  <c r="AG22" i="4" s="1"/>
  <c r="AI22" i="4" s="1"/>
  <c r="AK22" i="4"/>
  <c r="AL22" i="4" s="1"/>
  <c r="AN22" i="4"/>
  <c r="AK38" i="4"/>
  <c r="AL38" i="4" s="1"/>
  <c r="AN38" i="4"/>
  <c r="AF38" i="4"/>
  <c r="AG38" i="4" s="1"/>
  <c r="AI38" i="4" s="1"/>
  <c r="AR497" i="5"/>
  <c r="BI497" i="5"/>
  <c r="AQ497" i="5"/>
  <c r="AQ33" i="5"/>
  <c r="BI33" i="5"/>
  <c r="AR33" i="5"/>
  <c r="BK370" i="5"/>
  <c r="BJ370" i="5"/>
  <c r="BJ140" i="5"/>
  <c r="BK140" i="5"/>
  <c r="AK72" i="4"/>
  <c r="AL72" i="4" s="1"/>
  <c r="AN72" i="4"/>
  <c r="AF72" i="4"/>
  <c r="AG72" i="4" s="1"/>
  <c r="AI72" i="4" s="1"/>
  <c r="AF14" i="4"/>
  <c r="AG14" i="4" s="1"/>
  <c r="AI14" i="4" s="1"/>
  <c r="AK14" i="4"/>
  <c r="AL14" i="4" s="1"/>
  <c r="AN14" i="4"/>
  <c r="AN23" i="4"/>
  <c r="AK23" i="4"/>
  <c r="AL23" i="4" s="1"/>
  <c r="AF23" i="4"/>
  <c r="AG23" i="4" s="1"/>
  <c r="AI23" i="4" s="1"/>
  <c r="AK153" i="4"/>
  <c r="AL153" i="4" s="1"/>
  <c r="AN153" i="4"/>
  <c r="AF153" i="4"/>
  <c r="AG153" i="4" s="1"/>
  <c r="AI153" i="4" s="1"/>
  <c r="AN26" i="4"/>
  <c r="AF26" i="4"/>
  <c r="AG26" i="4" s="1"/>
  <c r="AI26" i="4" s="1"/>
  <c r="AK157" i="4"/>
  <c r="AL157" i="4" s="1"/>
  <c r="AN157" i="4"/>
  <c r="AF157" i="4"/>
  <c r="AG157" i="4" s="1"/>
  <c r="AI157" i="4" s="1"/>
  <c r="BK517" i="5"/>
  <c r="BJ517" i="5"/>
  <c r="BK364" i="5"/>
  <c r="BJ364" i="5"/>
  <c r="BJ138" i="5"/>
  <c r="BK138" i="5"/>
  <c r="BK435" i="5"/>
  <c r="BJ435" i="5"/>
  <c r="BK319" i="5"/>
  <c r="BJ319" i="5"/>
  <c r="BJ48" i="5"/>
  <c r="BK48" i="5"/>
  <c r="BJ558" i="5"/>
  <c r="BK558" i="5"/>
  <c r="AQ209" i="5"/>
  <c r="AR209" i="5"/>
  <c r="BI209" i="5"/>
  <c r="AR13" i="5"/>
  <c r="BI13" i="5"/>
  <c r="AQ13" i="5"/>
  <c r="BK491" i="5"/>
  <c r="BJ491" i="5"/>
  <c r="BK262" i="5"/>
  <c r="BJ262" i="5"/>
  <c r="BK165" i="5"/>
  <c r="BJ165" i="5"/>
  <c r="BJ541" i="5"/>
  <c r="BK541" i="5"/>
  <c r="BJ509" i="5"/>
  <c r="BK509" i="5"/>
  <c r="BK379" i="5"/>
  <c r="BJ379" i="5"/>
  <c r="BJ420" i="5"/>
  <c r="BK420" i="5"/>
  <c r="AN34" i="4"/>
  <c r="AK34" i="4"/>
  <c r="AL34" i="4" s="1"/>
  <c r="AF34" i="4"/>
  <c r="AG34" i="4" s="1"/>
  <c r="AI34" i="4" s="1"/>
  <c r="AQ88" i="4"/>
  <c r="AP88" i="4"/>
  <c r="AC88" i="4"/>
  <c r="AD88" i="4" s="1"/>
  <c r="AN150" i="4"/>
  <c r="AK150" i="4"/>
  <c r="AL150" i="4" s="1"/>
  <c r="AF150" i="4"/>
  <c r="AG150" i="4" s="1"/>
  <c r="AI150" i="4" s="1"/>
  <c r="BJ345" i="5"/>
  <c r="BK345" i="5"/>
  <c r="BK242" i="5"/>
  <c r="BJ242" i="5"/>
  <c r="BI73" i="5"/>
  <c r="AQ73" i="5"/>
  <c r="AR73" i="5"/>
  <c r="BK547" i="5"/>
  <c r="BJ547" i="5"/>
  <c r="BK283" i="5"/>
  <c r="BJ283" i="5"/>
  <c r="AR151" i="5"/>
  <c r="BI151" i="5"/>
  <c r="AQ151" i="5"/>
  <c r="BJ114" i="5"/>
  <c r="BK114" i="5"/>
  <c r="AQ219" i="5"/>
  <c r="BI219" i="5"/>
  <c r="AR219" i="5"/>
  <c r="BK373" i="5"/>
  <c r="BJ373" i="5"/>
  <c r="BJ530" i="5"/>
  <c r="BK530" i="5"/>
  <c r="BJ149" i="5"/>
  <c r="BK149" i="5"/>
  <c r="S311" i="5"/>
  <c r="R311" i="5"/>
  <c r="R183" i="5"/>
  <c r="S183" i="5"/>
  <c r="R13" i="5"/>
  <c r="S13" i="5"/>
  <c r="S302" i="5"/>
  <c r="R302" i="5"/>
  <c r="S242" i="5"/>
  <c r="R242" i="5"/>
  <c r="R367" i="5"/>
  <c r="S367" i="5"/>
  <c r="R118" i="5"/>
  <c r="S118" i="5"/>
  <c r="R423" i="5"/>
  <c r="S423" i="5"/>
  <c r="R256" i="5"/>
  <c r="S256" i="5"/>
  <c r="S182" i="5"/>
  <c r="R182" i="5"/>
  <c r="R555" i="5"/>
  <c r="S555" i="5"/>
  <c r="R394" i="5"/>
  <c r="S394" i="5"/>
  <c r="R331" i="5"/>
  <c r="S331" i="5"/>
  <c r="R267" i="5"/>
  <c r="S267" i="5"/>
  <c r="S557" i="5"/>
  <c r="R557" i="5"/>
  <c r="S105" i="5"/>
  <c r="R105" i="5"/>
  <c r="S512" i="5"/>
  <c r="R512" i="5"/>
  <c r="S357" i="5"/>
  <c r="R357" i="5"/>
  <c r="R435" i="5"/>
  <c r="S435" i="5"/>
  <c r="R209" i="5"/>
  <c r="S209" i="5"/>
  <c r="R201" i="5"/>
  <c r="S201" i="5"/>
  <c r="R441" i="5"/>
  <c r="S441" i="5"/>
  <c r="R415" i="5"/>
  <c r="S415" i="5"/>
  <c r="S68" i="5"/>
  <c r="R68" i="5"/>
  <c r="R514" i="5"/>
  <c r="S514" i="5"/>
  <c r="S225" i="5"/>
  <c r="R225" i="5"/>
  <c r="S190" i="5"/>
  <c r="R190" i="5"/>
  <c r="S537" i="5"/>
  <c r="R537" i="5"/>
  <c r="R500" i="5"/>
  <c r="S500" i="5"/>
  <c r="S319" i="5"/>
  <c r="R319" i="5"/>
  <c r="R193" i="5"/>
  <c r="S193" i="5"/>
  <c r="R295" i="5"/>
  <c r="S295" i="5"/>
  <c r="S142" i="5"/>
  <c r="R142" i="5"/>
  <c r="S169" i="5"/>
  <c r="R169" i="5"/>
  <c r="S516" i="5"/>
  <c r="R516" i="5"/>
  <c r="S457" i="5"/>
  <c r="R457" i="5"/>
  <c r="S481" i="5"/>
  <c r="R481" i="5"/>
  <c r="R221" i="5"/>
  <c r="S221" i="5"/>
  <c r="S227" i="5"/>
  <c r="R227" i="5"/>
  <c r="S439" i="5"/>
  <c r="R439" i="5"/>
  <c r="S395" i="5"/>
  <c r="R395" i="5"/>
  <c r="R148" i="5"/>
  <c r="S148" i="5"/>
  <c r="S90" i="5"/>
  <c r="R90" i="5"/>
  <c r="R447" i="5"/>
  <c r="S447" i="5"/>
  <c r="S360" i="5"/>
  <c r="R360" i="5"/>
  <c r="S526" i="5"/>
  <c r="R526" i="5"/>
  <c r="S407" i="5"/>
  <c r="R407" i="5"/>
  <c r="R405" i="5"/>
  <c r="S405" i="5"/>
  <c r="R42" i="5"/>
  <c r="S42" i="5"/>
  <c r="S436" i="5"/>
  <c r="R436" i="5"/>
  <c r="R186" i="5"/>
  <c r="S186" i="5"/>
  <c r="S165" i="5"/>
  <c r="R165" i="5"/>
  <c r="S294" i="5"/>
  <c r="R294" i="5"/>
  <c r="S170" i="5"/>
  <c r="R170" i="5"/>
  <c r="R284" i="5"/>
  <c r="S284" i="5"/>
  <c r="S30" i="5"/>
  <c r="R30" i="5"/>
  <c r="S551" i="5"/>
  <c r="R551" i="5"/>
  <c r="S449" i="5"/>
  <c r="R449" i="5"/>
  <c r="R485" i="5"/>
  <c r="S485" i="5"/>
  <c r="S54" i="5"/>
  <c r="R54" i="5"/>
  <c r="S92" i="5"/>
  <c r="R92" i="5"/>
  <c r="R365" i="5"/>
  <c r="S365" i="5"/>
  <c r="R208" i="5"/>
  <c r="S208" i="5"/>
  <c r="S43" i="5"/>
  <c r="R43" i="5"/>
  <c r="S139" i="5"/>
  <c r="R139" i="5"/>
  <c r="R524" i="5"/>
  <c r="S524" i="5"/>
  <c r="S275" i="5"/>
  <c r="R275" i="5"/>
  <c r="R245" i="5"/>
  <c r="S245" i="5"/>
  <c r="R470" i="5"/>
  <c r="S470" i="5"/>
  <c r="S554" i="5"/>
  <c r="R554" i="5"/>
  <c r="R136" i="5"/>
  <c r="S136" i="5"/>
  <c r="S236" i="5"/>
  <c r="R236" i="5"/>
  <c r="S397" i="5"/>
  <c r="R397" i="5"/>
  <c r="R277" i="5"/>
  <c r="S277" i="5"/>
  <c r="S167" i="5"/>
  <c r="R167" i="5"/>
  <c r="S332" i="5"/>
  <c r="R332" i="5"/>
  <c r="R347" i="5"/>
  <c r="S347" i="5"/>
  <c r="R176" i="5"/>
  <c r="S176" i="5"/>
  <c r="R291" i="5"/>
  <c r="S291" i="5"/>
  <c r="R159" i="5"/>
  <c r="S159" i="5"/>
  <c r="S185" i="5"/>
  <c r="R185" i="5"/>
  <c r="S263" i="5"/>
  <c r="R263" i="5"/>
  <c r="S88" i="5"/>
  <c r="R88" i="5"/>
  <c r="R499" i="5"/>
  <c r="S499" i="5"/>
  <c r="S28" i="5"/>
  <c r="R28" i="5"/>
  <c r="S219" i="5"/>
  <c r="R219" i="5"/>
  <c r="S300" i="5"/>
  <c r="R300" i="5"/>
  <c r="R288" i="5"/>
  <c r="S288" i="5"/>
  <c r="S344" i="5"/>
  <c r="R344" i="5"/>
  <c r="R78" i="5"/>
  <c r="S78" i="5"/>
  <c r="S8" i="5"/>
  <c r="R8" i="5"/>
  <c r="S541" i="5"/>
  <c r="R541" i="5"/>
  <c r="R387" i="5"/>
  <c r="S387" i="5"/>
  <c r="S428" i="5"/>
  <c r="R428" i="5"/>
  <c r="S543" i="5"/>
  <c r="R543" i="5"/>
  <c r="R114" i="5"/>
  <c r="S114" i="5"/>
  <c r="S382" i="5"/>
  <c r="R382" i="5"/>
  <c r="S438" i="5"/>
  <c r="R438" i="5"/>
  <c r="S518" i="5"/>
  <c r="R518" i="5"/>
  <c r="S293" i="5"/>
  <c r="R293" i="5"/>
  <c r="S326" i="5"/>
  <c r="R326" i="5"/>
  <c r="S463" i="5"/>
  <c r="R463" i="5"/>
  <c r="R207" i="5"/>
  <c r="S207" i="5"/>
  <c r="R336" i="5"/>
  <c r="S336" i="5"/>
  <c r="R132" i="5"/>
  <c r="S132" i="5"/>
  <c r="R62" i="5"/>
  <c r="S62" i="5"/>
  <c r="S321" i="5"/>
  <c r="R321" i="5"/>
  <c r="R327" i="5"/>
  <c r="S327" i="5"/>
  <c r="S215" i="5"/>
  <c r="R215" i="5"/>
  <c r="R272" i="5"/>
  <c r="S272" i="5"/>
  <c r="R96" i="5"/>
  <c r="S96" i="5"/>
  <c r="S513" i="5"/>
  <c r="R513" i="5"/>
  <c r="S217" i="5"/>
  <c r="R217" i="5"/>
  <c r="R161" i="5"/>
  <c r="S161" i="5"/>
  <c r="R547" i="5"/>
  <c r="S547" i="5"/>
  <c r="S322" i="5"/>
  <c r="R322" i="5"/>
  <c r="S70" i="5"/>
  <c r="R70" i="5"/>
  <c r="R89" i="5"/>
  <c r="S89" i="5"/>
  <c r="R458" i="5"/>
  <c r="S458" i="5"/>
  <c r="R317" i="5"/>
  <c r="S317" i="5"/>
  <c r="S286" i="5"/>
  <c r="R286" i="5"/>
  <c r="R173" i="5"/>
  <c r="S173" i="5"/>
  <c r="R517" i="5"/>
  <c r="S517" i="5"/>
  <c r="S117" i="5"/>
  <c r="R117" i="5"/>
  <c r="S33" i="5"/>
  <c r="R33" i="5"/>
  <c r="R534" i="5"/>
  <c r="S534" i="5"/>
  <c r="R194" i="5"/>
  <c r="S194" i="5"/>
  <c r="R285" i="5"/>
  <c r="S285" i="5"/>
  <c r="S214" i="5"/>
  <c r="R214" i="5"/>
  <c r="R455" i="5"/>
  <c r="S455" i="5"/>
  <c r="S79" i="5"/>
  <c r="R79" i="5"/>
  <c r="S339" i="5"/>
  <c r="R339" i="5"/>
  <c r="S325" i="5"/>
  <c r="R325" i="5"/>
  <c r="S404" i="5"/>
  <c r="R404" i="5"/>
  <c r="S424" i="5"/>
  <c r="R424" i="5"/>
  <c r="R385" i="5"/>
  <c r="S385" i="5"/>
  <c r="R53" i="5"/>
  <c r="S53" i="5"/>
  <c r="AN24" i="4"/>
  <c r="AF24" i="4"/>
  <c r="AG24" i="4" s="1"/>
  <c r="AI24" i="4" s="1"/>
  <c r="AK24" i="4"/>
  <c r="AL24" i="4" s="1"/>
  <c r="AN50" i="4"/>
  <c r="AF50" i="4"/>
  <c r="AG50" i="4" s="1"/>
  <c r="AI50" i="4" s="1"/>
  <c r="AC248" i="5"/>
  <c r="AC235" i="5"/>
  <c r="AC218" i="5"/>
  <c r="AC525" i="5"/>
  <c r="AC304" i="5"/>
  <c r="AC494" i="5"/>
  <c r="AN8" i="4"/>
  <c r="AK8" i="4"/>
  <c r="AL8" i="4" s="1"/>
  <c r="AF8" i="4"/>
  <c r="AG8" i="4" s="1"/>
  <c r="AI8" i="4" s="1"/>
  <c r="AN15" i="4"/>
  <c r="AF15" i="4"/>
  <c r="AG15" i="4" s="1"/>
  <c r="AI15" i="4" s="1"/>
  <c r="AK15" i="4"/>
  <c r="AL15" i="4" s="1"/>
  <c r="AQ524" i="5"/>
  <c r="AR524" i="5"/>
  <c r="BI524" i="5"/>
  <c r="BK131" i="5"/>
  <c r="BJ131" i="5"/>
  <c r="BK30" i="5"/>
  <c r="BJ30" i="5"/>
  <c r="AK115" i="4"/>
  <c r="AL115" i="4" s="1"/>
  <c r="AN115" i="4"/>
  <c r="AF115" i="4"/>
  <c r="AG115" i="4" s="1"/>
  <c r="AI115" i="4" s="1"/>
  <c r="AN21" i="4"/>
  <c r="AK21" i="4"/>
  <c r="AL21" i="4" s="1"/>
  <c r="AF21" i="4"/>
  <c r="AG21" i="4" s="1"/>
  <c r="AI21" i="4" s="1"/>
  <c r="AR452" i="5"/>
  <c r="BI452" i="5"/>
  <c r="AQ452" i="5"/>
  <c r="BK440" i="5"/>
  <c r="BJ440" i="5"/>
  <c r="BK98" i="5"/>
  <c r="BJ98" i="5"/>
  <c r="BK189" i="5"/>
  <c r="BJ189" i="5"/>
  <c r="BJ234" i="5"/>
  <c r="BK234" i="5"/>
  <c r="AN32" i="4"/>
  <c r="AF32" i="4"/>
  <c r="AG32" i="4" s="1"/>
  <c r="AI32" i="4" s="1"/>
  <c r="AN42" i="4"/>
  <c r="AF42" i="4"/>
  <c r="AG42" i="4" s="1"/>
  <c r="AI42" i="4" s="1"/>
  <c r="AP153" i="4"/>
  <c r="AQ153" i="4"/>
  <c r="AC153" i="4"/>
  <c r="AD153" i="4" s="1"/>
  <c r="AQ157" i="4"/>
  <c r="AP157" i="4"/>
  <c r="AC157" i="4"/>
  <c r="AD157" i="4" s="1"/>
  <c r="AN71" i="4"/>
  <c r="AK71" i="4"/>
  <c r="AL71" i="4" s="1"/>
  <c r="AF71" i="4"/>
  <c r="AG71" i="4" s="1"/>
  <c r="AI71" i="4" s="1"/>
  <c r="BK305" i="5"/>
  <c r="BJ305" i="5"/>
  <c r="BK112" i="5"/>
  <c r="BJ112" i="5"/>
  <c r="BJ415" i="5"/>
  <c r="BK415" i="5"/>
  <c r="BJ334" i="5"/>
  <c r="BK334" i="5"/>
  <c r="BJ385" i="5"/>
  <c r="BK385" i="5"/>
  <c r="BK323" i="5"/>
  <c r="BJ323" i="5"/>
  <c r="BJ161" i="5"/>
  <c r="BK161" i="5"/>
  <c r="BJ222" i="5"/>
  <c r="BK222" i="5"/>
  <c r="BK160" i="5"/>
  <c r="BJ160" i="5"/>
  <c r="BJ479" i="5"/>
  <c r="BK479" i="5"/>
  <c r="BK239" i="5"/>
  <c r="BJ239" i="5"/>
  <c r="BJ553" i="5"/>
  <c r="BK553" i="5"/>
  <c r="AQ54" i="5"/>
  <c r="BI54" i="5"/>
  <c r="AR54" i="5"/>
  <c r="BK271" i="5"/>
  <c r="BJ271" i="5"/>
  <c r="BJ174" i="5"/>
  <c r="BK174" i="5"/>
  <c r="AK41" i="4"/>
  <c r="AL41" i="4" s="1"/>
  <c r="AN41" i="4"/>
  <c r="AF41" i="4"/>
  <c r="AG41" i="4" s="1"/>
  <c r="AI41" i="4" s="1"/>
  <c r="AN39" i="4"/>
  <c r="AK39" i="4"/>
  <c r="AL39" i="4" s="1"/>
  <c r="AF39" i="4"/>
  <c r="AG39" i="4" s="1"/>
  <c r="AI39" i="4" s="1"/>
  <c r="AQ119" i="4"/>
  <c r="AP119" i="4"/>
  <c r="AC119" i="4"/>
  <c r="AD119" i="4" s="1"/>
  <c r="BJ206" i="5"/>
  <c r="BK206" i="5"/>
  <c r="BJ169" i="5"/>
  <c r="BK169" i="5"/>
  <c r="AQ372" i="5"/>
  <c r="AR372" i="5"/>
  <c r="BI372" i="5"/>
  <c r="BK207" i="5"/>
  <c r="BJ207" i="5"/>
  <c r="BJ175" i="5"/>
  <c r="BK175" i="5"/>
  <c r="BK384" i="5"/>
  <c r="BJ384" i="5"/>
  <c r="BK121" i="5"/>
  <c r="BJ121" i="5"/>
  <c r="BJ103" i="5"/>
  <c r="BK103" i="5"/>
  <c r="BJ409" i="5"/>
  <c r="BK409" i="5"/>
  <c r="BK220" i="5"/>
  <c r="BJ220" i="5"/>
  <c r="BI485" i="5"/>
  <c r="AR485" i="5"/>
  <c r="AQ485" i="5"/>
  <c r="BJ383" i="5"/>
  <c r="BK383" i="5"/>
  <c r="BK306" i="5"/>
  <c r="BJ306" i="5"/>
  <c r="BK289" i="5"/>
  <c r="BJ289" i="5"/>
  <c r="BK113" i="5"/>
  <c r="BJ113" i="5"/>
  <c r="S63" i="5"/>
  <c r="R63" i="5"/>
  <c r="S282" i="5"/>
  <c r="R282" i="5"/>
  <c r="S522" i="5"/>
  <c r="R522" i="5"/>
  <c r="S318" i="5"/>
  <c r="R318" i="5"/>
  <c r="R303" i="5"/>
  <c r="S303" i="5"/>
  <c r="S443" i="5"/>
  <c r="R443" i="5"/>
  <c r="S210" i="5"/>
  <c r="R210" i="5"/>
  <c r="R509" i="5"/>
  <c r="S509" i="5"/>
  <c r="S298" i="5"/>
  <c r="R298" i="5"/>
  <c r="S497" i="5"/>
  <c r="R497" i="5"/>
  <c r="S191" i="5"/>
  <c r="R191" i="5"/>
  <c r="S91" i="5"/>
  <c r="R91" i="5"/>
  <c r="R237" i="5"/>
  <c r="S237" i="5"/>
  <c r="R93" i="5"/>
  <c r="S93" i="5"/>
  <c r="S527" i="5"/>
  <c r="R527" i="5"/>
  <c r="S60" i="5"/>
  <c r="R60" i="5"/>
  <c r="R180" i="5"/>
  <c r="S180" i="5"/>
  <c r="S116" i="5"/>
  <c r="R116" i="5"/>
  <c r="S249" i="5"/>
  <c r="R249" i="5"/>
  <c r="S71" i="5"/>
  <c r="R71" i="5"/>
  <c r="R120" i="5"/>
  <c r="S120" i="5"/>
  <c r="S65" i="5"/>
  <c r="R65" i="5"/>
  <c r="R476" i="5"/>
  <c r="S476" i="5"/>
  <c r="R462" i="5"/>
  <c r="S462" i="5"/>
  <c r="S306" i="5"/>
  <c r="R306" i="5"/>
  <c r="R206" i="5"/>
  <c r="S206" i="5"/>
  <c r="R391" i="5"/>
  <c r="S391" i="5"/>
  <c r="R231" i="5"/>
  <c r="S231" i="5"/>
  <c r="R342" i="5"/>
  <c r="S342" i="5"/>
  <c r="R218" i="5"/>
  <c r="S218" i="5"/>
  <c r="S539" i="5"/>
  <c r="R539" i="5"/>
  <c r="S376" i="5"/>
  <c r="R376" i="5"/>
  <c r="R50" i="5"/>
  <c r="S50" i="5"/>
  <c r="S252" i="5"/>
  <c r="R252" i="5"/>
  <c r="R188" i="5"/>
  <c r="S188" i="5"/>
  <c r="R67" i="5"/>
  <c r="S67" i="5"/>
  <c r="R383" i="5"/>
  <c r="S383" i="5"/>
  <c r="S235" i="5"/>
  <c r="R235" i="5"/>
  <c r="S226" i="5"/>
  <c r="R226" i="5"/>
  <c r="R94" i="5"/>
  <c r="S94" i="5"/>
  <c r="S112" i="5"/>
  <c r="R112" i="5"/>
  <c r="R493" i="5"/>
  <c r="S493" i="5"/>
  <c r="R353" i="5"/>
  <c r="S353" i="5"/>
  <c r="S316" i="5"/>
  <c r="R316" i="5"/>
  <c r="S310" i="5"/>
  <c r="R310" i="5"/>
  <c r="S86" i="5"/>
  <c r="R86" i="5"/>
  <c r="S478" i="5"/>
  <c r="R478" i="5"/>
  <c r="S87" i="5"/>
  <c r="R87" i="5"/>
  <c r="S260" i="5"/>
  <c r="R260" i="5"/>
  <c r="S502" i="5"/>
  <c r="R502" i="5"/>
  <c r="R241" i="5"/>
  <c r="S241" i="5"/>
  <c r="R410" i="5"/>
  <c r="S410" i="5"/>
  <c r="R430" i="5"/>
  <c r="S430" i="5"/>
  <c r="S354" i="5"/>
  <c r="R354" i="5"/>
  <c r="S122" i="5"/>
  <c r="R122" i="5"/>
  <c r="R192" i="5"/>
  <c r="S192" i="5"/>
  <c r="S220" i="5"/>
  <c r="R220" i="5"/>
  <c r="R32" i="5"/>
  <c r="S32" i="5"/>
  <c r="S417" i="5"/>
  <c r="R417" i="5"/>
  <c r="R308" i="5"/>
  <c r="S308" i="5"/>
  <c r="R314" i="5"/>
  <c r="S314" i="5"/>
  <c r="S254" i="5"/>
  <c r="R254" i="5"/>
  <c r="R166" i="5"/>
  <c r="S166" i="5"/>
  <c r="R101" i="5"/>
  <c r="S101" i="5"/>
  <c r="S545" i="5"/>
  <c r="R545" i="5"/>
  <c r="R305" i="5"/>
  <c r="S305" i="5"/>
  <c r="S498" i="5"/>
  <c r="R498" i="5"/>
  <c r="S352" i="5"/>
  <c r="R352" i="5"/>
  <c r="S51" i="5"/>
  <c r="R51" i="5"/>
  <c r="S10" i="5"/>
  <c r="R10" i="5"/>
  <c r="R548" i="5"/>
  <c r="S548" i="5"/>
  <c r="R422" i="5"/>
  <c r="S422" i="5"/>
  <c r="S440" i="5"/>
  <c r="R440" i="5"/>
  <c r="R175" i="5"/>
  <c r="S175" i="5"/>
  <c r="S251" i="5"/>
  <c r="R251" i="5"/>
  <c r="S243" i="5"/>
  <c r="R243" i="5"/>
  <c r="S472" i="5"/>
  <c r="R472" i="5"/>
  <c r="S492" i="5"/>
  <c r="R492" i="5"/>
  <c r="R338" i="5"/>
  <c r="S338" i="5"/>
  <c r="S130" i="5"/>
  <c r="R130" i="5"/>
  <c r="S456" i="5"/>
  <c r="R456" i="5"/>
  <c r="S399" i="5"/>
  <c r="R399" i="5"/>
  <c r="S329" i="5"/>
  <c r="R329" i="5"/>
  <c r="S377" i="5"/>
  <c r="R377" i="5"/>
  <c r="R38" i="5"/>
  <c r="S38" i="5"/>
  <c r="R364" i="5"/>
  <c r="S364" i="5"/>
  <c r="R250" i="5"/>
  <c r="S250" i="5"/>
  <c r="R528" i="5"/>
  <c r="S528" i="5"/>
  <c r="R477" i="5"/>
  <c r="S477" i="5"/>
  <c r="S411" i="5"/>
  <c r="R411" i="5"/>
  <c r="R213" i="5"/>
  <c r="S213" i="5"/>
  <c r="S501" i="5"/>
  <c r="R501" i="5"/>
  <c r="R73" i="5"/>
  <c r="S73" i="5"/>
  <c r="R199" i="5"/>
  <c r="S199" i="5"/>
  <c r="R484" i="5"/>
  <c r="S484" i="5"/>
  <c r="S409" i="5"/>
  <c r="R409" i="5"/>
  <c r="R27" i="5"/>
  <c r="S27" i="5"/>
  <c r="S211" i="5"/>
  <c r="R211" i="5"/>
  <c r="S304" i="5"/>
  <c r="R304" i="5"/>
  <c r="R26" i="5"/>
  <c r="S26" i="5"/>
  <c r="S58" i="5"/>
  <c r="R58" i="5"/>
  <c r="R184" i="5"/>
  <c r="S184" i="5"/>
  <c r="S348" i="5"/>
  <c r="R348" i="5"/>
  <c r="S328" i="5"/>
  <c r="R328" i="5"/>
  <c r="R448" i="5"/>
  <c r="S448" i="5"/>
  <c r="S23" i="5"/>
  <c r="R23" i="5"/>
  <c r="S388" i="5"/>
  <c r="R388" i="5"/>
  <c r="R224" i="5"/>
  <c r="S224" i="5"/>
  <c r="S52" i="5"/>
  <c r="R52" i="5"/>
  <c r="R104" i="5"/>
  <c r="S104" i="5"/>
  <c r="R97" i="5"/>
  <c r="S97" i="5"/>
  <c r="R108" i="5"/>
  <c r="S108" i="5"/>
  <c r="S146" i="5"/>
  <c r="R146" i="5"/>
  <c r="R361" i="5"/>
  <c r="S361" i="5"/>
  <c r="S124" i="5"/>
  <c r="R124" i="5"/>
  <c r="R503" i="5"/>
  <c r="S503" i="5"/>
  <c r="S144" i="5"/>
  <c r="R144" i="5"/>
  <c r="S465" i="5"/>
  <c r="R465" i="5"/>
  <c r="S274" i="5"/>
  <c r="R274" i="5"/>
  <c r="R119" i="5"/>
  <c r="S119" i="5"/>
  <c r="R55" i="5"/>
  <c r="S55" i="5"/>
  <c r="S540" i="5"/>
  <c r="R540" i="5"/>
  <c r="R362" i="5"/>
  <c r="S362" i="5"/>
  <c r="R531" i="5"/>
  <c r="S531" i="5"/>
  <c r="S103" i="5"/>
  <c r="R103" i="5"/>
  <c r="S158" i="5"/>
  <c r="R158" i="5"/>
  <c r="S133" i="5"/>
  <c r="R133" i="5"/>
  <c r="S143" i="5"/>
  <c r="R143" i="5"/>
  <c r="R366" i="5"/>
  <c r="S366" i="5"/>
  <c r="R421" i="5"/>
  <c r="S421" i="5"/>
  <c r="S48" i="5"/>
  <c r="R48" i="5"/>
  <c r="R471" i="5"/>
  <c r="S471" i="5"/>
  <c r="R392" i="5"/>
  <c r="S392" i="5"/>
  <c r="R177" i="5"/>
  <c r="S177" i="5"/>
  <c r="S418" i="5"/>
  <c r="R418" i="5"/>
  <c r="R287" i="5"/>
  <c r="S287" i="5"/>
  <c r="S408" i="5"/>
  <c r="R408" i="5"/>
  <c r="BH7" i="5"/>
  <c r="BM7" i="5" s="1"/>
  <c r="BG7" i="5"/>
  <c r="BL7" i="5" s="1"/>
  <c r="BJ217" i="5"/>
  <c r="BK217" i="5"/>
  <c r="AK53" i="4"/>
  <c r="AL53" i="4" s="1"/>
  <c r="AN53" i="4"/>
  <c r="AF53" i="4"/>
  <c r="AG53" i="4" s="1"/>
  <c r="AI53" i="4" s="1"/>
  <c r="AC35" i="5"/>
  <c r="AC517" i="5"/>
  <c r="AC444" i="5"/>
  <c r="AC367" i="5"/>
  <c r="AC60" i="5"/>
  <c r="AC496" i="5"/>
  <c r="AC302" i="5"/>
  <c r="AC239" i="5"/>
  <c r="AC188" i="5"/>
  <c r="AC39" i="5"/>
  <c r="AC386" i="5"/>
  <c r="AC529" i="5"/>
  <c r="AC392" i="5"/>
  <c r="AC59" i="5"/>
  <c r="AC355" i="5"/>
  <c r="AC354" i="5"/>
  <c r="AC250" i="5"/>
  <c r="AC310" i="5"/>
  <c r="AC404" i="5"/>
  <c r="AC398" i="5"/>
  <c r="AC200" i="5"/>
  <c r="AC520" i="5"/>
  <c r="AC192" i="5"/>
  <c r="AC179" i="5"/>
  <c r="AC163" i="5"/>
  <c r="AC169" i="5"/>
  <c r="AC78" i="5"/>
  <c r="AC216" i="5"/>
  <c r="AC317" i="5"/>
  <c r="AC146" i="5"/>
  <c r="AC215" i="5"/>
  <c r="AC340" i="5"/>
  <c r="AC219" i="5"/>
  <c r="AC189" i="5"/>
  <c r="AC196" i="5"/>
  <c r="AC365" i="5"/>
  <c r="AC54" i="5"/>
  <c r="AC548" i="5"/>
  <c r="AC536" i="5"/>
  <c r="AC138" i="5"/>
  <c r="AC481" i="5"/>
  <c r="AC136" i="5"/>
  <c r="AC305" i="5"/>
  <c r="AC23" i="5"/>
  <c r="AC321" i="5"/>
  <c r="AC359" i="5"/>
  <c r="AC306" i="5"/>
  <c r="AC255" i="5"/>
  <c r="AC342" i="5"/>
  <c r="AC274" i="5"/>
  <c r="AC347" i="5"/>
  <c r="AC263" i="5"/>
  <c r="AC491" i="5"/>
  <c r="AC237" i="5"/>
  <c r="AC154" i="5"/>
  <c r="AC285" i="5"/>
  <c r="AC426" i="5"/>
  <c r="AC532" i="5"/>
  <c r="AC530" i="5"/>
  <c r="AC267" i="5"/>
  <c r="AC252" i="5"/>
  <c r="AC523" i="5"/>
  <c r="AC389" i="5"/>
  <c r="AC476" i="5"/>
  <c r="AC168" i="5"/>
  <c r="AC159" i="5"/>
  <c r="AC335" i="5"/>
  <c r="AC266" i="5"/>
  <c r="AC290" i="5"/>
  <c r="AC99" i="5"/>
  <c r="AC223" i="5"/>
  <c r="AC307" i="5"/>
  <c r="AC526" i="5"/>
  <c r="AC229" i="5"/>
  <c r="AC155" i="5"/>
  <c r="AC121" i="5"/>
  <c r="AC477" i="5"/>
  <c r="AC394" i="5"/>
  <c r="AC323" i="5"/>
  <c r="AC449" i="5"/>
  <c r="AC231" i="5"/>
  <c r="AC495" i="5"/>
  <c r="AC33" i="5"/>
  <c r="AC535" i="5"/>
  <c r="AC538" i="5"/>
  <c r="AC412" i="5"/>
  <c r="AC82" i="5"/>
  <c r="AC435" i="5"/>
  <c r="AC112" i="5"/>
  <c r="AC262" i="5"/>
  <c r="AC346" i="5"/>
  <c r="AC457" i="5"/>
  <c r="AC185" i="5"/>
  <c r="AC417" i="5"/>
  <c r="AC399" i="5"/>
  <c r="AC171" i="5"/>
  <c r="AC482" i="5"/>
  <c r="AC339" i="5"/>
  <c r="AC74" i="5"/>
  <c r="AC124" i="5"/>
  <c r="AC429" i="5"/>
  <c r="AC349" i="5"/>
  <c r="AC153" i="5"/>
  <c r="AC162" i="5"/>
  <c r="AC243" i="5"/>
  <c r="AC195" i="5"/>
  <c r="AC301" i="5"/>
  <c r="AC402" i="5"/>
  <c r="AC245" i="5"/>
  <c r="AC329" i="5"/>
  <c r="AC458" i="5"/>
  <c r="AC324" i="5"/>
  <c r="AC370" i="5"/>
  <c r="AC554" i="5"/>
  <c r="AC87" i="5"/>
  <c r="AC277" i="5"/>
  <c r="AC254" i="5"/>
  <c r="AC164" i="5"/>
  <c r="AC353" i="5"/>
  <c r="AC473" i="5"/>
  <c r="AC8" i="5"/>
  <c r="AC500" i="5"/>
  <c r="AC209" i="5"/>
  <c r="AC421" i="5"/>
  <c r="AC88" i="5"/>
  <c r="AC110" i="5"/>
  <c r="AC181" i="5"/>
  <c r="AC415" i="5"/>
  <c r="AC144" i="5"/>
  <c r="AC328" i="5"/>
  <c r="AC341" i="5"/>
  <c r="AC542" i="5"/>
  <c r="AC431" i="5"/>
  <c r="AC137" i="5"/>
  <c r="AC19" i="5"/>
  <c r="AC28" i="5"/>
  <c r="AC44" i="5"/>
  <c r="AQ139" i="4"/>
  <c r="AC139" i="4"/>
  <c r="AD139" i="4" s="1"/>
  <c r="AP139" i="4"/>
  <c r="AP104" i="4"/>
  <c r="AQ104" i="4"/>
  <c r="AC104" i="4"/>
  <c r="AD104" i="4" s="1"/>
  <c r="BJ27" i="5"/>
  <c r="BK27" i="5"/>
  <c r="BJ208" i="5"/>
  <c r="BK208" i="5"/>
  <c r="BJ399" i="5"/>
  <c r="BK399" i="5"/>
  <c r="BJ66" i="5"/>
  <c r="BK66" i="5"/>
  <c r="BK23" i="5"/>
  <c r="BJ23" i="5"/>
  <c r="AQ411" i="5"/>
  <c r="BI411" i="5"/>
  <c r="AR411" i="5"/>
  <c r="AQ446" i="5"/>
  <c r="BI446" i="5"/>
  <c r="AR446" i="5"/>
  <c r="BK343" i="5"/>
  <c r="BJ343" i="5"/>
  <c r="AP87" i="4"/>
  <c r="AQ87" i="4"/>
  <c r="AC87" i="4"/>
  <c r="AD87" i="4" s="1"/>
  <c r="AF25" i="4"/>
  <c r="AG25" i="4" s="1"/>
  <c r="AI25" i="4" s="1"/>
  <c r="AK25" i="4"/>
  <c r="AL25" i="4" s="1"/>
  <c r="AN25" i="4"/>
  <c r="AN27" i="4"/>
  <c r="AK27" i="4"/>
  <c r="AL27" i="4" s="1"/>
  <c r="AF27" i="4"/>
  <c r="AG27" i="4" s="1"/>
  <c r="AI27" i="4" s="1"/>
  <c r="BJ170" i="5"/>
  <c r="BK170" i="5"/>
  <c r="BJ80" i="5"/>
  <c r="BK80" i="5"/>
  <c r="BK240" i="5"/>
  <c r="BJ240" i="5"/>
  <c r="BJ472" i="5"/>
  <c r="BK472" i="5"/>
  <c r="BK145" i="5"/>
  <c r="BJ145" i="5"/>
  <c r="BK356" i="5"/>
  <c r="BJ356" i="5"/>
  <c r="BK535" i="5"/>
  <c r="BJ535" i="5"/>
  <c r="AC133" i="5"/>
  <c r="AC454" i="5"/>
  <c r="AC92" i="5"/>
  <c r="AC75" i="5"/>
  <c r="AC193" i="5"/>
  <c r="AC280" i="5"/>
  <c r="AC413" i="5"/>
  <c r="AC244" i="5"/>
  <c r="AC356" i="5"/>
  <c r="AC283" i="5"/>
  <c r="AC456" i="5"/>
  <c r="AC546" i="5"/>
  <c r="AC371" i="5"/>
  <c r="AC557" i="5"/>
  <c r="AC94" i="5"/>
  <c r="AC484" i="5"/>
  <c r="AC460" i="5"/>
  <c r="AC336" i="5"/>
  <c r="AC228" i="5"/>
  <c r="AC174" i="5"/>
  <c r="AC198" i="5"/>
  <c r="AC152" i="5"/>
  <c r="AC173" i="5"/>
  <c r="AC469" i="5"/>
  <c r="AC395" i="5"/>
  <c r="AC251" i="5"/>
  <c r="AC117" i="5"/>
  <c r="AC241" i="5"/>
  <c r="AC407" i="5"/>
  <c r="AC420" i="5"/>
  <c r="AC48" i="5"/>
  <c r="AC471" i="5"/>
  <c r="AC89" i="5"/>
  <c r="AC143" i="5"/>
  <c r="AC428" i="5"/>
  <c r="AC211" i="5"/>
  <c r="AC57" i="5"/>
  <c r="AC490" i="5"/>
  <c r="AC493" i="5"/>
  <c r="AC472" i="5"/>
  <c r="AC177" i="5"/>
  <c r="AC291" i="5"/>
  <c r="AC547" i="5"/>
  <c r="AC199" i="5"/>
  <c r="AC374" i="5"/>
  <c r="AC480" i="5"/>
  <c r="AC351" i="5"/>
  <c r="AC433" i="5"/>
  <c r="AC105" i="5"/>
  <c r="AC497" i="5"/>
  <c r="AC288" i="5"/>
  <c r="AC25" i="5"/>
  <c r="AC427" i="5"/>
  <c r="AC130" i="5"/>
  <c r="AC388" i="5"/>
  <c r="AC483" i="5"/>
  <c r="AC505" i="5"/>
  <c r="AC100" i="5"/>
  <c r="AC53" i="5"/>
  <c r="AC151" i="5"/>
  <c r="AC264" i="5"/>
  <c r="AC156" i="5"/>
  <c r="AC512" i="5"/>
  <c r="AC275" i="5"/>
  <c r="AC303" i="5"/>
  <c r="AC343" i="5"/>
  <c r="AC452" i="5"/>
  <c r="AC67" i="5"/>
  <c r="AC314" i="5"/>
  <c r="AC68" i="5"/>
  <c r="AC295" i="5"/>
  <c r="AC378" i="5"/>
  <c r="AC539" i="5"/>
  <c r="AC65" i="5"/>
  <c r="AC253" i="5"/>
  <c r="AC545" i="5"/>
  <c r="AC47" i="5"/>
  <c r="AC425" i="5"/>
  <c r="AC432" i="5"/>
  <c r="AC333" i="5"/>
  <c r="AC450" i="5"/>
  <c r="AC271" i="5"/>
  <c r="AC287" i="5"/>
  <c r="AC95" i="5"/>
  <c r="AC120" i="5"/>
  <c r="AC289" i="5"/>
  <c r="AC544" i="5"/>
  <c r="AC486" i="5"/>
  <c r="AC488" i="5"/>
  <c r="AC487" i="5"/>
  <c r="AC128" i="5"/>
  <c r="AC203" i="5"/>
  <c r="AC453" i="5"/>
  <c r="AC220" i="5"/>
  <c r="AC191" i="5"/>
  <c r="AC322" i="5"/>
  <c r="AC381" i="5"/>
  <c r="AC207" i="5"/>
  <c r="AC474" i="5"/>
  <c r="AC424" i="5"/>
  <c r="AC41" i="5"/>
  <c r="AC279" i="5"/>
  <c r="AC93" i="5"/>
  <c r="AC393" i="5"/>
  <c r="AC331" i="5"/>
  <c r="AC150" i="5"/>
  <c r="AC236" i="5"/>
  <c r="AC352" i="5"/>
  <c r="AC551" i="5"/>
  <c r="AC549" i="5"/>
  <c r="AC83" i="5"/>
  <c r="AC234" i="5"/>
  <c r="AC316" i="5"/>
  <c r="AC372" i="5"/>
  <c r="AC51" i="5"/>
  <c r="AC187" i="5"/>
  <c r="AC309" i="5"/>
  <c r="AC437" i="5"/>
  <c r="AC507" i="5"/>
  <c r="AC558" i="5"/>
  <c r="AC522" i="5"/>
  <c r="AC210" i="5"/>
  <c r="AC166" i="5"/>
  <c r="AC258" i="5"/>
  <c r="AC70" i="5"/>
  <c r="AC21" i="5"/>
  <c r="AC76" i="5"/>
  <c r="AC282" i="5"/>
  <c r="AC29" i="5"/>
  <c r="AC541" i="5"/>
  <c r="AN51" i="4"/>
  <c r="AK51" i="4"/>
  <c r="AL51" i="4" s="1"/>
  <c r="AF51" i="4"/>
  <c r="AG51" i="4" s="1"/>
  <c r="AI51" i="4" s="1"/>
  <c r="BJ196" i="5"/>
  <c r="BK196" i="5"/>
  <c r="BK436" i="5"/>
  <c r="BJ436" i="5"/>
  <c r="BK182" i="5"/>
  <c r="BJ182" i="5"/>
  <c r="BJ184" i="5"/>
  <c r="BK184" i="5"/>
  <c r="AK120" i="4"/>
  <c r="AL120" i="4" s="1"/>
  <c r="AF120" i="4"/>
  <c r="AG120" i="4" s="1"/>
  <c r="AI120" i="4" s="1"/>
  <c r="AN120" i="4"/>
  <c r="BK94" i="5"/>
  <c r="BJ94" i="5"/>
  <c r="BK135" i="5"/>
  <c r="BJ135" i="5"/>
  <c r="BK490" i="5"/>
  <c r="BJ490" i="5"/>
  <c r="BK156" i="5"/>
  <c r="BJ156" i="5"/>
  <c r="BK45" i="5"/>
  <c r="BJ45" i="5"/>
  <c r="BJ392" i="5"/>
  <c r="BK392" i="5"/>
  <c r="BJ107" i="5"/>
  <c r="BK107" i="5"/>
  <c r="AQ176" i="5"/>
  <c r="AR176" i="5"/>
  <c r="BI176" i="5"/>
  <c r="BJ483" i="5"/>
  <c r="BK483" i="5"/>
  <c r="BJ199" i="5"/>
  <c r="BK199" i="5"/>
  <c r="BK221" i="5"/>
  <c r="BJ221" i="5"/>
  <c r="BK494" i="5"/>
  <c r="BJ494" i="5"/>
  <c r="BK22" i="5"/>
  <c r="BJ22" i="5"/>
  <c r="BJ275" i="5"/>
  <c r="BK275" i="5"/>
  <c r="BJ316" i="5"/>
  <c r="BK316" i="5"/>
  <c r="AN29" i="4"/>
  <c r="AK29" i="4"/>
  <c r="AL29" i="4" s="1"/>
  <c r="AF29" i="4"/>
  <c r="AG29" i="4" s="1"/>
  <c r="AI29" i="4" s="1"/>
  <c r="AQ138" i="4"/>
  <c r="AP138" i="4"/>
  <c r="AC138" i="4"/>
  <c r="AD138" i="4" s="1"/>
  <c r="BJ304" i="5"/>
  <c r="BK304" i="5"/>
  <c r="BK286" i="5"/>
  <c r="BJ286" i="5"/>
  <c r="AN9" i="4"/>
  <c r="AK9" i="4"/>
  <c r="AL9" i="4" s="1"/>
  <c r="AF9" i="4"/>
  <c r="AG9" i="4" s="1"/>
  <c r="AI9" i="4" s="1"/>
  <c r="BJ333" i="5"/>
  <c r="BK333" i="5"/>
  <c r="BJ124" i="5"/>
  <c r="BK124" i="5"/>
  <c r="BJ38" i="5"/>
  <c r="BK38" i="5"/>
  <c r="AC556" i="5"/>
  <c r="AC345" i="5"/>
  <c r="AC233" i="5"/>
  <c r="AC238" i="5"/>
  <c r="AC32" i="5"/>
  <c r="AC232" i="5"/>
  <c r="AC127" i="5"/>
  <c r="AC270" i="5"/>
  <c r="AC10" i="5"/>
  <c r="AC503" i="5"/>
  <c r="AC212" i="5"/>
  <c r="AC145" i="5"/>
  <c r="AC259" i="5"/>
  <c r="AC157" i="5"/>
  <c r="AC227" i="5"/>
  <c r="AC126" i="5"/>
  <c r="AC12" i="5"/>
  <c r="AC334" i="5"/>
  <c r="AC161" i="5"/>
  <c r="AC461" i="5"/>
  <c r="AC293" i="5"/>
  <c r="AC318" i="5"/>
  <c r="AC114" i="5"/>
  <c r="AC176" i="5"/>
  <c r="AC284" i="5"/>
  <c r="AC106" i="5"/>
  <c r="AC86" i="5"/>
  <c r="AC501" i="5"/>
  <c r="AC396" i="5"/>
  <c r="AC205" i="5"/>
  <c r="AC511" i="5"/>
  <c r="AC247" i="5"/>
  <c r="AC63" i="5"/>
  <c r="AC516" i="5"/>
  <c r="AC533" i="5"/>
  <c r="AC508" i="5"/>
  <c r="AC186" i="5"/>
  <c r="AC20" i="5"/>
  <c r="AC246" i="5"/>
  <c r="AC190" i="5"/>
  <c r="AC366" i="5"/>
  <c r="AC182" i="5"/>
  <c r="AC434" i="5"/>
  <c r="AC118" i="5"/>
  <c r="AC66" i="5"/>
  <c r="AC552" i="5"/>
  <c r="AC506" i="5"/>
  <c r="AC201" i="5"/>
  <c r="AC296" i="5"/>
  <c r="AC510" i="5"/>
  <c r="AC222" i="5"/>
  <c r="AC397" i="5"/>
  <c r="AC73" i="5"/>
  <c r="AC308" i="5"/>
  <c r="AC204" i="5"/>
  <c r="AC414" i="5"/>
  <c r="AC327" i="5"/>
  <c r="AC208" i="5"/>
  <c r="AC240" i="5"/>
  <c r="AC178" i="5"/>
  <c r="AC325" i="5"/>
  <c r="AC139" i="5"/>
  <c r="AC555" i="5"/>
  <c r="AC230" i="5"/>
  <c r="AC55" i="5"/>
  <c r="AC470" i="5"/>
  <c r="AC411" i="5"/>
  <c r="AC22" i="5"/>
  <c r="AC268" i="5"/>
  <c r="AC519" i="5"/>
  <c r="AC61" i="5"/>
  <c r="AC269" i="5"/>
  <c r="AC194" i="5"/>
  <c r="AC383" i="5"/>
  <c r="AC492" i="5"/>
  <c r="AC79" i="5"/>
  <c r="AC543" i="5"/>
  <c r="AC122" i="5"/>
  <c r="AC465" i="5"/>
  <c r="AC509" i="5"/>
  <c r="AC72" i="5"/>
  <c r="AC479" i="5"/>
  <c r="AC403" i="5"/>
  <c r="AC320" i="5"/>
  <c r="AC217" i="5"/>
  <c r="AC104" i="5"/>
  <c r="AC401" i="5"/>
  <c r="AC132" i="5"/>
  <c r="AC515" i="5"/>
  <c r="AC134" i="5"/>
  <c r="AC440" i="5"/>
  <c r="AC214" i="5"/>
  <c r="AC332" i="5"/>
  <c r="AC513" i="5"/>
  <c r="AC31" i="5"/>
  <c r="AC36" i="5"/>
  <c r="AC406" i="5"/>
  <c r="AC531" i="5"/>
  <c r="AC98" i="5"/>
  <c r="AC292" i="5"/>
  <c r="AC160" i="5"/>
  <c r="AC265" i="5"/>
  <c r="AC443" i="5"/>
  <c r="AC125" i="5"/>
  <c r="AC485" i="5"/>
  <c r="AC45" i="5"/>
  <c r="AC475" i="5"/>
  <c r="AC362" i="5"/>
  <c r="AC286" i="5"/>
  <c r="AC141" i="5"/>
  <c r="AC90" i="5"/>
  <c r="AC445" i="5"/>
  <c r="AC448" i="5"/>
  <c r="AC38" i="5"/>
  <c r="AC213" i="5"/>
  <c r="AC377" i="5"/>
  <c r="AC430" i="5"/>
  <c r="AC260" i="5"/>
  <c r="AC225" i="5"/>
  <c r="AC419" i="5"/>
  <c r="AC81" i="5"/>
  <c r="AC358" i="5"/>
  <c r="AC49" i="5"/>
  <c r="AC326" i="5"/>
  <c r="AC410" i="5"/>
  <c r="AC97" i="5"/>
  <c r="AC281" i="5"/>
  <c r="AC85" i="5"/>
  <c r="AC524" i="5"/>
  <c r="AC297" i="5"/>
  <c r="AN100" i="4"/>
  <c r="AK100" i="4"/>
  <c r="AL100" i="4" s="1"/>
  <c r="AF100" i="4"/>
  <c r="AG100" i="4" s="1"/>
  <c r="AI100" i="4" s="1"/>
  <c r="AN104" i="4"/>
  <c r="AK104" i="4"/>
  <c r="AL104" i="4" s="1"/>
  <c r="AF104" i="4"/>
  <c r="AG104" i="4" s="1"/>
  <c r="AI104" i="4" s="1"/>
  <c r="AP120" i="4"/>
  <c r="AQ120" i="4"/>
  <c r="AC120" i="4"/>
  <c r="AD120" i="4" s="1"/>
  <c r="AR252" i="5"/>
  <c r="BI252" i="5"/>
  <c r="AQ252" i="5"/>
  <c r="AQ260" i="5"/>
  <c r="AR260" i="5"/>
  <c r="BI260" i="5"/>
  <c r="BK26" i="5"/>
  <c r="BJ26" i="5"/>
  <c r="BJ31" i="5"/>
  <c r="BK31" i="5"/>
  <c r="AR154" i="5"/>
  <c r="BI154" i="5"/>
  <c r="AQ154" i="5"/>
  <c r="BJ339" i="5"/>
  <c r="BK339" i="5"/>
  <c r="BJ307" i="5"/>
  <c r="BK307" i="5"/>
  <c r="BI529" i="5"/>
  <c r="AR529" i="5"/>
  <c r="AQ529" i="5"/>
  <c r="BK119" i="5"/>
  <c r="BJ119" i="5"/>
  <c r="BI68" i="5"/>
  <c r="AR68" i="5"/>
  <c r="AQ68" i="5"/>
  <c r="BJ337" i="5"/>
  <c r="BK337" i="5"/>
  <c r="BJ102" i="5"/>
  <c r="BK102" i="5"/>
  <c r="BJ10" i="5"/>
  <c r="BK10" i="5"/>
  <c r="BJ422" i="5"/>
  <c r="BK422" i="5"/>
  <c r="AP47" i="4"/>
  <c r="AQ47" i="4"/>
  <c r="AC47" i="4"/>
  <c r="AD47" i="4" s="1"/>
  <c r="AK138" i="4"/>
  <c r="AL138" i="4" s="1"/>
  <c r="AN138" i="4"/>
  <c r="AF138" i="4"/>
  <c r="AG138" i="4" s="1"/>
  <c r="AI138" i="4" s="1"/>
  <c r="AQ80" i="4"/>
  <c r="AP80" i="4"/>
  <c r="AC80" i="4"/>
  <c r="AD80" i="4" s="1"/>
  <c r="BK254" i="5"/>
  <c r="BJ254" i="5"/>
  <c r="BK57" i="5"/>
  <c r="BJ57" i="5"/>
  <c r="BK313" i="5"/>
  <c r="BJ313" i="5"/>
  <c r="BJ178" i="5"/>
  <c r="BK178" i="5"/>
  <c r="BK185" i="5"/>
  <c r="BJ185" i="5"/>
  <c r="BK183" i="5"/>
  <c r="BJ183" i="5"/>
  <c r="BJ473" i="5"/>
  <c r="BK473" i="5"/>
  <c r="BK111" i="5"/>
  <c r="BJ111" i="5"/>
  <c r="BK273" i="5"/>
  <c r="BJ273" i="5"/>
  <c r="AQ99" i="4"/>
  <c r="AP99" i="4"/>
  <c r="AC99" i="4"/>
  <c r="AD99" i="4" s="1"/>
  <c r="AN91" i="4"/>
  <c r="AK91" i="4"/>
  <c r="AL91" i="4" s="1"/>
  <c r="AF91" i="4"/>
  <c r="AG91" i="4" s="1"/>
  <c r="AI91" i="4" s="1"/>
  <c r="AK46" i="4"/>
  <c r="AL46" i="4" s="1"/>
  <c r="AN46" i="4"/>
  <c r="AF46" i="4"/>
  <c r="AG46" i="4" s="1"/>
  <c r="AI46" i="4" s="1"/>
  <c r="AC9" i="5"/>
  <c r="AC455" i="5"/>
  <c r="AC344" i="5"/>
  <c r="AC96" i="5"/>
  <c r="AC382" i="5"/>
  <c r="AC311" i="5"/>
  <c r="AC534" i="5"/>
  <c r="AC459" i="5"/>
  <c r="AC363" i="5"/>
  <c r="AC58" i="5"/>
  <c r="AC330" i="5"/>
  <c r="AC50" i="5"/>
  <c r="AC313" i="5"/>
  <c r="AC423" i="5"/>
  <c r="AC135" i="5"/>
  <c r="AC142" i="5"/>
  <c r="AC224" i="5"/>
  <c r="AC111" i="5"/>
  <c r="AC439" i="5"/>
  <c r="AC261" i="5"/>
  <c r="AC24" i="5"/>
  <c r="AC71" i="5"/>
  <c r="AC312" i="5"/>
  <c r="AC206" i="5"/>
  <c r="AC257" i="5"/>
  <c r="AC273" i="5"/>
  <c r="AC147" i="5"/>
  <c r="AC140" i="5"/>
  <c r="AC131" i="5"/>
  <c r="AC540" i="5"/>
  <c r="AC400" i="5"/>
  <c r="AC103" i="5"/>
  <c r="AC375" i="5"/>
  <c r="AC357" i="5"/>
  <c r="AC502" i="5"/>
  <c r="AC361" i="5"/>
  <c r="AC390" i="5"/>
  <c r="AC553" i="5"/>
  <c r="AC102" i="5"/>
  <c r="AC52" i="5"/>
  <c r="AC338" i="5"/>
  <c r="AC221" i="5"/>
  <c r="AC467" i="5"/>
  <c r="AC26" i="5"/>
  <c r="AC226" i="5"/>
  <c r="AC446" i="5"/>
  <c r="AC158" i="5"/>
  <c r="AC436" i="5"/>
  <c r="AC550" i="5"/>
  <c r="AC165" i="5"/>
  <c r="AC202" i="5"/>
  <c r="AC368" i="5"/>
  <c r="AC80" i="5"/>
  <c r="AC278" i="5"/>
  <c r="AC464" i="5"/>
  <c r="AC478" i="5"/>
  <c r="AC463" i="5"/>
  <c r="AC376" i="5"/>
  <c r="AC387" i="5"/>
  <c r="AC183" i="5"/>
  <c r="AC108" i="5"/>
  <c r="AC422" i="5"/>
  <c r="AC184" i="5"/>
  <c r="AC197" i="5"/>
  <c r="AC84" i="5"/>
  <c r="AC294" i="5"/>
  <c r="AC498" i="5"/>
  <c r="AC385" i="5"/>
  <c r="AC380" i="5"/>
  <c r="AC499" i="5"/>
  <c r="AC298" i="5"/>
  <c r="AC409" i="5"/>
  <c r="AC113" i="5"/>
  <c r="AC148" i="5"/>
  <c r="AC107" i="5"/>
  <c r="AC391" i="5"/>
  <c r="AC489" i="5"/>
  <c r="AC43" i="5"/>
  <c r="AC360" i="5"/>
  <c r="AC101" i="5"/>
  <c r="AC30" i="5"/>
  <c r="AC337" i="5"/>
  <c r="AC40" i="5"/>
  <c r="AC172" i="5"/>
  <c r="AC379" i="5"/>
  <c r="AC408" i="5"/>
  <c r="AC116" i="5"/>
  <c r="AC518" i="5"/>
  <c r="AC276" i="5"/>
  <c r="AC175" i="5"/>
  <c r="AC528" i="5"/>
  <c r="AC384" i="5"/>
  <c r="AC451" i="5"/>
  <c r="AC441" i="5"/>
  <c r="AC56" i="5"/>
  <c r="AC91" i="5"/>
  <c r="AC438" i="5"/>
  <c r="AC416" i="5"/>
  <c r="AC109" i="5"/>
  <c r="AC364" i="5"/>
  <c r="AC13" i="5"/>
  <c r="AC319" i="5"/>
  <c r="AC300" i="5"/>
  <c r="AC69" i="5"/>
  <c r="AC442" i="5"/>
  <c r="AC462" i="5"/>
  <c r="AC42" i="5"/>
  <c r="AC64" i="5"/>
  <c r="AC123" i="5"/>
  <c r="AC537" i="5"/>
  <c r="AC521" i="5"/>
  <c r="AC447" i="5"/>
  <c r="AC350" i="5"/>
  <c r="AC369" i="5"/>
  <c r="AC115" i="5"/>
  <c r="AC27" i="5"/>
  <c r="AC149" i="5"/>
  <c r="AC373" i="5"/>
  <c r="AC504" i="5"/>
  <c r="AC180" i="5"/>
  <c r="AC34" i="5"/>
  <c r="AC119" i="5"/>
  <c r="AC242" i="5"/>
  <c r="AC299" i="5"/>
  <c r="AC466" i="5"/>
  <c r="AC272" i="5"/>
  <c r="AC514" i="5"/>
  <c r="AC559" i="5"/>
  <c r="AC62" i="5"/>
  <c r="AC560" i="5"/>
  <c r="AC77" i="5"/>
  <c r="AC37" i="5"/>
  <c r="AC405" i="5"/>
  <c r="AC468" i="5"/>
  <c r="AC256" i="5"/>
  <c r="AC348" i="5"/>
  <c r="AC46" i="5"/>
  <c r="AQ100" i="4"/>
  <c r="AP100" i="4"/>
  <c r="AC100" i="4"/>
  <c r="AD100" i="4" s="1"/>
  <c r="AN139" i="4"/>
  <c r="AK139" i="4"/>
  <c r="AL139" i="4" s="1"/>
  <c r="AF139" i="4"/>
  <c r="AG139" i="4" s="1"/>
  <c r="AI139" i="4" s="1"/>
  <c r="BJ245" i="5"/>
  <c r="BK245" i="5"/>
  <c r="BJ412" i="5"/>
  <c r="BK412" i="5"/>
  <c r="BJ278" i="5"/>
  <c r="BK278" i="5"/>
  <c r="BJ408" i="5"/>
  <c r="BK408" i="5"/>
  <c r="AQ394" i="5"/>
  <c r="AR394" i="5"/>
  <c r="BI394" i="5"/>
  <c r="BK134" i="5"/>
  <c r="BJ134" i="5"/>
  <c r="BK403" i="5"/>
  <c r="BJ403" i="5"/>
  <c r="BK87" i="5"/>
  <c r="BJ87" i="5"/>
  <c r="BJ469" i="5"/>
  <c r="BK469" i="5"/>
  <c r="BJ522" i="5"/>
  <c r="BK522" i="5"/>
  <c r="AQ444" i="5"/>
  <c r="AR444" i="5"/>
  <c r="BI444" i="5"/>
  <c r="BJ41" i="5"/>
  <c r="BK41" i="5"/>
  <c r="BJ235" i="5"/>
  <c r="BK235" i="5"/>
  <c r="BI159" i="5"/>
  <c r="AQ159" i="5"/>
  <c r="AR159" i="5"/>
  <c r="BK61" i="5"/>
  <c r="BJ61" i="5"/>
  <c r="BK195" i="5"/>
  <c r="BJ195" i="5"/>
  <c r="BK101" i="5"/>
  <c r="BJ101" i="5"/>
  <c r="BJ519" i="5"/>
  <c r="BK519" i="5"/>
  <c r="BK331" i="5"/>
  <c r="BJ331" i="5"/>
  <c r="BJ534" i="5"/>
  <c r="BK534" i="5"/>
  <c r="AN87" i="4"/>
  <c r="AK87" i="4"/>
  <c r="AL87" i="4" s="1"/>
  <c r="AF87" i="4"/>
  <c r="AG87" i="4" s="1"/>
  <c r="AI87" i="4" s="1"/>
  <c r="AN47" i="4"/>
  <c r="AK47" i="4"/>
  <c r="AL47" i="4" s="1"/>
  <c r="AF47" i="4"/>
  <c r="AG47" i="4" s="1"/>
  <c r="AI47" i="4" s="1"/>
  <c r="AK35" i="4"/>
  <c r="AL35" i="4" s="1"/>
  <c r="AN35" i="4"/>
  <c r="AF35" i="4"/>
  <c r="AG35" i="4" s="1"/>
  <c r="AI35" i="4" s="1"/>
  <c r="AK10" i="4"/>
  <c r="AL10" i="4" s="1"/>
  <c r="AN10" i="4"/>
  <c r="AF10" i="4"/>
  <c r="AG10" i="4" s="1"/>
  <c r="AI10" i="4" s="1"/>
  <c r="AK80" i="4"/>
  <c r="AL80" i="4" s="1"/>
  <c r="AN80" i="4"/>
  <c r="AF80" i="4"/>
  <c r="AG80" i="4" s="1"/>
  <c r="AI80" i="4" s="1"/>
  <c r="AF16" i="4"/>
  <c r="AG16" i="4" s="1"/>
  <c r="AI16" i="4" s="1"/>
  <c r="AN16" i="4"/>
  <c r="AK16" i="4"/>
  <c r="AL16" i="4" s="1"/>
  <c r="BJ538" i="5"/>
  <c r="BK538" i="5"/>
  <c r="BJ546" i="5"/>
  <c r="BK546" i="5"/>
  <c r="BJ489" i="5"/>
  <c r="BK489" i="5"/>
  <c r="BK338" i="5" l="1"/>
  <c r="BK282" i="5"/>
  <c r="BK193" i="5"/>
  <c r="BK397" i="5"/>
  <c r="BK418" i="5"/>
  <c r="BJ274" i="5"/>
  <c r="BK368" i="5"/>
  <c r="BK202" i="5"/>
  <c r="BK228" i="5"/>
  <c r="BK117" i="5"/>
  <c r="BK375" i="5"/>
  <c r="BK250" i="5"/>
  <c r="BK344" i="5"/>
  <c r="BK243" i="5"/>
  <c r="BK227" i="5"/>
  <c r="BK545" i="5"/>
  <c r="BJ244" i="5"/>
  <c r="BJ391" i="5"/>
  <c r="BK326" i="5"/>
  <c r="BJ279" i="5"/>
  <c r="BJ560" i="5"/>
  <c r="BK241" i="5"/>
  <c r="BK64" i="5"/>
  <c r="BJ272" i="5"/>
  <c r="BK324" i="5"/>
  <c r="BK285" i="5"/>
  <c r="BK340" i="5"/>
  <c r="BK52" i="5"/>
  <c r="BK32" i="5"/>
  <c r="BK365" i="5"/>
  <c r="BK526" i="5"/>
  <c r="BK528" i="5"/>
  <c r="BJ230" i="5"/>
  <c r="BK132" i="5"/>
  <c r="BK514" i="5"/>
  <c r="BK164" i="5"/>
  <c r="BJ181" i="5"/>
  <c r="BK363" i="5"/>
  <c r="BJ171" i="5"/>
  <c r="BJ200" i="5"/>
  <c r="BJ173" i="5"/>
  <c r="AC10" i="4"/>
  <c r="AD10" i="4" s="1"/>
  <c r="BK466" i="5"/>
  <c r="BJ133" i="5"/>
  <c r="BJ432" i="5"/>
  <c r="BJ237" i="5"/>
  <c r="BJ40" i="5"/>
  <c r="BJ292" i="5"/>
  <c r="AN58" i="4"/>
  <c r="AK58" i="4"/>
  <c r="AL58" i="4" s="1"/>
  <c r="BK536" i="5"/>
  <c r="BK105" i="5"/>
  <c r="AC145" i="4"/>
  <c r="AD145" i="4" s="1"/>
  <c r="BJ476" i="5"/>
  <c r="BJ246" i="5"/>
  <c r="BJ358" i="5"/>
  <c r="BJ287" i="5"/>
  <c r="BK192" i="5"/>
  <c r="BK253" i="5"/>
  <c r="BJ20" i="5"/>
  <c r="BK515" i="5"/>
  <c r="AN127" i="4"/>
  <c r="AO127" i="4" s="1"/>
  <c r="BK96" i="5"/>
  <c r="BK387" i="5"/>
  <c r="AF86" i="4"/>
  <c r="AG86" i="4" s="1"/>
  <c r="AI86" i="4" s="1"/>
  <c r="AK86" i="4"/>
  <c r="AL86" i="4" s="1"/>
  <c r="AO86" i="4" s="1"/>
  <c r="BJ501" i="5"/>
  <c r="BK39" i="5"/>
  <c r="AF127" i="4"/>
  <c r="AG127" i="4" s="1"/>
  <c r="AI127" i="4" s="1"/>
  <c r="BK512" i="5"/>
  <c r="BK8" i="5"/>
  <c r="BK349" i="5"/>
  <c r="BJ158" i="5"/>
  <c r="BJ70" i="5"/>
  <c r="BJ281" i="5"/>
  <c r="BJ266" i="5"/>
  <c r="AN130" i="4"/>
  <c r="AK130" i="4"/>
  <c r="AL130" i="4" s="1"/>
  <c r="BK410" i="5"/>
  <c r="AN131" i="4"/>
  <c r="AO131" i="4" s="1"/>
  <c r="BJ463" i="5"/>
  <c r="AQ86" i="4"/>
  <c r="BJ477" i="5"/>
  <c r="AQ145" i="4"/>
  <c r="BJ71" i="5"/>
  <c r="BJ137" i="5"/>
  <c r="AC130" i="4"/>
  <c r="AD130" i="4" s="1"/>
  <c r="AQ130" i="4"/>
  <c r="BK143" i="5"/>
  <c r="BJ421" i="5"/>
  <c r="BJ214" i="5"/>
  <c r="AF123" i="4"/>
  <c r="AG123" i="4" s="1"/>
  <c r="AI123" i="4" s="1"/>
  <c r="BJ298" i="5"/>
  <c r="BK478" i="5"/>
  <c r="AN123" i="4"/>
  <c r="AO123" i="4" s="1"/>
  <c r="AC86" i="4"/>
  <c r="AD86" i="4" s="1"/>
  <c r="BJ115" i="5"/>
  <c r="AC126" i="4"/>
  <c r="AD126" i="4" s="1"/>
  <c r="BK389" i="5"/>
  <c r="BJ177" i="5"/>
  <c r="BJ439" i="5"/>
  <c r="BJ471" i="5"/>
  <c r="BK74" i="5"/>
  <c r="BK277" i="5"/>
  <c r="BK521" i="5"/>
  <c r="BK367" i="5"/>
  <c r="BJ516" i="5"/>
  <c r="BK355" i="5"/>
  <c r="BK442" i="5"/>
  <c r="BJ43" i="5"/>
  <c r="BK146" i="5"/>
  <c r="BJ468" i="5"/>
  <c r="BK224" i="5"/>
  <c r="BJ510" i="5"/>
  <c r="BJ194" i="5"/>
  <c r="BK21" i="5"/>
  <c r="BJ231" i="5"/>
  <c r="BJ428" i="5"/>
  <c r="BK544" i="5"/>
  <c r="BJ475" i="5"/>
  <c r="BJ82" i="5"/>
  <c r="BJ321" i="5"/>
  <c r="AF58" i="4"/>
  <c r="AG58" i="4" s="1"/>
  <c r="AI58" i="4" s="1"/>
  <c r="BJ414" i="5"/>
  <c r="BK532" i="5"/>
  <c r="BK361" i="5"/>
  <c r="BK86" i="5"/>
  <c r="BJ346" i="5"/>
  <c r="BJ434" i="5"/>
  <c r="AN145" i="4"/>
  <c r="BJ24" i="5"/>
  <c r="BJ229" i="5"/>
  <c r="AK145" i="4"/>
  <c r="AL145" i="4" s="1"/>
  <c r="BK551" i="5"/>
  <c r="BJ484" i="5"/>
  <c r="BK167" i="5"/>
  <c r="BJ480" i="5"/>
  <c r="AQ127" i="4"/>
  <c r="BK213" i="5"/>
  <c r="AN75" i="4"/>
  <c r="AP127" i="4"/>
  <c r="BJ141" i="5"/>
  <c r="AQ29" i="4"/>
  <c r="BK232" i="5"/>
  <c r="AN92" i="4"/>
  <c r="AO92" i="4" s="1"/>
  <c r="BJ261" i="5"/>
  <c r="AF92" i="4"/>
  <c r="AG92" i="4" s="1"/>
  <c r="AI92" i="4" s="1"/>
  <c r="BK108" i="5"/>
  <c r="BJ162" i="5"/>
  <c r="BK449" i="5"/>
  <c r="BK106" i="5"/>
  <c r="BK486" i="5"/>
  <c r="BK303" i="5"/>
  <c r="AP125" i="4"/>
  <c r="BJ85" i="5"/>
  <c r="AF78" i="4"/>
  <c r="AG78" i="4" s="1"/>
  <c r="AI78" i="4" s="1"/>
  <c r="AQ125" i="4"/>
  <c r="AN78" i="4"/>
  <c r="AO78" i="4" s="1"/>
  <c r="BJ507" i="5"/>
  <c r="BJ42" i="5"/>
  <c r="BK336" i="5"/>
  <c r="BJ258" i="5"/>
  <c r="BJ458" i="5"/>
  <c r="AF131" i="4"/>
  <c r="AG131" i="4" s="1"/>
  <c r="AI131" i="4" s="1"/>
  <c r="BK542" i="5"/>
  <c r="AQ126" i="4"/>
  <c r="BK78" i="5"/>
  <c r="BJ125" i="5"/>
  <c r="BJ256" i="5"/>
  <c r="BK330" i="5"/>
  <c r="AQ85" i="4"/>
  <c r="AN76" i="4"/>
  <c r="AK42" i="4"/>
  <c r="AL42" i="4" s="1"/>
  <c r="AO42" i="4" s="1"/>
  <c r="AP39" i="4"/>
  <c r="AC53" i="4"/>
  <c r="AD53" i="4" s="1"/>
  <c r="AC39" i="4"/>
  <c r="AD39" i="4" s="1"/>
  <c r="AQ53" i="4"/>
  <c r="BJ92" i="5"/>
  <c r="BK63" i="5"/>
  <c r="BJ557" i="5"/>
  <c r="BK371" i="5"/>
  <c r="BJ259" i="5"/>
  <c r="BK400" i="5"/>
  <c r="BK525" i="5"/>
  <c r="BK95" i="5"/>
  <c r="BK291" i="5"/>
  <c r="BJ268" i="5"/>
  <c r="BJ317" i="5"/>
  <c r="BJ76" i="5"/>
  <c r="BK374" i="5"/>
  <c r="BK150" i="5"/>
  <c r="BJ481" i="5"/>
  <c r="BJ380" i="5"/>
  <c r="BJ376" i="5"/>
  <c r="BK312" i="5"/>
  <c r="BK201" i="5"/>
  <c r="BJ311" i="5"/>
  <c r="BJ362" i="5"/>
  <c r="BJ34" i="5"/>
  <c r="BK433" i="5"/>
  <c r="BJ342" i="5"/>
  <c r="BK59" i="5"/>
  <c r="BJ402" i="5"/>
  <c r="AQ131" i="4"/>
  <c r="BJ212" i="5"/>
  <c r="BK88" i="5"/>
  <c r="BJ487" i="5"/>
  <c r="AQ123" i="4"/>
  <c r="AN126" i="4"/>
  <c r="AO126" i="4" s="1"/>
  <c r="BK12" i="5"/>
  <c r="AC123" i="4"/>
  <c r="AD123" i="4" s="1"/>
  <c r="BJ537" i="5"/>
  <c r="BJ327" i="5"/>
  <c r="BJ299" i="5"/>
  <c r="BJ190" i="5"/>
  <c r="BK437" i="5"/>
  <c r="BJ56" i="5"/>
  <c r="BJ197" i="5"/>
  <c r="BK226" i="5"/>
  <c r="BJ404" i="5"/>
  <c r="BK350" i="5"/>
  <c r="BJ555" i="5"/>
  <c r="BJ233" i="5"/>
  <c r="BK427" i="5"/>
  <c r="BK296" i="5"/>
  <c r="BK502" i="5"/>
  <c r="BK136" i="5"/>
  <c r="BJ75" i="5"/>
  <c r="BK191" i="5"/>
  <c r="BJ168" i="5"/>
  <c r="AP37" i="4"/>
  <c r="BJ448" i="5"/>
  <c r="AC51" i="4"/>
  <c r="AD51" i="4" s="1"/>
  <c r="AP51" i="4"/>
  <c r="BK329" i="5"/>
  <c r="BK35" i="5"/>
  <c r="BK508" i="5"/>
  <c r="BK203" i="5"/>
  <c r="BJ65" i="5"/>
  <c r="BK498" i="5"/>
  <c r="BK455" i="5"/>
  <c r="BK126" i="5"/>
  <c r="BJ318" i="5"/>
  <c r="BK109" i="5"/>
  <c r="BK28" i="5"/>
  <c r="BK205" i="5"/>
  <c r="BK443" i="5"/>
  <c r="BJ166" i="5"/>
  <c r="BJ163" i="5"/>
  <c r="BJ533" i="5"/>
  <c r="BK441" i="5"/>
  <c r="BJ495" i="5"/>
  <c r="BJ60" i="5"/>
  <c r="BK302" i="5"/>
  <c r="BK37" i="5"/>
  <c r="BK238" i="5"/>
  <c r="BJ382" i="5"/>
  <c r="BK276" i="5"/>
  <c r="BK552" i="5"/>
  <c r="BK511" i="5"/>
  <c r="BK25" i="5"/>
  <c r="BK180" i="5"/>
  <c r="BJ79" i="5"/>
  <c r="BJ360" i="5"/>
  <c r="BK366" i="5"/>
  <c r="BK460" i="5"/>
  <c r="BK357" i="5"/>
  <c r="BJ354" i="5"/>
  <c r="BK398" i="5"/>
  <c r="BJ83" i="5"/>
  <c r="BK322" i="5"/>
  <c r="BJ295" i="5"/>
  <c r="BK464" i="5"/>
  <c r="AF109" i="4"/>
  <c r="AG109" i="4" s="1"/>
  <c r="AI109" i="4" s="1"/>
  <c r="BK457" i="5"/>
  <c r="AF148" i="4"/>
  <c r="AG148" i="4" s="1"/>
  <c r="AI148" i="4" s="1"/>
  <c r="BJ290" i="5"/>
  <c r="BK405" i="5"/>
  <c r="BK492" i="5"/>
  <c r="AQ35" i="4"/>
  <c r="AC131" i="4"/>
  <c r="AD131" i="4" s="1"/>
  <c r="AC49" i="4"/>
  <c r="AD49" i="4" s="1"/>
  <c r="AK75" i="4"/>
  <c r="AL75" i="4" s="1"/>
  <c r="AF151" i="4"/>
  <c r="AG151" i="4" s="1"/>
  <c r="AI151" i="4" s="1"/>
  <c r="AK151" i="4"/>
  <c r="AL151" i="4" s="1"/>
  <c r="AO151" i="4" s="1"/>
  <c r="BK493" i="5"/>
  <c r="BJ496" i="5"/>
  <c r="BJ53" i="5"/>
  <c r="BK152" i="5"/>
  <c r="BJ99" i="5"/>
  <c r="AC76" i="4"/>
  <c r="AD76" i="4" s="1"/>
  <c r="BK531" i="5"/>
  <c r="AP76" i="4"/>
  <c r="BJ157" i="5"/>
  <c r="BJ129" i="5"/>
  <c r="BK390" i="5"/>
  <c r="BJ67" i="5"/>
  <c r="AK155" i="4"/>
  <c r="AL155" i="4" s="1"/>
  <c r="AO155" i="4" s="1"/>
  <c r="BJ153" i="5"/>
  <c r="BK335" i="5"/>
  <c r="AF155" i="4"/>
  <c r="AG155" i="4" s="1"/>
  <c r="AI155" i="4" s="1"/>
  <c r="BJ210" i="5"/>
  <c r="BK188" i="5"/>
  <c r="BK269" i="5"/>
  <c r="BJ264" i="5"/>
  <c r="BK110" i="5"/>
  <c r="BK348" i="5"/>
  <c r="AF156" i="4"/>
  <c r="AG156" i="4" s="1"/>
  <c r="AI156" i="4" s="1"/>
  <c r="AN156" i="4"/>
  <c r="AO156" i="4" s="1"/>
  <c r="AP46" i="4"/>
  <c r="BK424" i="5"/>
  <c r="BJ447" i="5"/>
  <c r="BJ58" i="5"/>
  <c r="BK393" i="5"/>
  <c r="BJ450" i="5"/>
  <c r="AK148" i="4"/>
  <c r="AL148" i="4" s="1"/>
  <c r="AO148" i="4" s="1"/>
  <c r="BJ301" i="5"/>
  <c r="AN109" i="4"/>
  <c r="AO109" i="4" s="1"/>
  <c r="BJ100" i="5"/>
  <c r="BJ540" i="5"/>
  <c r="AC30" i="4"/>
  <c r="AD30" i="4" s="1"/>
  <c r="AC56" i="4"/>
  <c r="AD56" i="4" s="1"/>
  <c r="BK91" i="5"/>
  <c r="BK543" i="5"/>
  <c r="AQ30" i="4"/>
  <c r="AP56" i="4"/>
  <c r="BK506" i="5"/>
  <c r="BK347" i="5"/>
  <c r="BK328" i="5"/>
  <c r="BJ310" i="5"/>
  <c r="BK51" i="5"/>
  <c r="BJ378" i="5"/>
  <c r="BK263" i="5"/>
  <c r="BK69" i="5"/>
  <c r="BK315" i="5"/>
  <c r="BK554" i="5"/>
  <c r="BK548" i="5"/>
  <c r="BJ332" i="5"/>
  <c r="AC36" i="4"/>
  <c r="AD36" i="4" s="1"/>
  <c r="BK294" i="5"/>
  <c r="BK353" i="5"/>
  <c r="BK89" i="5"/>
  <c r="BK62" i="5"/>
  <c r="BJ249" i="5"/>
  <c r="BJ142" i="5"/>
  <c r="AN108" i="4"/>
  <c r="AO108" i="4" s="1"/>
  <c r="BJ50" i="5"/>
  <c r="BK488" i="5"/>
  <c r="AN154" i="4"/>
  <c r="AO154" i="4" s="1"/>
  <c r="AF108" i="4"/>
  <c r="AG108" i="4" s="1"/>
  <c r="AI108" i="4" s="1"/>
  <c r="BK198" i="5"/>
  <c r="AC97" i="4"/>
  <c r="AD97" i="4" s="1"/>
  <c r="AQ97" i="4"/>
  <c r="BJ308" i="5"/>
  <c r="BK247" i="5"/>
  <c r="AF154" i="4"/>
  <c r="AG154" i="4" s="1"/>
  <c r="AI154" i="4" s="1"/>
  <c r="BJ93" i="5"/>
  <c r="BK527" i="5"/>
  <c r="BJ44" i="5"/>
  <c r="BJ413" i="5"/>
  <c r="AP124" i="4"/>
  <c r="AF126" i="4"/>
  <c r="AG126" i="4" s="1"/>
  <c r="AI126" i="4" s="1"/>
  <c r="BJ300" i="5"/>
  <c r="BK505" i="5"/>
  <c r="AC52" i="4"/>
  <c r="AD52" i="4" s="1"/>
  <c r="BJ251" i="5"/>
  <c r="BK341" i="5"/>
  <c r="AC58" i="4"/>
  <c r="AD58" i="4" s="1"/>
  <c r="AP58" i="4"/>
  <c r="BK265" i="5"/>
  <c r="AC35" i="4"/>
  <c r="AD35" i="4" s="1"/>
  <c r="AQ154" i="4"/>
  <c r="AK32" i="4"/>
  <c r="AL32" i="4" s="1"/>
  <c r="AO32" i="4" s="1"/>
  <c r="AP154" i="4"/>
  <c r="AF73" i="4"/>
  <c r="AG73" i="4" s="1"/>
  <c r="AI73" i="4" s="1"/>
  <c r="BJ155" i="5"/>
  <c r="AN73" i="4"/>
  <c r="AO73" i="4" s="1"/>
  <c r="B189" i="2"/>
  <c r="B224" i="2" s="1"/>
  <c r="F69" i="1" s="1"/>
  <c r="BJ426" i="5"/>
  <c r="BK503" i="5"/>
  <c r="BK396" i="5"/>
  <c r="AK64" i="4"/>
  <c r="AL64" i="4" s="1"/>
  <c r="AO64" i="4" s="1"/>
  <c r="BJ556" i="5"/>
  <c r="AC73" i="4"/>
  <c r="AD73" i="4" s="1"/>
  <c r="BK454" i="5"/>
  <c r="AP73" i="4"/>
  <c r="AC43" i="4"/>
  <c r="AD43" i="4" s="1"/>
  <c r="BK388" i="5"/>
  <c r="BK104" i="5"/>
  <c r="AQ43" i="4"/>
  <c r="BK459" i="5"/>
  <c r="BJ218" i="5"/>
  <c r="BJ293" i="5"/>
  <c r="AF56" i="4"/>
  <c r="AG56" i="4" s="1"/>
  <c r="AI56" i="4" s="1"/>
  <c r="AN56" i="4"/>
  <c r="AO56" i="4" s="1"/>
  <c r="AJ56" i="4"/>
  <c r="BK7" i="5"/>
  <c r="AF142" i="4"/>
  <c r="AG142" i="4" s="1"/>
  <c r="AI142" i="4" s="1"/>
  <c r="BK523" i="5"/>
  <c r="AK142" i="4"/>
  <c r="AL142" i="4" s="1"/>
  <c r="AO142" i="4" s="1"/>
  <c r="BJ325" i="5"/>
  <c r="BK144" i="5"/>
  <c r="BJ297" i="5"/>
  <c r="AK36" i="4"/>
  <c r="AL36" i="4" s="1"/>
  <c r="AO36" i="4" s="1"/>
  <c r="BJ255" i="5"/>
  <c r="BK248" i="5"/>
  <c r="BK351" i="5"/>
  <c r="AQ52" i="4"/>
  <c r="AQ27" i="4"/>
  <c r="AK49" i="4"/>
  <c r="AL49" i="4" s="1"/>
  <c r="AO49" i="4" s="1"/>
  <c r="AC27" i="4"/>
  <c r="AD27" i="4" s="1"/>
  <c r="AP114" i="4"/>
  <c r="AQ114" i="4"/>
  <c r="AC124" i="4"/>
  <c r="AD124" i="4" s="1"/>
  <c r="AC28" i="4"/>
  <c r="AD28" i="4" s="1"/>
  <c r="AP28" i="4"/>
  <c r="AC41" i="4"/>
  <c r="AD41" i="4" s="1"/>
  <c r="AP78" i="4"/>
  <c r="AC33" i="4"/>
  <c r="AD33" i="4" s="1"/>
  <c r="AP41" i="4"/>
  <c r="AQ33" i="4"/>
  <c r="AK26" i="4"/>
  <c r="AL26" i="4" s="1"/>
  <c r="AO26" i="4" s="1"/>
  <c r="AC48" i="4"/>
  <c r="AD48" i="4" s="1"/>
  <c r="AP36" i="4"/>
  <c r="AQ48" i="4"/>
  <c r="AC31" i="4"/>
  <c r="AD31" i="4" s="1"/>
  <c r="AP31" i="4"/>
  <c r="BK187" i="5"/>
  <c r="AQ49" i="4"/>
  <c r="AC46" i="4"/>
  <c r="AD46" i="4" s="1"/>
  <c r="AQ19" i="4"/>
  <c r="BJ280" i="5"/>
  <c r="AC19" i="4"/>
  <c r="AD19" i="4" s="1"/>
  <c r="BK474" i="5"/>
  <c r="AC152" i="4"/>
  <c r="AD152" i="4" s="1"/>
  <c r="AC44" i="4"/>
  <c r="AD44" i="4" s="1"/>
  <c r="AQ152" i="4"/>
  <c r="AP44" i="4"/>
  <c r="AP29" i="4"/>
  <c r="BJ97" i="5"/>
  <c r="AF105" i="4"/>
  <c r="AG105" i="4" s="1"/>
  <c r="AI105" i="4" s="1"/>
  <c r="AK50" i="4"/>
  <c r="AL50" i="4" s="1"/>
  <c r="AO50" i="4" s="1"/>
  <c r="BK120" i="5"/>
  <c r="BJ130" i="5"/>
  <c r="BJ359" i="5"/>
  <c r="BK179" i="5"/>
  <c r="AK45" i="4"/>
  <c r="AL45" i="4" s="1"/>
  <c r="AO45" i="4" s="1"/>
  <c r="BK314" i="5"/>
  <c r="AF59" i="4"/>
  <c r="AG59" i="4" s="1"/>
  <c r="AI59" i="4" s="1"/>
  <c r="X59" i="4"/>
  <c r="AK59" i="4" s="1"/>
  <c r="AL59" i="4" s="1"/>
  <c r="AC110" i="4"/>
  <c r="AD110" i="4" s="1"/>
  <c r="AP110" i="4"/>
  <c r="AN62" i="4"/>
  <c r="X62" i="4"/>
  <c r="AJ62" i="4" s="1"/>
  <c r="AN61" i="4"/>
  <c r="X61" i="4"/>
  <c r="AN54" i="4"/>
  <c r="X54" i="4"/>
  <c r="AA42" i="4"/>
  <c r="AN117" i="4"/>
  <c r="AO117" i="4" s="1"/>
  <c r="AN65" i="4"/>
  <c r="X65" i="4"/>
  <c r="AJ65" i="4" s="1"/>
  <c r="AN55" i="4"/>
  <c r="X55" i="4"/>
  <c r="AJ55" i="4" s="1"/>
  <c r="AA62" i="4"/>
  <c r="AP62" i="4" s="1"/>
  <c r="AA40" i="4"/>
  <c r="AA64" i="4"/>
  <c r="BK225" i="5"/>
  <c r="X63" i="4"/>
  <c r="AQ101" i="4"/>
  <c r="AQ37" i="4"/>
  <c r="AN60" i="4"/>
  <c r="X60" i="4"/>
  <c r="AN57" i="4"/>
  <c r="X57" i="4"/>
  <c r="AK57" i="4" s="1"/>
  <c r="AL57" i="4" s="1"/>
  <c r="AA45" i="4"/>
  <c r="AK40" i="4"/>
  <c r="AL40" i="4" s="1"/>
  <c r="AO40" i="4" s="1"/>
  <c r="AA50" i="4"/>
  <c r="AN114" i="4"/>
  <c r="AO114" i="4" s="1"/>
  <c r="AC34" i="4"/>
  <c r="AD34" i="4" s="1"/>
  <c r="BJ423" i="5"/>
  <c r="AP34" i="4"/>
  <c r="AC78" i="4"/>
  <c r="AD78" i="4" s="1"/>
  <c r="AA32" i="4"/>
  <c r="AF140" i="4"/>
  <c r="AG140" i="4" s="1"/>
  <c r="AI140" i="4" s="1"/>
  <c r="AN140" i="4"/>
  <c r="AO140" i="4" s="1"/>
  <c r="AC21" i="4"/>
  <c r="AD21" i="4" s="1"/>
  <c r="AQ108" i="4"/>
  <c r="AP21" i="4"/>
  <c r="BK116" i="5"/>
  <c r="AF55" i="4"/>
  <c r="AG55" i="4" s="1"/>
  <c r="AI55" i="4" s="1"/>
  <c r="AF85" i="4"/>
  <c r="AG85" i="4" s="1"/>
  <c r="AI85" i="4" s="1"/>
  <c r="AC75" i="4"/>
  <c r="AD75" i="4" s="1"/>
  <c r="AQ75" i="4"/>
  <c r="AA26" i="4"/>
  <c r="AF114" i="4"/>
  <c r="AG114" i="4" s="1"/>
  <c r="AI114" i="4" s="1"/>
  <c r="BK539" i="5"/>
  <c r="BK90" i="5"/>
  <c r="BJ377" i="5"/>
  <c r="AC85" i="4"/>
  <c r="AD85" i="4" s="1"/>
  <c r="AQ128" i="4"/>
  <c r="BK461" i="5"/>
  <c r="AN69" i="4"/>
  <c r="AO69" i="4" s="1"/>
  <c r="AC101" i="4"/>
  <c r="AD101" i="4" s="1"/>
  <c r="AN105" i="4"/>
  <c r="AO105" i="4" s="1"/>
  <c r="BJ288" i="5"/>
  <c r="AP151" i="4"/>
  <c r="BK72" i="5"/>
  <c r="AF54" i="4"/>
  <c r="AG54" i="4" s="1"/>
  <c r="AI54" i="4" s="1"/>
  <c r="AQ140" i="4"/>
  <c r="AP82" i="4"/>
  <c r="AC142" i="4"/>
  <c r="AD142" i="4" s="1"/>
  <c r="AQ142" i="4"/>
  <c r="AP128" i="4"/>
  <c r="AP8" i="4"/>
  <c r="AC151" i="4"/>
  <c r="AD151" i="4" s="1"/>
  <c r="AK90" i="4"/>
  <c r="AL90" i="4" s="1"/>
  <c r="AP113" i="4"/>
  <c r="AQ77" i="4"/>
  <c r="AF106" i="4"/>
  <c r="AG106" i="4" s="1"/>
  <c r="AI106" i="4" s="1"/>
  <c r="AK85" i="4"/>
  <c r="AL85" i="4" s="1"/>
  <c r="AO85" i="4" s="1"/>
  <c r="AK106" i="4"/>
  <c r="AL106" i="4" s="1"/>
  <c r="AO106" i="4" s="1"/>
  <c r="AC155" i="4"/>
  <c r="AD155" i="4" s="1"/>
  <c r="AQ155" i="4"/>
  <c r="AF134" i="4"/>
  <c r="AG134" i="4" s="1"/>
  <c r="AI134" i="4" s="1"/>
  <c r="AN118" i="4"/>
  <c r="AO118" i="4" s="1"/>
  <c r="AN134" i="4"/>
  <c r="AO134" i="4" s="1"/>
  <c r="AP105" i="4"/>
  <c r="AC89" i="4"/>
  <c r="AD89" i="4" s="1"/>
  <c r="AN90" i="4"/>
  <c r="AC105" i="4"/>
  <c r="AD105" i="4" s="1"/>
  <c r="AC13" i="4"/>
  <c r="AD13" i="4" s="1"/>
  <c r="AP77" i="4"/>
  <c r="AP11" i="4"/>
  <c r="AP89" i="4"/>
  <c r="AC81" i="4"/>
  <c r="AD81" i="4" s="1"/>
  <c r="AC117" i="4"/>
  <c r="AD117" i="4" s="1"/>
  <c r="AF118" i="4"/>
  <c r="AG118" i="4" s="1"/>
  <c r="AI118" i="4" s="1"/>
  <c r="AC95" i="4"/>
  <c r="AD95" i="4" s="1"/>
  <c r="AQ81" i="4"/>
  <c r="AP117" i="4"/>
  <c r="AP95" i="4"/>
  <c r="AC11" i="4"/>
  <c r="AD11" i="4" s="1"/>
  <c r="AC134" i="4"/>
  <c r="AD134" i="4" s="1"/>
  <c r="AQ134" i="4"/>
  <c r="AC148" i="4"/>
  <c r="AD148" i="4" s="1"/>
  <c r="AQ148" i="4"/>
  <c r="AF63" i="4"/>
  <c r="AG63" i="4" s="1"/>
  <c r="AI63" i="4" s="1"/>
  <c r="AN116" i="4"/>
  <c r="AO116" i="4" s="1"/>
  <c r="AF117" i="4"/>
  <c r="AG117" i="4" s="1"/>
  <c r="AI117" i="4" s="1"/>
  <c r="AP129" i="4"/>
  <c r="AQ129" i="4"/>
  <c r="AF57" i="4"/>
  <c r="AG57" i="4" s="1"/>
  <c r="AI57" i="4" s="1"/>
  <c r="AC149" i="4"/>
  <c r="AD149" i="4" s="1"/>
  <c r="AP149" i="4"/>
  <c r="AC82" i="4"/>
  <c r="AD82" i="4" s="1"/>
  <c r="AP90" i="4"/>
  <c r="AK141" i="4"/>
  <c r="AL141" i="4" s="1"/>
  <c r="AO141" i="4" s="1"/>
  <c r="AP140" i="4"/>
  <c r="AP106" i="4"/>
  <c r="AF149" i="4"/>
  <c r="AG149" i="4" s="1"/>
  <c r="AI149" i="4" s="1"/>
  <c r="AQ13" i="4"/>
  <c r="AK129" i="4"/>
  <c r="AL129" i="4" s="1"/>
  <c r="AO129" i="4" s="1"/>
  <c r="AF133" i="4"/>
  <c r="AG133" i="4" s="1"/>
  <c r="AI133" i="4" s="1"/>
  <c r="AK76" i="4"/>
  <c r="AL76" i="4" s="1"/>
  <c r="AQ106" i="4"/>
  <c r="AN149" i="4"/>
  <c r="AO149" i="4" s="1"/>
  <c r="AF129" i="4"/>
  <c r="AG129" i="4" s="1"/>
  <c r="AI129" i="4" s="1"/>
  <c r="AP66" i="4"/>
  <c r="AQ74" i="4"/>
  <c r="AK133" i="4"/>
  <c r="AL133" i="4" s="1"/>
  <c r="AO133" i="4" s="1"/>
  <c r="AC122" i="4"/>
  <c r="AD122" i="4" s="1"/>
  <c r="AP122" i="4"/>
  <c r="AC141" i="4"/>
  <c r="AD141" i="4" s="1"/>
  <c r="AQ10" i="4"/>
  <c r="AQ90" i="4"/>
  <c r="AF141" i="4"/>
  <c r="AG141" i="4" s="1"/>
  <c r="AI141" i="4" s="1"/>
  <c r="AP141" i="4"/>
  <c r="AK136" i="4"/>
  <c r="AL136" i="4" s="1"/>
  <c r="AO136" i="4" s="1"/>
  <c r="AC79" i="4"/>
  <c r="AD79" i="4" s="1"/>
  <c r="AF69" i="4"/>
  <c r="AG69" i="4" s="1"/>
  <c r="AI69" i="4" s="1"/>
  <c r="AF61" i="4"/>
  <c r="AG61" i="4" s="1"/>
  <c r="AI61" i="4" s="1"/>
  <c r="AK110" i="4"/>
  <c r="AL110" i="4" s="1"/>
  <c r="AO110" i="4" s="1"/>
  <c r="AN112" i="4"/>
  <c r="AO112" i="4" s="1"/>
  <c r="AF135" i="4"/>
  <c r="AG135" i="4" s="1"/>
  <c r="AI135" i="4" s="1"/>
  <c r="AP108" i="4"/>
  <c r="AF113" i="4"/>
  <c r="AG113" i="4" s="1"/>
  <c r="AI113" i="4" s="1"/>
  <c r="AC69" i="4"/>
  <c r="AD69" i="4" s="1"/>
  <c r="AK135" i="4"/>
  <c r="AL135" i="4" s="1"/>
  <c r="AO135" i="4" s="1"/>
  <c r="AN113" i="4"/>
  <c r="AO113" i="4" s="1"/>
  <c r="AC98" i="4"/>
  <c r="AD98" i="4" s="1"/>
  <c r="AF122" i="4"/>
  <c r="AG122" i="4" s="1"/>
  <c r="AI122" i="4" s="1"/>
  <c r="AP69" i="4"/>
  <c r="AQ98" i="4"/>
  <c r="AQ133" i="4"/>
  <c r="AK122" i="4"/>
  <c r="AL122" i="4" s="1"/>
  <c r="AO122" i="4" s="1"/>
  <c r="AC94" i="4"/>
  <c r="AD94" i="4" s="1"/>
  <c r="AP144" i="4"/>
  <c r="AF74" i="4"/>
  <c r="AG74" i="4" s="1"/>
  <c r="AI74" i="4" s="1"/>
  <c r="AP94" i="4"/>
  <c r="AQ144" i="4"/>
  <c r="AK101" i="4"/>
  <c r="AL101" i="4" s="1"/>
  <c r="AF111" i="4"/>
  <c r="AG111" i="4" s="1"/>
  <c r="AI111" i="4" s="1"/>
  <c r="AK74" i="4"/>
  <c r="AL74" i="4" s="1"/>
  <c r="AO74" i="4" s="1"/>
  <c r="AN101" i="4"/>
  <c r="AN111" i="4"/>
  <c r="AO111" i="4" s="1"/>
  <c r="AC133" i="4"/>
  <c r="AD133" i="4" s="1"/>
  <c r="AQ109" i="4"/>
  <c r="AP9" i="4"/>
  <c r="AP112" i="4"/>
  <c r="AF110" i="4"/>
  <c r="AG110" i="4" s="1"/>
  <c r="AI110" i="4" s="1"/>
  <c r="AC109" i="4"/>
  <c r="AD109" i="4" s="1"/>
  <c r="AF112" i="4"/>
  <c r="AG112" i="4" s="1"/>
  <c r="AI112" i="4" s="1"/>
  <c r="AP67" i="4"/>
  <c r="AK124" i="4"/>
  <c r="AL124" i="4" s="1"/>
  <c r="AQ112" i="4"/>
  <c r="AC12" i="4"/>
  <c r="AD12" i="4" s="1"/>
  <c r="AC137" i="4"/>
  <c r="AD137" i="4" s="1"/>
  <c r="AQ137" i="4"/>
  <c r="AF152" i="4"/>
  <c r="AG152" i="4" s="1"/>
  <c r="AI152" i="4" s="1"/>
  <c r="AK94" i="4"/>
  <c r="AL94" i="4" s="1"/>
  <c r="AN89" i="4"/>
  <c r="AO89" i="4" s="1"/>
  <c r="AK152" i="4"/>
  <c r="AL152" i="4" s="1"/>
  <c r="AO152" i="4" s="1"/>
  <c r="AN94" i="4"/>
  <c r="AQ67" i="4"/>
  <c r="AC18" i="4"/>
  <c r="AD18" i="4" s="1"/>
  <c r="AC74" i="4"/>
  <c r="AD74" i="4" s="1"/>
  <c r="AF93" i="4"/>
  <c r="AG93" i="4" s="1"/>
  <c r="AI93" i="4" s="1"/>
  <c r="AP14" i="4"/>
  <c r="AK93" i="4"/>
  <c r="AL93" i="4" s="1"/>
  <c r="AO93" i="4" s="1"/>
  <c r="AC14" i="4"/>
  <c r="AD14" i="4" s="1"/>
  <c r="AQ8" i="4"/>
  <c r="AQ18" i="4"/>
  <c r="AQ24" i="4"/>
  <c r="AF136" i="4"/>
  <c r="AG136" i="4" s="1"/>
  <c r="AI136" i="4" s="1"/>
  <c r="AF116" i="4"/>
  <c r="AG116" i="4" s="1"/>
  <c r="AI116" i="4" s="1"/>
  <c r="AC93" i="4"/>
  <c r="AD93" i="4" s="1"/>
  <c r="AQ22" i="4"/>
  <c r="AQ136" i="4"/>
  <c r="AF60" i="4"/>
  <c r="AG60" i="4" s="1"/>
  <c r="AI60" i="4" s="1"/>
  <c r="AN59" i="4"/>
  <c r="AP93" i="4"/>
  <c r="AQ79" i="4"/>
  <c r="AP22" i="4"/>
  <c r="AP136" i="4"/>
  <c r="AC25" i="4"/>
  <c r="AD25" i="4" s="1"/>
  <c r="AK95" i="4"/>
  <c r="AL95" i="4" s="1"/>
  <c r="AO95" i="4" s="1"/>
  <c r="AQ25" i="4"/>
  <c r="AF95" i="4"/>
  <c r="AG95" i="4" s="1"/>
  <c r="AI95" i="4" s="1"/>
  <c r="AF143" i="4"/>
  <c r="AG143" i="4" s="1"/>
  <c r="AI143" i="4" s="1"/>
  <c r="AC24" i="4"/>
  <c r="AD24" i="4" s="1"/>
  <c r="AK143" i="4"/>
  <c r="AL143" i="4" s="1"/>
  <c r="AO143" i="4" s="1"/>
  <c r="AP135" i="4"/>
  <c r="AQ135" i="4"/>
  <c r="AC113" i="4"/>
  <c r="AD113" i="4" s="1"/>
  <c r="AC66" i="4"/>
  <c r="AD66" i="4" s="1"/>
  <c r="AP96" i="4"/>
  <c r="AK137" i="4"/>
  <c r="AL137" i="4" s="1"/>
  <c r="AF97" i="4"/>
  <c r="AG97" i="4" s="1"/>
  <c r="AI97" i="4" s="1"/>
  <c r="AQ16" i="4"/>
  <c r="AF144" i="4"/>
  <c r="AG144" i="4" s="1"/>
  <c r="AI144" i="4" s="1"/>
  <c r="AC11" i="5"/>
  <c r="AE11" i="5" s="1"/>
  <c r="AN97" i="4"/>
  <c r="AO97" i="4" s="1"/>
  <c r="AC92" i="4"/>
  <c r="AD92" i="4" s="1"/>
  <c r="AN82" i="4"/>
  <c r="AO82" i="4" s="1"/>
  <c r="AP7" i="4"/>
  <c r="AQ7" i="4"/>
  <c r="AC23" i="4"/>
  <c r="AD23" i="4" s="1"/>
  <c r="AN144" i="4"/>
  <c r="AO144" i="4" s="1"/>
  <c r="AP92" i="4"/>
  <c r="AF65" i="4"/>
  <c r="AG65" i="4" s="1"/>
  <c r="AI65" i="4" s="1"/>
  <c r="AF67" i="4"/>
  <c r="AG67" i="4" s="1"/>
  <c r="AI67" i="4" s="1"/>
  <c r="AF77" i="4"/>
  <c r="AG77" i="4" s="1"/>
  <c r="AI77" i="4" s="1"/>
  <c r="AQ23" i="4"/>
  <c r="AC111" i="4"/>
  <c r="AD111" i="4" s="1"/>
  <c r="AN67" i="4"/>
  <c r="AO67" i="4" s="1"/>
  <c r="AK77" i="4"/>
  <c r="AL77" i="4" s="1"/>
  <c r="AO77" i="4" s="1"/>
  <c r="AF128" i="4"/>
  <c r="AG128" i="4" s="1"/>
  <c r="AI128" i="4" s="1"/>
  <c r="AK81" i="4"/>
  <c r="AL81" i="4" s="1"/>
  <c r="AO81" i="4" s="1"/>
  <c r="AQ111" i="4"/>
  <c r="AN128" i="4"/>
  <c r="AO128" i="4" s="1"/>
  <c r="AF81" i="4"/>
  <c r="AG81" i="4" s="1"/>
  <c r="AI81" i="4" s="1"/>
  <c r="AC156" i="4"/>
  <c r="AD156" i="4" s="1"/>
  <c r="AF98" i="4"/>
  <c r="AG98" i="4" s="1"/>
  <c r="AI98" i="4" s="1"/>
  <c r="AF79" i="4"/>
  <c r="AG79" i="4" s="1"/>
  <c r="AI79" i="4" s="1"/>
  <c r="AP156" i="4"/>
  <c r="AP16" i="4"/>
  <c r="AF82" i="4"/>
  <c r="AG82" i="4" s="1"/>
  <c r="AI82" i="4" s="1"/>
  <c r="AN98" i="4"/>
  <c r="AO98" i="4" s="1"/>
  <c r="AK79" i="4"/>
  <c r="AL79" i="4" s="1"/>
  <c r="AO79" i="4" s="1"/>
  <c r="AO18" i="4"/>
  <c r="AC102" i="4"/>
  <c r="AD102" i="4" s="1"/>
  <c r="AP143" i="4"/>
  <c r="AN137" i="4"/>
  <c r="AP102" i="4"/>
  <c r="AC143" i="4"/>
  <c r="AD143" i="4" s="1"/>
  <c r="AN66" i="4"/>
  <c r="AN121" i="4"/>
  <c r="AO121" i="4" s="1"/>
  <c r="AF102" i="4"/>
  <c r="AG102" i="4" s="1"/>
  <c r="AI102" i="4" s="1"/>
  <c r="AK66" i="4"/>
  <c r="AL66" i="4" s="1"/>
  <c r="AF121" i="4"/>
  <c r="AG121" i="4" s="1"/>
  <c r="AI121" i="4" s="1"/>
  <c r="AP118" i="4"/>
  <c r="AP20" i="4"/>
  <c r="AK102" i="4"/>
  <c r="AL102" i="4" s="1"/>
  <c r="AO102" i="4" s="1"/>
  <c r="AC15" i="4"/>
  <c r="AD15" i="4" s="1"/>
  <c r="AC118" i="4"/>
  <c r="AD118" i="4" s="1"/>
  <c r="AC20" i="4"/>
  <c r="AD20" i="4" s="1"/>
  <c r="AP15" i="4"/>
  <c r="AC96" i="4"/>
  <c r="AD96" i="4" s="1"/>
  <c r="AP116" i="4"/>
  <c r="AQ9" i="4"/>
  <c r="AP12" i="4"/>
  <c r="AN124" i="4"/>
  <c r="AQ116" i="4"/>
  <c r="AF96" i="4"/>
  <c r="AG96" i="4" s="1"/>
  <c r="AI96" i="4" s="1"/>
  <c r="AC121" i="4"/>
  <c r="AD121" i="4" s="1"/>
  <c r="AK96" i="4"/>
  <c r="AL96" i="4" s="1"/>
  <c r="AO96" i="4" s="1"/>
  <c r="AQ121" i="4"/>
  <c r="AO107" i="4"/>
  <c r="AU107" i="4" s="1"/>
  <c r="AW107" i="4" s="1"/>
  <c r="AF125" i="4"/>
  <c r="AG125" i="4" s="1"/>
  <c r="AI125" i="4" s="1"/>
  <c r="AF89" i="4"/>
  <c r="AG89" i="4" s="1"/>
  <c r="AI89" i="4" s="1"/>
  <c r="AK125" i="4"/>
  <c r="AL125" i="4" s="1"/>
  <c r="AO125" i="4" s="1"/>
  <c r="AO150" i="4"/>
  <c r="AU150" i="4" s="1"/>
  <c r="AW150" i="4" s="1"/>
  <c r="AO34" i="4"/>
  <c r="AO157" i="4"/>
  <c r="AU157" i="4" s="1"/>
  <c r="AW157" i="4" s="1"/>
  <c r="AO22" i="4"/>
  <c r="AO48" i="4"/>
  <c r="AO132" i="4"/>
  <c r="AU132" i="4" s="1"/>
  <c r="AW132" i="4" s="1"/>
  <c r="AO7" i="4"/>
  <c r="AO19" i="4"/>
  <c r="AO11" i="4"/>
  <c r="AO103" i="4"/>
  <c r="AU103" i="4" s="1"/>
  <c r="AW103" i="4" s="1"/>
  <c r="AO87" i="4"/>
  <c r="AU87" i="4" s="1"/>
  <c r="AW87" i="4" s="1"/>
  <c r="AO91" i="4"/>
  <c r="AU91" i="4" s="1"/>
  <c r="AW91" i="4" s="1"/>
  <c r="AO138" i="4"/>
  <c r="AU138" i="4" s="1"/>
  <c r="AW138" i="4" s="1"/>
  <c r="AO80" i="4"/>
  <c r="AU80" i="4" s="1"/>
  <c r="AW80" i="4" s="1"/>
  <c r="BF418" i="5"/>
  <c r="BG418" i="5" s="1"/>
  <c r="BL418" i="5" s="1"/>
  <c r="AO16" i="4"/>
  <c r="AO9" i="4"/>
  <c r="AO53" i="4"/>
  <c r="AO21" i="4"/>
  <c r="AE418" i="5"/>
  <c r="AO72" i="4"/>
  <c r="AU72" i="4" s="1"/>
  <c r="AW72" i="4" s="1"/>
  <c r="AO38" i="4"/>
  <c r="AU38" i="4" s="1"/>
  <c r="AW38" i="4" s="1"/>
  <c r="AO52" i="4"/>
  <c r="AO147" i="4"/>
  <c r="AU147" i="4" s="1"/>
  <c r="AW147" i="4" s="1"/>
  <c r="AO88" i="4"/>
  <c r="AU88" i="4" s="1"/>
  <c r="AW88" i="4" s="1"/>
  <c r="AO15" i="4"/>
  <c r="AO8" i="4"/>
  <c r="AO24" i="4"/>
  <c r="AO68" i="4"/>
  <c r="AU68" i="4" s="1"/>
  <c r="AW68" i="4" s="1"/>
  <c r="AO31" i="4"/>
  <c r="AO13" i="4"/>
  <c r="AO10" i="4"/>
  <c r="AO27" i="4"/>
  <c r="AO20" i="4"/>
  <c r="AO84" i="4"/>
  <c r="AU84" i="4" s="1"/>
  <c r="AW84" i="4" s="1"/>
  <c r="AO37" i="4"/>
  <c r="AO12" i="4"/>
  <c r="AO25" i="4"/>
  <c r="AD559" i="5"/>
  <c r="BF559" i="5"/>
  <c r="AE559" i="5"/>
  <c r="AD27" i="5"/>
  <c r="BF27" i="5"/>
  <c r="AE27" i="5"/>
  <c r="AD69" i="5"/>
  <c r="BF69" i="5"/>
  <c r="AE69" i="5"/>
  <c r="AE384" i="5"/>
  <c r="AD384" i="5"/>
  <c r="BF384" i="5"/>
  <c r="AE101" i="5"/>
  <c r="AD101" i="5"/>
  <c r="BF101" i="5"/>
  <c r="BF391" i="5"/>
  <c r="AE391" i="5"/>
  <c r="AD391" i="5"/>
  <c r="AE409" i="5"/>
  <c r="AD409" i="5"/>
  <c r="BF409" i="5"/>
  <c r="AD385" i="5"/>
  <c r="AE385" i="5"/>
  <c r="BF385" i="5"/>
  <c r="AE197" i="5"/>
  <c r="AD197" i="5"/>
  <c r="BF197" i="5"/>
  <c r="AE183" i="5"/>
  <c r="AD183" i="5"/>
  <c r="BF183" i="5"/>
  <c r="AE478" i="5"/>
  <c r="BF478" i="5"/>
  <c r="AD478" i="5"/>
  <c r="AE368" i="5"/>
  <c r="AD368" i="5"/>
  <c r="BF368" i="5"/>
  <c r="AE436" i="5"/>
  <c r="AD436" i="5"/>
  <c r="BF436" i="5"/>
  <c r="AD26" i="5"/>
  <c r="AE26" i="5"/>
  <c r="BF26" i="5"/>
  <c r="BF52" i="5"/>
  <c r="AE52" i="5"/>
  <c r="AD52" i="5"/>
  <c r="AD361" i="5"/>
  <c r="BF361" i="5"/>
  <c r="AE361" i="5"/>
  <c r="AD103" i="5"/>
  <c r="AE103" i="5"/>
  <c r="BF103" i="5"/>
  <c r="AD140" i="5"/>
  <c r="BF140" i="5"/>
  <c r="AE140" i="5"/>
  <c r="AE206" i="5"/>
  <c r="BF206" i="5"/>
  <c r="AD206" i="5"/>
  <c r="AE261" i="5"/>
  <c r="AD261" i="5"/>
  <c r="BF261" i="5"/>
  <c r="BF142" i="5"/>
  <c r="AD142" i="5"/>
  <c r="AE142" i="5"/>
  <c r="BF50" i="5"/>
  <c r="AE50" i="5"/>
  <c r="AD50" i="5"/>
  <c r="AE459" i="5"/>
  <c r="BF459" i="5"/>
  <c r="AD459" i="5"/>
  <c r="BF96" i="5"/>
  <c r="AD96" i="5"/>
  <c r="AE96" i="5"/>
  <c r="BK260" i="5"/>
  <c r="BJ260" i="5"/>
  <c r="BK252" i="5"/>
  <c r="BJ252" i="5"/>
  <c r="AD297" i="5"/>
  <c r="AE297" i="5"/>
  <c r="BF297" i="5"/>
  <c r="AD97" i="5"/>
  <c r="AE97" i="5"/>
  <c r="BF97" i="5"/>
  <c r="AD358" i="5"/>
  <c r="AE358" i="5"/>
  <c r="BF358" i="5"/>
  <c r="AD260" i="5"/>
  <c r="AE260" i="5"/>
  <c r="BF260" i="5"/>
  <c r="AD38" i="5"/>
  <c r="BF38" i="5"/>
  <c r="AE38" i="5"/>
  <c r="BF141" i="5"/>
  <c r="AE141" i="5"/>
  <c r="AD141" i="5"/>
  <c r="AD45" i="5"/>
  <c r="BF45" i="5"/>
  <c r="AE45" i="5"/>
  <c r="AD265" i="5"/>
  <c r="AE265" i="5"/>
  <c r="BF265" i="5"/>
  <c r="AD531" i="5"/>
  <c r="BF531" i="5"/>
  <c r="AE531" i="5"/>
  <c r="BF513" i="5"/>
  <c r="AD513" i="5"/>
  <c r="AE513" i="5"/>
  <c r="AE134" i="5"/>
  <c r="BF134" i="5"/>
  <c r="AD134" i="5"/>
  <c r="BF104" i="5"/>
  <c r="AD104" i="5"/>
  <c r="AE104" i="5"/>
  <c r="AE479" i="5"/>
  <c r="AD479" i="5"/>
  <c r="BF479" i="5"/>
  <c r="BF122" i="5"/>
  <c r="AD122" i="5"/>
  <c r="AE122" i="5"/>
  <c r="BF383" i="5"/>
  <c r="AE383" i="5"/>
  <c r="AD383" i="5"/>
  <c r="AD519" i="5"/>
  <c r="AE519" i="5"/>
  <c r="BF519" i="5"/>
  <c r="AD470" i="5"/>
  <c r="AE470" i="5"/>
  <c r="BF470" i="5"/>
  <c r="BF139" i="5"/>
  <c r="AE139" i="5"/>
  <c r="AD139" i="5"/>
  <c r="AD208" i="5"/>
  <c r="BF208" i="5"/>
  <c r="AE208" i="5"/>
  <c r="AE308" i="5"/>
  <c r="AD308" i="5"/>
  <c r="BF308" i="5"/>
  <c r="BF510" i="5"/>
  <c r="AD510" i="5"/>
  <c r="AE510" i="5"/>
  <c r="AD552" i="5"/>
  <c r="AE552" i="5"/>
  <c r="BF552" i="5"/>
  <c r="BF182" i="5"/>
  <c r="AD182" i="5"/>
  <c r="AE182" i="5"/>
  <c r="AE20" i="5"/>
  <c r="BF20" i="5"/>
  <c r="AD20" i="5"/>
  <c r="AE516" i="5"/>
  <c r="AD516" i="5"/>
  <c r="BF516" i="5"/>
  <c r="AD205" i="5"/>
  <c r="BF205" i="5"/>
  <c r="AE205" i="5"/>
  <c r="AE106" i="5"/>
  <c r="BF106" i="5"/>
  <c r="AD106" i="5"/>
  <c r="AE318" i="5"/>
  <c r="BF318" i="5"/>
  <c r="AD318" i="5"/>
  <c r="AE334" i="5"/>
  <c r="BF334" i="5"/>
  <c r="AD334" i="5"/>
  <c r="AE157" i="5"/>
  <c r="BF157" i="5"/>
  <c r="AD157" i="5"/>
  <c r="AE503" i="5"/>
  <c r="BF503" i="5"/>
  <c r="AD503" i="5"/>
  <c r="AD232" i="5"/>
  <c r="BF232" i="5"/>
  <c r="AE232" i="5"/>
  <c r="BF345" i="5"/>
  <c r="AE345" i="5"/>
  <c r="AD345" i="5"/>
  <c r="AD541" i="5"/>
  <c r="BF541" i="5"/>
  <c r="AE541" i="5"/>
  <c r="AE21" i="5"/>
  <c r="AD21" i="5"/>
  <c r="BF21" i="5"/>
  <c r="AE210" i="5"/>
  <c r="BF210" i="5"/>
  <c r="AD210" i="5"/>
  <c r="AD437" i="5"/>
  <c r="BF437" i="5"/>
  <c r="AE437" i="5"/>
  <c r="BF372" i="5"/>
  <c r="AD372" i="5"/>
  <c r="AE372" i="5"/>
  <c r="AE549" i="5"/>
  <c r="BF549" i="5"/>
  <c r="AD549" i="5"/>
  <c r="AE150" i="5"/>
  <c r="AD150" i="5"/>
  <c r="BF150" i="5"/>
  <c r="AD279" i="5"/>
  <c r="BF279" i="5"/>
  <c r="AE279" i="5"/>
  <c r="AE207" i="5"/>
  <c r="AD207" i="5"/>
  <c r="BF207" i="5"/>
  <c r="BF128" i="5"/>
  <c r="AE128" i="5"/>
  <c r="AD128" i="5"/>
  <c r="AE544" i="5"/>
  <c r="AD544" i="5"/>
  <c r="BF544" i="5"/>
  <c r="AD287" i="5"/>
  <c r="BF287" i="5"/>
  <c r="AE287" i="5"/>
  <c r="AD432" i="5"/>
  <c r="AE432" i="5"/>
  <c r="BF432" i="5"/>
  <c r="AD253" i="5"/>
  <c r="BF253" i="5"/>
  <c r="AE253" i="5"/>
  <c r="AE295" i="5"/>
  <c r="AD295" i="5"/>
  <c r="BF295" i="5"/>
  <c r="AD452" i="5"/>
  <c r="BF452" i="5"/>
  <c r="AE452" i="5"/>
  <c r="AE512" i="5"/>
  <c r="BF512" i="5"/>
  <c r="AD512" i="5"/>
  <c r="AD53" i="5"/>
  <c r="AE53" i="5"/>
  <c r="BF53" i="5"/>
  <c r="AE388" i="5"/>
  <c r="AD388" i="5"/>
  <c r="BF388" i="5"/>
  <c r="AE288" i="5"/>
  <c r="AD288" i="5"/>
  <c r="BF288" i="5"/>
  <c r="AE351" i="5"/>
  <c r="AD351" i="5"/>
  <c r="BF351" i="5"/>
  <c r="AE547" i="5"/>
  <c r="AD547" i="5"/>
  <c r="BF547" i="5"/>
  <c r="AE493" i="5"/>
  <c r="AD493" i="5"/>
  <c r="BF493" i="5"/>
  <c r="BF428" i="5"/>
  <c r="AD428" i="5"/>
  <c r="AE428" i="5"/>
  <c r="BF48" i="5"/>
  <c r="AD48" i="5"/>
  <c r="AE48" i="5"/>
  <c r="AE117" i="5"/>
  <c r="AD117" i="5"/>
  <c r="BF117" i="5"/>
  <c r="AE173" i="5"/>
  <c r="BF173" i="5"/>
  <c r="AD173" i="5"/>
  <c r="AD228" i="5"/>
  <c r="AE228" i="5"/>
  <c r="BF228" i="5"/>
  <c r="AE94" i="5"/>
  <c r="AD94" i="5"/>
  <c r="BF94" i="5"/>
  <c r="AD456" i="5"/>
  <c r="BF456" i="5"/>
  <c r="AE456" i="5"/>
  <c r="AD413" i="5"/>
  <c r="AE413" i="5"/>
  <c r="BF413" i="5"/>
  <c r="AD92" i="5"/>
  <c r="AE92" i="5"/>
  <c r="BF92" i="5"/>
  <c r="BK411" i="5"/>
  <c r="BJ411" i="5"/>
  <c r="AD44" i="5"/>
  <c r="BF44" i="5"/>
  <c r="AE44" i="5"/>
  <c r="AD431" i="5"/>
  <c r="AE431" i="5"/>
  <c r="BF431" i="5"/>
  <c r="AE144" i="5"/>
  <c r="AD144" i="5"/>
  <c r="BF144" i="5"/>
  <c r="BF88" i="5"/>
  <c r="AE88" i="5"/>
  <c r="AD88" i="5"/>
  <c r="AD8" i="5"/>
  <c r="AE8" i="5"/>
  <c r="BF8" i="5"/>
  <c r="BF254" i="5"/>
  <c r="AE254" i="5"/>
  <c r="AD254" i="5"/>
  <c r="AD370" i="5"/>
  <c r="AE370" i="5"/>
  <c r="BF370" i="5"/>
  <c r="AD245" i="5"/>
  <c r="BF245" i="5"/>
  <c r="AE245" i="5"/>
  <c r="AE243" i="5"/>
  <c r="BF243" i="5"/>
  <c r="AD243" i="5"/>
  <c r="BF429" i="5"/>
  <c r="AD429" i="5"/>
  <c r="AE429" i="5"/>
  <c r="AE482" i="5"/>
  <c r="BF482" i="5"/>
  <c r="AD482" i="5"/>
  <c r="AE185" i="5"/>
  <c r="BF185" i="5"/>
  <c r="AD185" i="5"/>
  <c r="AD112" i="5"/>
  <c r="AE112" i="5"/>
  <c r="BF112" i="5"/>
  <c r="AE538" i="5"/>
  <c r="BF538" i="5"/>
  <c r="AD538" i="5"/>
  <c r="AD231" i="5"/>
  <c r="BF231" i="5"/>
  <c r="AE231" i="5"/>
  <c r="AE477" i="5"/>
  <c r="AD477" i="5"/>
  <c r="BF477" i="5"/>
  <c r="AE526" i="5"/>
  <c r="AD526" i="5"/>
  <c r="BF526" i="5"/>
  <c r="AE290" i="5"/>
  <c r="AD290" i="5"/>
  <c r="BF290" i="5"/>
  <c r="AD168" i="5"/>
  <c r="BF168" i="5"/>
  <c r="AE168" i="5"/>
  <c r="AE252" i="5"/>
  <c r="BF252" i="5"/>
  <c r="AD252" i="5"/>
  <c r="AD426" i="5"/>
  <c r="BF426" i="5"/>
  <c r="AE426" i="5"/>
  <c r="AE491" i="5"/>
  <c r="AD491" i="5"/>
  <c r="BF491" i="5"/>
  <c r="BF342" i="5"/>
  <c r="AE342" i="5"/>
  <c r="AD342" i="5"/>
  <c r="AE321" i="5"/>
  <c r="AD321" i="5"/>
  <c r="BF321" i="5"/>
  <c r="BF481" i="5"/>
  <c r="AE481" i="5"/>
  <c r="AD481" i="5"/>
  <c r="AD54" i="5"/>
  <c r="BF54" i="5"/>
  <c r="AE54" i="5"/>
  <c r="AE219" i="5"/>
  <c r="AD219" i="5"/>
  <c r="BF219" i="5"/>
  <c r="AE317" i="5"/>
  <c r="BF317" i="5"/>
  <c r="AD317" i="5"/>
  <c r="AE163" i="5"/>
  <c r="BF163" i="5"/>
  <c r="AD163" i="5"/>
  <c r="AE200" i="5"/>
  <c r="AD200" i="5"/>
  <c r="BF200" i="5"/>
  <c r="AD250" i="5"/>
  <c r="BF250" i="5"/>
  <c r="AE250" i="5"/>
  <c r="AE392" i="5"/>
  <c r="AD392" i="5"/>
  <c r="BF392" i="5"/>
  <c r="BF188" i="5"/>
  <c r="AD188" i="5"/>
  <c r="AE188" i="5"/>
  <c r="AE60" i="5"/>
  <c r="AD60" i="5"/>
  <c r="BF60" i="5"/>
  <c r="AE35" i="5"/>
  <c r="AD35" i="5"/>
  <c r="BF35" i="5"/>
  <c r="BK485" i="5"/>
  <c r="BJ485" i="5"/>
  <c r="AO71" i="4"/>
  <c r="AU71" i="4" s="1"/>
  <c r="AW71" i="4" s="1"/>
  <c r="AE218" i="5"/>
  <c r="BF218" i="5"/>
  <c r="AD218" i="5"/>
  <c r="AD235" i="5"/>
  <c r="BF235" i="5"/>
  <c r="AE235" i="5"/>
  <c r="BK209" i="5"/>
  <c r="BJ209" i="5"/>
  <c r="AO23" i="4"/>
  <c r="BK497" i="5"/>
  <c r="BJ497" i="5"/>
  <c r="AE167" i="5"/>
  <c r="AD167" i="5"/>
  <c r="BF167" i="5"/>
  <c r="AO99" i="4"/>
  <c r="AU99" i="4" s="1"/>
  <c r="AW99" i="4" s="1"/>
  <c r="BJ84" i="5"/>
  <c r="BK84" i="5"/>
  <c r="AO146" i="4"/>
  <c r="AU146" i="4" s="1"/>
  <c r="AW146" i="4" s="1"/>
  <c r="BJ127" i="5"/>
  <c r="BK127" i="5"/>
  <c r="AO30" i="4"/>
  <c r="AB11" i="5"/>
  <c r="AA11" i="5"/>
  <c r="U11" i="5"/>
  <c r="V11" i="5"/>
  <c r="AH11" i="5"/>
  <c r="AI11" i="5"/>
  <c r="BK284" i="5"/>
  <c r="BJ284" i="5"/>
  <c r="BK419" i="5"/>
  <c r="BJ419" i="5"/>
  <c r="BJ148" i="5"/>
  <c r="BK148" i="5"/>
  <c r="AO17" i="4"/>
  <c r="AU17" i="4" s="1"/>
  <c r="AW17" i="4" s="1"/>
  <c r="AD348" i="5"/>
  <c r="BF348" i="5"/>
  <c r="AE348" i="5"/>
  <c r="AE299" i="5"/>
  <c r="BF299" i="5"/>
  <c r="AD299" i="5"/>
  <c r="BF447" i="5"/>
  <c r="AE447" i="5"/>
  <c r="AD447" i="5"/>
  <c r="AE364" i="5"/>
  <c r="AD364" i="5"/>
  <c r="BF364" i="5"/>
  <c r="AE172" i="5"/>
  <c r="BF172" i="5"/>
  <c r="AD172" i="5"/>
  <c r="AO35" i="4"/>
  <c r="AO47" i="4"/>
  <c r="AU47" i="4" s="1"/>
  <c r="AW47" i="4" s="1"/>
  <c r="AE256" i="5"/>
  <c r="BF256" i="5"/>
  <c r="AD256" i="5"/>
  <c r="BF77" i="5"/>
  <c r="AE77" i="5"/>
  <c r="AD77" i="5"/>
  <c r="AD514" i="5"/>
  <c r="AE514" i="5"/>
  <c r="BF514" i="5"/>
  <c r="AE242" i="5"/>
  <c r="BF242" i="5"/>
  <c r="AD242" i="5"/>
  <c r="AD504" i="5"/>
  <c r="BF504" i="5"/>
  <c r="AE504" i="5"/>
  <c r="BF115" i="5"/>
  <c r="AE115" i="5"/>
  <c r="AD115" i="5"/>
  <c r="AD521" i="5"/>
  <c r="BF521" i="5"/>
  <c r="AE521" i="5"/>
  <c r="AD42" i="5"/>
  <c r="BF42" i="5"/>
  <c r="AE42" i="5"/>
  <c r="AD300" i="5"/>
  <c r="AE300" i="5"/>
  <c r="BF300" i="5"/>
  <c r="AE109" i="5"/>
  <c r="AD109" i="5"/>
  <c r="BF109" i="5"/>
  <c r="AD56" i="5"/>
  <c r="AE56" i="5"/>
  <c r="BF56" i="5"/>
  <c r="AE528" i="5"/>
  <c r="BF528" i="5"/>
  <c r="AD528" i="5"/>
  <c r="AD116" i="5"/>
  <c r="AE116" i="5"/>
  <c r="BF116" i="5"/>
  <c r="AE40" i="5"/>
  <c r="AD40" i="5"/>
  <c r="BF40" i="5"/>
  <c r="AE360" i="5"/>
  <c r="BF360" i="5"/>
  <c r="AD360" i="5"/>
  <c r="AD107" i="5"/>
  <c r="AE107" i="5"/>
  <c r="BF107" i="5"/>
  <c r="BF298" i="5"/>
  <c r="AD298" i="5"/>
  <c r="AE298" i="5"/>
  <c r="AD498" i="5"/>
  <c r="AE498" i="5"/>
  <c r="BF498" i="5"/>
  <c r="AE184" i="5"/>
  <c r="AD184" i="5"/>
  <c r="BF184" i="5"/>
  <c r="AE387" i="5"/>
  <c r="BF387" i="5"/>
  <c r="AD387" i="5"/>
  <c r="AD464" i="5"/>
  <c r="AE464" i="5"/>
  <c r="BF464" i="5"/>
  <c r="AE202" i="5"/>
  <c r="AD202" i="5"/>
  <c r="BF202" i="5"/>
  <c r="AE158" i="5"/>
  <c r="AD158" i="5"/>
  <c r="BF158" i="5"/>
  <c r="AE467" i="5"/>
  <c r="BF467" i="5"/>
  <c r="AD467" i="5"/>
  <c r="AE102" i="5"/>
  <c r="AD102" i="5"/>
  <c r="BF102" i="5"/>
  <c r="BF502" i="5"/>
  <c r="AD502" i="5"/>
  <c r="AE502" i="5"/>
  <c r="AD400" i="5"/>
  <c r="BF400" i="5"/>
  <c r="AE400" i="5"/>
  <c r="AE147" i="5"/>
  <c r="AD147" i="5"/>
  <c r="BF147" i="5"/>
  <c r="AE312" i="5"/>
  <c r="AD312" i="5"/>
  <c r="BF312" i="5"/>
  <c r="AD439" i="5"/>
  <c r="BF439" i="5"/>
  <c r="AE439" i="5"/>
  <c r="BF135" i="5"/>
  <c r="AE135" i="5"/>
  <c r="AD135" i="5"/>
  <c r="AE330" i="5"/>
  <c r="AD330" i="5"/>
  <c r="BF330" i="5"/>
  <c r="AE534" i="5"/>
  <c r="BF534" i="5"/>
  <c r="AD534" i="5"/>
  <c r="AE344" i="5"/>
  <c r="BF344" i="5"/>
  <c r="AD344" i="5"/>
  <c r="AD524" i="5"/>
  <c r="AE524" i="5"/>
  <c r="BF524" i="5"/>
  <c r="AD410" i="5"/>
  <c r="AE410" i="5"/>
  <c r="BF410" i="5"/>
  <c r="AD81" i="5"/>
  <c r="BF81" i="5"/>
  <c r="AE81" i="5"/>
  <c r="BF430" i="5"/>
  <c r="AD430" i="5"/>
  <c r="AE430" i="5"/>
  <c r="BF448" i="5"/>
  <c r="AE448" i="5"/>
  <c r="AD448" i="5"/>
  <c r="AD286" i="5"/>
  <c r="BF286" i="5"/>
  <c r="AE286" i="5"/>
  <c r="AD485" i="5"/>
  <c r="BF485" i="5"/>
  <c r="AE485" i="5"/>
  <c r="AD160" i="5"/>
  <c r="BF160" i="5"/>
  <c r="AE160" i="5"/>
  <c r="BF406" i="5"/>
  <c r="AD406" i="5"/>
  <c r="AE406" i="5"/>
  <c r="AE332" i="5"/>
  <c r="BF332" i="5"/>
  <c r="AD332" i="5"/>
  <c r="AD515" i="5"/>
  <c r="BF515" i="5"/>
  <c r="AE515" i="5"/>
  <c r="BF217" i="5"/>
  <c r="AD217" i="5"/>
  <c r="AE217" i="5"/>
  <c r="AD72" i="5"/>
  <c r="AE72" i="5"/>
  <c r="BF72" i="5"/>
  <c r="AE543" i="5"/>
  <c r="BF543" i="5"/>
  <c r="AD543" i="5"/>
  <c r="AE194" i="5"/>
  <c r="AD194" i="5"/>
  <c r="BF194" i="5"/>
  <c r="BF268" i="5"/>
  <c r="AE268" i="5"/>
  <c r="AD268" i="5"/>
  <c r="BF55" i="5"/>
  <c r="AD55" i="5"/>
  <c r="AE55" i="5"/>
  <c r="AE325" i="5"/>
  <c r="AD325" i="5"/>
  <c r="BF325" i="5"/>
  <c r="BF327" i="5"/>
  <c r="AD327" i="5"/>
  <c r="AE327" i="5"/>
  <c r="AE73" i="5"/>
  <c r="AD73" i="5"/>
  <c r="BF73" i="5"/>
  <c r="BF296" i="5"/>
  <c r="AE296" i="5"/>
  <c r="AD296" i="5"/>
  <c r="AE66" i="5"/>
  <c r="AD66" i="5"/>
  <c r="BF66" i="5"/>
  <c r="BF366" i="5"/>
  <c r="AD366" i="5"/>
  <c r="AE366" i="5"/>
  <c r="BF186" i="5"/>
  <c r="AE186" i="5"/>
  <c r="AD186" i="5"/>
  <c r="AD63" i="5"/>
  <c r="AE63" i="5"/>
  <c r="BF63" i="5"/>
  <c r="AD396" i="5"/>
  <c r="BF396" i="5"/>
  <c r="AE396" i="5"/>
  <c r="BF284" i="5"/>
  <c r="AD284" i="5"/>
  <c r="AE284" i="5"/>
  <c r="AE293" i="5"/>
  <c r="AD293" i="5"/>
  <c r="BF293" i="5"/>
  <c r="AD12" i="5"/>
  <c r="BF12" i="5"/>
  <c r="AE12" i="5"/>
  <c r="AE259" i="5"/>
  <c r="BF259" i="5"/>
  <c r="AD259" i="5"/>
  <c r="AD10" i="5"/>
  <c r="AE10" i="5"/>
  <c r="BF10" i="5"/>
  <c r="AD32" i="5"/>
  <c r="AE32" i="5"/>
  <c r="BF32" i="5"/>
  <c r="AE556" i="5"/>
  <c r="AD556" i="5"/>
  <c r="BF556" i="5"/>
  <c r="AO120" i="4"/>
  <c r="AU120" i="4" s="1"/>
  <c r="AW120" i="4" s="1"/>
  <c r="AE29" i="5"/>
  <c r="AD29" i="5"/>
  <c r="BF29" i="5"/>
  <c r="AE70" i="5"/>
  <c r="BF70" i="5"/>
  <c r="AD70" i="5"/>
  <c r="AD522" i="5"/>
  <c r="AE522" i="5"/>
  <c r="BF522" i="5"/>
  <c r="AE309" i="5"/>
  <c r="AD309" i="5"/>
  <c r="BF309" i="5"/>
  <c r="BF316" i="5"/>
  <c r="AE316" i="5"/>
  <c r="AD316" i="5"/>
  <c r="BF551" i="5"/>
  <c r="AD551" i="5"/>
  <c r="AE551" i="5"/>
  <c r="AE331" i="5"/>
  <c r="AD331" i="5"/>
  <c r="BF331" i="5"/>
  <c r="BF41" i="5"/>
  <c r="AE41" i="5"/>
  <c r="AD41" i="5"/>
  <c r="AD381" i="5"/>
  <c r="AE381" i="5"/>
  <c r="BF381" i="5"/>
  <c r="AE220" i="5"/>
  <c r="AD220" i="5"/>
  <c r="BF220" i="5"/>
  <c r="BF487" i="5"/>
  <c r="AE487" i="5"/>
  <c r="AD487" i="5"/>
  <c r="AD289" i="5"/>
  <c r="AE289" i="5"/>
  <c r="BF289" i="5"/>
  <c r="AE271" i="5"/>
  <c r="AD271" i="5"/>
  <c r="BF271" i="5"/>
  <c r="AE425" i="5"/>
  <c r="AD425" i="5"/>
  <c r="BF425" i="5"/>
  <c r="AE65" i="5"/>
  <c r="AD65" i="5"/>
  <c r="BF65" i="5"/>
  <c r="AD68" i="5"/>
  <c r="BF68" i="5"/>
  <c r="AE68" i="5"/>
  <c r="BF343" i="5"/>
  <c r="AE343" i="5"/>
  <c r="AD343" i="5"/>
  <c r="BF156" i="5"/>
  <c r="AD156" i="5"/>
  <c r="AE156" i="5"/>
  <c r="BF100" i="5"/>
  <c r="AE100" i="5"/>
  <c r="AD100" i="5"/>
  <c r="AE130" i="5"/>
  <c r="BF130" i="5"/>
  <c r="AD130" i="5"/>
  <c r="AD497" i="5"/>
  <c r="AE497" i="5"/>
  <c r="BF497" i="5"/>
  <c r="BF480" i="5"/>
  <c r="AD480" i="5"/>
  <c r="AE480" i="5"/>
  <c r="AD291" i="5"/>
  <c r="AE291" i="5"/>
  <c r="BF291" i="5"/>
  <c r="AD490" i="5"/>
  <c r="AE490" i="5"/>
  <c r="BF490" i="5"/>
  <c r="AD143" i="5"/>
  <c r="AE143" i="5"/>
  <c r="BF143" i="5"/>
  <c r="AD420" i="5"/>
  <c r="AE420" i="5"/>
  <c r="BF420" i="5"/>
  <c r="AE251" i="5"/>
  <c r="AD251" i="5"/>
  <c r="BF251" i="5"/>
  <c r="AE152" i="5"/>
  <c r="BF152" i="5"/>
  <c r="AD152" i="5"/>
  <c r="AD336" i="5"/>
  <c r="AE336" i="5"/>
  <c r="BF336" i="5"/>
  <c r="AD557" i="5"/>
  <c r="AE557" i="5"/>
  <c r="BF557" i="5"/>
  <c r="AE283" i="5"/>
  <c r="AD283" i="5"/>
  <c r="BF283" i="5"/>
  <c r="AE280" i="5"/>
  <c r="AD280" i="5"/>
  <c r="BF280" i="5"/>
  <c r="AE454" i="5"/>
  <c r="AD454" i="5"/>
  <c r="BF454" i="5"/>
  <c r="BJ446" i="5"/>
  <c r="BK446" i="5"/>
  <c r="AE28" i="5"/>
  <c r="BF28" i="5"/>
  <c r="AD28" i="5"/>
  <c r="AD542" i="5"/>
  <c r="AE542" i="5"/>
  <c r="BF542" i="5"/>
  <c r="BF415" i="5"/>
  <c r="AE415" i="5"/>
  <c r="AD415" i="5"/>
  <c r="AE421" i="5"/>
  <c r="BF421" i="5"/>
  <c r="AD421" i="5"/>
  <c r="AD473" i="5"/>
  <c r="AE473" i="5"/>
  <c r="BF473" i="5"/>
  <c r="AE277" i="5"/>
  <c r="AD277" i="5"/>
  <c r="BF277" i="5"/>
  <c r="AE324" i="5"/>
  <c r="BF324" i="5"/>
  <c r="AD324" i="5"/>
  <c r="AD402" i="5"/>
  <c r="AE402" i="5"/>
  <c r="BF402" i="5"/>
  <c r="AE162" i="5"/>
  <c r="AD162" i="5"/>
  <c r="BF162" i="5"/>
  <c r="BF124" i="5"/>
  <c r="AD124" i="5"/>
  <c r="AE124" i="5"/>
  <c r="AE171" i="5"/>
  <c r="AD171" i="5"/>
  <c r="BF171" i="5"/>
  <c r="AE457" i="5"/>
  <c r="BF457" i="5"/>
  <c r="AD457" i="5"/>
  <c r="BF435" i="5"/>
  <c r="AD435" i="5"/>
  <c r="AE435" i="5"/>
  <c r="AD535" i="5"/>
  <c r="AE535" i="5"/>
  <c r="BF535" i="5"/>
  <c r="BF449" i="5"/>
  <c r="AD449" i="5"/>
  <c r="AE449" i="5"/>
  <c r="AD121" i="5"/>
  <c r="AE121" i="5"/>
  <c r="BF121" i="5"/>
  <c r="BF307" i="5"/>
  <c r="AD307" i="5"/>
  <c r="AE307" i="5"/>
  <c r="AD266" i="5"/>
  <c r="AE266" i="5"/>
  <c r="BF266" i="5"/>
  <c r="AE476" i="5"/>
  <c r="AD476" i="5"/>
  <c r="BF476" i="5"/>
  <c r="AD267" i="5"/>
  <c r="BF267" i="5"/>
  <c r="AE267" i="5"/>
  <c r="BF285" i="5"/>
  <c r="AE285" i="5"/>
  <c r="AD285" i="5"/>
  <c r="AE263" i="5"/>
  <c r="BF263" i="5"/>
  <c r="AD263" i="5"/>
  <c r="AD255" i="5"/>
  <c r="BF255" i="5"/>
  <c r="AE255" i="5"/>
  <c r="AE23" i="5"/>
  <c r="BF23" i="5"/>
  <c r="AD23" i="5"/>
  <c r="AE138" i="5"/>
  <c r="BF138" i="5"/>
  <c r="AD138" i="5"/>
  <c r="AD365" i="5"/>
  <c r="BF365" i="5"/>
  <c r="AE365" i="5"/>
  <c r="AE340" i="5"/>
  <c r="AD340" i="5"/>
  <c r="BF340" i="5"/>
  <c r="AE216" i="5"/>
  <c r="BF216" i="5"/>
  <c r="AD216" i="5"/>
  <c r="AE179" i="5"/>
  <c r="AD179" i="5"/>
  <c r="BF179" i="5"/>
  <c r="AD398" i="5"/>
  <c r="BF398" i="5"/>
  <c r="AE398" i="5"/>
  <c r="AD354" i="5"/>
  <c r="BF354" i="5"/>
  <c r="AE354" i="5"/>
  <c r="AE529" i="5"/>
  <c r="AD529" i="5"/>
  <c r="BF529" i="5"/>
  <c r="BF239" i="5"/>
  <c r="AE239" i="5"/>
  <c r="AD239" i="5"/>
  <c r="AD367" i="5"/>
  <c r="AE367" i="5"/>
  <c r="BF367" i="5"/>
  <c r="BK524" i="5"/>
  <c r="BJ524" i="5"/>
  <c r="AD494" i="5"/>
  <c r="AE494" i="5"/>
  <c r="BF494" i="5"/>
  <c r="AE248" i="5"/>
  <c r="AD248" i="5"/>
  <c r="BF248" i="5"/>
  <c r="BJ151" i="5"/>
  <c r="BK151" i="5"/>
  <c r="BK73" i="5"/>
  <c r="BJ73" i="5"/>
  <c r="BJ33" i="5"/>
  <c r="BK33" i="5"/>
  <c r="AE315" i="5"/>
  <c r="BF315" i="5"/>
  <c r="AD315" i="5"/>
  <c r="AE249" i="5"/>
  <c r="BF249" i="5"/>
  <c r="AD249" i="5"/>
  <c r="BK416" i="5"/>
  <c r="BJ416" i="5"/>
  <c r="BJ77" i="5"/>
  <c r="BK77" i="5"/>
  <c r="BJ267" i="5"/>
  <c r="BK267" i="5"/>
  <c r="BK9" i="5"/>
  <c r="BJ9" i="5"/>
  <c r="X11" i="5"/>
  <c r="Y11" i="5"/>
  <c r="BB11" i="5"/>
  <c r="BA11" i="5"/>
  <c r="S11" i="5"/>
  <c r="R11" i="5"/>
  <c r="BJ386" i="5"/>
  <c r="BK386" i="5"/>
  <c r="BK186" i="5"/>
  <c r="BJ186" i="5"/>
  <c r="BJ462" i="5"/>
  <c r="BK462" i="5"/>
  <c r="AE37" i="5"/>
  <c r="BF37" i="5"/>
  <c r="AD37" i="5"/>
  <c r="AD180" i="5"/>
  <c r="BF180" i="5"/>
  <c r="AE180" i="5"/>
  <c r="AD64" i="5"/>
  <c r="AE64" i="5"/>
  <c r="BF64" i="5"/>
  <c r="BF91" i="5"/>
  <c r="AD91" i="5"/>
  <c r="AE91" i="5"/>
  <c r="AD518" i="5"/>
  <c r="AE518" i="5"/>
  <c r="BF518" i="5"/>
  <c r="BK444" i="5"/>
  <c r="BJ444" i="5"/>
  <c r="AO139" i="4"/>
  <c r="AU139" i="4" s="1"/>
  <c r="AW139" i="4" s="1"/>
  <c r="AE468" i="5"/>
  <c r="BF468" i="5"/>
  <c r="AD468" i="5"/>
  <c r="AE560" i="5"/>
  <c r="BF560" i="5"/>
  <c r="AD560" i="5"/>
  <c r="BF272" i="5"/>
  <c r="AD272" i="5"/>
  <c r="AE272" i="5"/>
  <c r="AD119" i="5"/>
  <c r="BF119" i="5"/>
  <c r="AE119" i="5"/>
  <c r="AD373" i="5"/>
  <c r="AE373" i="5"/>
  <c r="BF373" i="5"/>
  <c r="AE369" i="5"/>
  <c r="BF369" i="5"/>
  <c r="AD369" i="5"/>
  <c r="AD537" i="5"/>
  <c r="AE537" i="5"/>
  <c r="BF537" i="5"/>
  <c r="BF462" i="5"/>
  <c r="AE462" i="5"/>
  <c r="AD462" i="5"/>
  <c r="AE319" i="5"/>
  <c r="BF319" i="5"/>
  <c r="AD319" i="5"/>
  <c r="AD416" i="5"/>
  <c r="AE416" i="5"/>
  <c r="BF416" i="5"/>
  <c r="AD441" i="5"/>
  <c r="AE441" i="5"/>
  <c r="BF441" i="5"/>
  <c r="BF175" i="5"/>
  <c r="AD175" i="5"/>
  <c r="AE175" i="5"/>
  <c r="AD408" i="5"/>
  <c r="AE408" i="5"/>
  <c r="BF408" i="5"/>
  <c r="AD337" i="5"/>
  <c r="BF337" i="5"/>
  <c r="AE337" i="5"/>
  <c r="AD43" i="5"/>
  <c r="BF43" i="5"/>
  <c r="AE43" i="5"/>
  <c r="BF148" i="5"/>
  <c r="AE148" i="5"/>
  <c r="AD148" i="5"/>
  <c r="AD499" i="5"/>
  <c r="AE499" i="5"/>
  <c r="BF499" i="5"/>
  <c r="AE294" i="5"/>
  <c r="BF294" i="5"/>
  <c r="AD294" i="5"/>
  <c r="AE422" i="5"/>
  <c r="BF422" i="5"/>
  <c r="AD422" i="5"/>
  <c r="AD376" i="5"/>
  <c r="BF376" i="5"/>
  <c r="AE376" i="5"/>
  <c r="AE278" i="5"/>
  <c r="AD278" i="5"/>
  <c r="BF278" i="5"/>
  <c r="AD165" i="5"/>
  <c r="AE165" i="5"/>
  <c r="BF165" i="5"/>
  <c r="AE446" i="5"/>
  <c r="BF446" i="5"/>
  <c r="AD446" i="5"/>
  <c r="AE221" i="5"/>
  <c r="BF221" i="5"/>
  <c r="AD221" i="5"/>
  <c r="AD553" i="5"/>
  <c r="AE553" i="5"/>
  <c r="BF553" i="5"/>
  <c r="AD357" i="5"/>
  <c r="BF357" i="5"/>
  <c r="AE357" i="5"/>
  <c r="AE540" i="5"/>
  <c r="AD540" i="5"/>
  <c r="BF540" i="5"/>
  <c r="BF273" i="5"/>
  <c r="AD273" i="5"/>
  <c r="AE273" i="5"/>
  <c r="AE71" i="5"/>
  <c r="AD71" i="5"/>
  <c r="BF71" i="5"/>
  <c r="AE111" i="5"/>
  <c r="AD111" i="5"/>
  <c r="BF111" i="5"/>
  <c r="BF423" i="5"/>
  <c r="AE423" i="5"/>
  <c r="AD423" i="5"/>
  <c r="AE58" i="5"/>
  <c r="BF58" i="5"/>
  <c r="AD58" i="5"/>
  <c r="AE311" i="5"/>
  <c r="AD311" i="5"/>
  <c r="BF311" i="5"/>
  <c r="AE455" i="5"/>
  <c r="AD455" i="5"/>
  <c r="BF455" i="5"/>
  <c r="AO46" i="4"/>
  <c r="BK529" i="5"/>
  <c r="BJ529" i="5"/>
  <c r="BK154" i="5"/>
  <c r="BJ154" i="5"/>
  <c r="AO100" i="4"/>
  <c r="AU100" i="4" s="1"/>
  <c r="AW100" i="4" s="1"/>
  <c r="AD85" i="5"/>
  <c r="BF85" i="5"/>
  <c r="AE85" i="5"/>
  <c r="AD326" i="5"/>
  <c r="BF326" i="5"/>
  <c r="AE326" i="5"/>
  <c r="AD419" i="5"/>
  <c r="BF419" i="5"/>
  <c r="AE419" i="5"/>
  <c r="AD377" i="5"/>
  <c r="AE377" i="5"/>
  <c r="BF377" i="5"/>
  <c r="BF445" i="5"/>
  <c r="AD445" i="5"/>
  <c r="AE445" i="5"/>
  <c r="AE362" i="5"/>
  <c r="BF362" i="5"/>
  <c r="AD362" i="5"/>
  <c r="AE125" i="5"/>
  <c r="BF125" i="5"/>
  <c r="AD125" i="5"/>
  <c r="AE292" i="5"/>
  <c r="BF292" i="5"/>
  <c r="AD292" i="5"/>
  <c r="BF36" i="5"/>
  <c r="AD36" i="5"/>
  <c r="AE36" i="5"/>
  <c r="BF214" i="5"/>
  <c r="AD214" i="5"/>
  <c r="AE214" i="5"/>
  <c r="AE132" i="5"/>
  <c r="BF132" i="5"/>
  <c r="AD132" i="5"/>
  <c r="AD320" i="5"/>
  <c r="AE320" i="5"/>
  <c r="BF320" i="5"/>
  <c r="AE509" i="5"/>
  <c r="AD509" i="5"/>
  <c r="BF509" i="5"/>
  <c r="AE79" i="5"/>
  <c r="BF79" i="5"/>
  <c r="AD79" i="5"/>
  <c r="AE269" i="5"/>
  <c r="BF269" i="5"/>
  <c r="AD269" i="5"/>
  <c r="AD22" i="5"/>
  <c r="AE22" i="5"/>
  <c r="BF22" i="5"/>
  <c r="AD230" i="5"/>
  <c r="AE230" i="5"/>
  <c r="BF230" i="5"/>
  <c r="AD178" i="5"/>
  <c r="BF178" i="5"/>
  <c r="AE178" i="5"/>
  <c r="BF414" i="5"/>
  <c r="AE414" i="5"/>
  <c r="AD414" i="5"/>
  <c r="AE397" i="5"/>
  <c r="AD397" i="5"/>
  <c r="BF397" i="5"/>
  <c r="BF201" i="5"/>
  <c r="AD201" i="5"/>
  <c r="AE201" i="5"/>
  <c r="BF118" i="5"/>
  <c r="AD118" i="5"/>
  <c r="AE118" i="5"/>
  <c r="AD190" i="5"/>
  <c r="BF190" i="5"/>
  <c r="AE190" i="5"/>
  <c r="AD508" i="5"/>
  <c r="BF508" i="5"/>
  <c r="AE508" i="5"/>
  <c r="BF247" i="5"/>
  <c r="AD247" i="5"/>
  <c r="AE247" i="5"/>
  <c r="AD501" i="5"/>
  <c r="BF501" i="5"/>
  <c r="AE501" i="5"/>
  <c r="BF176" i="5"/>
  <c r="AD176" i="5"/>
  <c r="AE176" i="5"/>
  <c r="AD461" i="5"/>
  <c r="AE461" i="5"/>
  <c r="BF461" i="5"/>
  <c r="AE126" i="5"/>
  <c r="BF126" i="5"/>
  <c r="AD126" i="5"/>
  <c r="AD145" i="5"/>
  <c r="AE145" i="5"/>
  <c r="BF145" i="5"/>
  <c r="BF270" i="5"/>
  <c r="AD270" i="5"/>
  <c r="AE270" i="5"/>
  <c r="AE238" i="5"/>
  <c r="AD238" i="5"/>
  <c r="BF238" i="5"/>
  <c r="BK176" i="5"/>
  <c r="BJ176" i="5"/>
  <c r="BF282" i="5"/>
  <c r="AE282" i="5"/>
  <c r="AD282" i="5"/>
  <c r="AE258" i="5"/>
  <c r="AD258" i="5"/>
  <c r="BF258" i="5"/>
  <c r="BF558" i="5"/>
  <c r="AE558" i="5"/>
  <c r="AD558" i="5"/>
  <c r="AD187" i="5"/>
  <c r="AE187" i="5"/>
  <c r="BF187" i="5"/>
  <c r="AD234" i="5"/>
  <c r="AE234" i="5"/>
  <c r="BF234" i="5"/>
  <c r="AD352" i="5"/>
  <c r="BF352" i="5"/>
  <c r="AE352" i="5"/>
  <c r="AD393" i="5"/>
  <c r="AE393" i="5"/>
  <c r="BF393" i="5"/>
  <c r="AE424" i="5"/>
  <c r="AD424" i="5"/>
  <c r="BF424" i="5"/>
  <c r="AD322" i="5"/>
  <c r="BF322" i="5"/>
  <c r="AE322" i="5"/>
  <c r="BF453" i="5"/>
  <c r="AE453" i="5"/>
  <c r="AD453" i="5"/>
  <c r="BF488" i="5"/>
  <c r="AE488" i="5"/>
  <c r="AD488" i="5"/>
  <c r="AE120" i="5"/>
  <c r="BF120" i="5"/>
  <c r="AD120" i="5"/>
  <c r="AE450" i="5"/>
  <c r="AD450" i="5"/>
  <c r="BF450" i="5"/>
  <c r="AD47" i="5"/>
  <c r="AE47" i="5"/>
  <c r="BF47" i="5"/>
  <c r="BF539" i="5"/>
  <c r="AD539" i="5"/>
  <c r="AE539" i="5"/>
  <c r="AE314" i="5"/>
  <c r="AD314" i="5"/>
  <c r="BF314" i="5"/>
  <c r="AE303" i="5"/>
  <c r="BF303" i="5"/>
  <c r="AD303" i="5"/>
  <c r="BF264" i="5"/>
  <c r="AD264" i="5"/>
  <c r="AE264" i="5"/>
  <c r="AE505" i="5"/>
  <c r="AD505" i="5"/>
  <c r="BF505" i="5"/>
  <c r="AE427" i="5"/>
  <c r="BF427" i="5"/>
  <c r="AD427" i="5"/>
  <c r="AE105" i="5"/>
  <c r="BF105" i="5"/>
  <c r="AD105" i="5"/>
  <c r="AE374" i="5"/>
  <c r="AD374" i="5"/>
  <c r="BF374" i="5"/>
  <c r="BF177" i="5"/>
  <c r="AE177" i="5"/>
  <c r="AD177" i="5"/>
  <c r="AE57" i="5"/>
  <c r="AD57" i="5"/>
  <c r="BF57" i="5"/>
  <c r="AD89" i="5"/>
  <c r="AE89" i="5"/>
  <c r="BF89" i="5"/>
  <c r="AD407" i="5"/>
  <c r="BF407" i="5"/>
  <c r="AE407" i="5"/>
  <c r="AD395" i="5"/>
  <c r="AE395" i="5"/>
  <c r="BF395" i="5"/>
  <c r="AE198" i="5"/>
  <c r="BF198" i="5"/>
  <c r="AD198" i="5"/>
  <c r="BF460" i="5"/>
  <c r="AD460" i="5"/>
  <c r="AE460" i="5"/>
  <c r="AE371" i="5"/>
  <c r="BF371" i="5"/>
  <c r="AD371" i="5"/>
  <c r="AE356" i="5"/>
  <c r="AD356" i="5"/>
  <c r="BF356" i="5"/>
  <c r="AD193" i="5"/>
  <c r="AE193" i="5"/>
  <c r="BF193" i="5"/>
  <c r="BF133" i="5"/>
  <c r="AD133" i="5"/>
  <c r="AE133" i="5"/>
  <c r="AE19" i="5"/>
  <c r="AD19" i="5"/>
  <c r="BF19" i="5"/>
  <c r="AE341" i="5"/>
  <c r="AD341" i="5"/>
  <c r="BF341" i="5"/>
  <c r="AD181" i="5"/>
  <c r="BF181" i="5"/>
  <c r="AE181" i="5"/>
  <c r="AD209" i="5"/>
  <c r="BF209" i="5"/>
  <c r="AE209" i="5"/>
  <c r="AD353" i="5"/>
  <c r="AE353" i="5"/>
  <c r="BF353" i="5"/>
  <c r="AE87" i="5"/>
  <c r="AD87" i="5"/>
  <c r="BF87" i="5"/>
  <c r="AE458" i="5"/>
  <c r="BF458" i="5"/>
  <c r="AD458" i="5"/>
  <c r="AD301" i="5"/>
  <c r="AE301" i="5"/>
  <c r="BF301" i="5"/>
  <c r="BF153" i="5"/>
  <c r="AD153" i="5"/>
  <c r="AE153" i="5"/>
  <c r="AE74" i="5"/>
  <c r="BF74" i="5"/>
  <c r="AD74" i="5"/>
  <c r="AE399" i="5"/>
  <c r="AD399" i="5"/>
  <c r="BF399" i="5"/>
  <c r="AD346" i="5"/>
  <c r="AE346" i="5"/>
  <c r="BF346" i="5"/>
  <c r="AE82" i="5"/>
  <c r="AD82" i="5"/>
  <c r="BF82" i="5"/>
  <c r="AE33" i="5"/>
  <c r="AD33" i="5"/>
  <c r="BF33" i="5"/>
  <c r="AD323" i="5"/>
  <c r="BF323" i="5"/>
  <c r="AE323" i="5"/>
  <c r="AE155" i="5"/>
  <c r="AD155" i="5"/>
  <c r="BF155" i="5"/>
  <c r="AD223" i="5"/>
  <c r="BF223" i="5"/>
  <c r="AE223" i="5"/>
  <c r="AE335" i="5"/>
  <c r="BF335" i="5"/>
  <c r="AD335" i="5"/>
  <c r="AD389" i="5"/>
  <c r="AE389" i="5"/>
  <c r="BF389" i="5"/>
  <c r="AD530" i="5"/>
  <c r="AE530" i="5"/>
  <c r="BF530" i="5"/>
  <c r="BF154" i="5"/>
  <c r="AE154" i="5"/>
  <c r="AD154" i="5"/>
  <c r="AD347" i="5"/>
  <c r="BF347" i="5"/>
  <c r="AE347" i="5"/>
  <c r="AD306" i="5"/>
  <c r="BF306" i="5"/>
  <c r="AE306" i="5"/>
  <c r="BF305" i="5"/>
  <c r="AE305" i="5"/>
  <c r="AD305" i="5"/>
  <c r="AD536" i="5"/>
  <c r="BF536" i="5"/>
  <c r="AE536" i="5"/>
  <c r="AE196" i="5"/>
  <c r="AD196" i="5"/>
  <c r="BF196" i="5"/>
  <c r="AD215" i="5"/>
  <c r="AE215" i="5"/>
  <c r="BF215" i="5"/>
  <c r="AE78" i="5"/>
  <c r="BF78" i="5"/>
  <c r="AD78" i="5"/>
  <c r="AE192" i="5"/>
  <c r="BF192" i="5"/>
  <c r="AD192" i="5"/>
  <c r="AE404" i="5"/>
  <c r="AD404" i="5"/>
  <c r="BF404" i="5"/>
  <c r="AD355" i="5"/>
  <c r="AE355" i="5"/>
  <c r="BF355" i="5"/>
  <c r="BF386" i="5"/>
  <c r="AD386" i="5"/>
  <c r="AE386" i="5"/>
  <c r="AD302" i="5"/>
  <c r="AE302" i="5"/>
  <c r="BF302" i="5"/>
  <c r="BF444" i="5"/>
  <c r="AD444" i="5"/>
  <c r="AE444" i="5"/>
  <c r="AO41" i="4"/>
  <c r="BK54" i="5"/>
  <c r="BJ54" i="5"/>
  <c r="AO115" i="4"/>
  <c r="AU115" i="4" s="1"/>
  <c r="AW115" i="4" s="1"/>
  <c r="AE304" i="5"/>
  <c r="AD304" i="5"/>
  <c r="BF304" i="5"/>
  <c r="BJ219" i="5"/>
  <c r="BK219" i="5"/>
  <c r="BK13" i="5"/>
  <c r="BJ13" i="5"/>
  <c r="AO14" i="4"/>
  <c r="AE527" i="5"/>
  <c r="BF527" i="5"/>
  <c r="AD527" i="5"/>
  <c r="AD129" i="5"/>
  <c r="BF129" i="5"/>
  <c r="AE129" i="5"/>
  <c r="AO44" i="4"/>
  <c r="AK11" i="5"/>
  <c r="AL11" i="5"/>
  <c r="AP11" i="5"/>
  <c r="AO11" i="5"/>
  <c r="AN11" i="5"/>
  <c r="AO70" i="4"/>
  <c r="AU70" i="4" s="1"/>
  <c r="AW70" i="4" s="1"/>
  <c r="BK159" i="5"/>
  <c r="BJ159" i="5"/>
  <c r="BJ394" i="5"/>
  <c r="BK394" i="5"/>
  <c r="BF46" i="5"/>
  <c r="AD46" i="5"/>
  <c r="AE46" i="5"/>
  <c r="AD405" i="5"/>
  <c r="BF405" i="5"/>
  <c r="AE405" i="5"/>
  <c r="AE62" i="5"/>
  <c r="AD62" i="5"/>
  <c r="BF62" i="5"/>
  <c r="AD466" i="5"/>
  <c r="BF466" i="5"/>
  <c r="AE466" i="5"/>
  <c r="AD34" i="5"/>
  <c r="BF34" i="5"/>
  <c r="AE34" i="5"/>
  <c r="AE149" i="5"/>
  <c r="AD149" i="5"/>
  <c r="BF149" i="5"/>
  <c r="AE350" i="5"/>
  <c r="BF350" i="5"/>
  <c r="AD350" i="5"/>
  <c r="AE123" i="5"/>
  <c r="AD123" i="5"/>
  <c r="BF123" i="5"/>
  <c r="AE442" i="5"/>
  <c r="BF442" i="5"/>
  <c r="AD442" i="5"/>
  <c r="AE13" i="5"/>
  <c r="AD13" i="5"/>
  <c r="BF13" i="5"/>
  <c r="BF438" i="5"/>
  <c r="AE438" i="5"/>
  <c r="AD438" i="5"/>
  <c r="AD451" i="5"/>
  <c r="AE451" i="5"/>
  <c r="BF451" i="5"/>
  <c r="AD276" i="5"/>
  <c r="BF276" i="5"/>
  <c r="AE276" i="5"/>
  <c r="AE379" i="5"/>
  <c r="AD379" i="5"/>
  <c r="BF379" i="5"/>
  <c r="AE30" i="5"/>
  <c r="BF30" i="5"/>
  <c r="AD30" i="5"/>
  <c r="AD489" i="5"/>
  <c r="BF489" i="5"/>
  <c r="AE489" i="5"/>
  <c r="BF113" i="5"/>
  <c r="AE113" i="5"/>
  <c r="AD113" i="5"/>
  <c r="AE380" i="5"/>
  <c r="BF380" i="5"/>
  <c r="AD380" i="5"/>
  <c r="AE84" i="5"/>
  <c r="BF84" i="5"/>
  <c r="AD84" i="5"/>
  <c r="AD108" i="5"/>
  <c r="AE108" i="5"/>
  <c r="BF108" i="5"/>
  <c r="AE463" i="5"/>
  <c r="BF463" i="5"/>
  <c r="AD463" i="5"/>
  <c r="AE80" i="5"/>
  <c r="BF80" i="5"/>
  <c r="AD80" i="5"/>
  <c r="BF550" i="5"/>
  <c r="AD550" i="5"/>
  <c r="AE550" i="5"/>
  <c r="AE226" i="5"/>
  <c r="BF226" i="5"/>
  <c r="AD226" i="5"/>
  <c r="BF338" i="5"/>
  <c r="AE338" i="5"/>
  <c r="AD338" i="5"/>
  <c r="AD390" i="5"/>
  <c r="AE390" i="5"/>
  <c r="BF390" i="5"/>
  <c r="AD375" i="5"/>
  <c r="AE375" i="5"/>
  <c r="BF375" i="5"/>
  <c r="AE131" i="5"/>
  <c r="AD131" i="5"/>
  <c r="BF131" i="5"/>
  <c r="AE257" i="5"/>
  <c r="BF257" i="5"/>
  <c r="AD257" i="5"/>
  <c r="BF24" i="5"/>
  <c r="AE24" i="5"/>
  <c r="AD24" i="5"/>
  <c r="AE224" i="5"/>
  <c r="BF224" i="5"/>
  <c r="AD224" i="5"/>
  <c r="AE313" i="5"/>
  <c r="AD313" i="5"/>
  <c r="BF313" i="5"/>
  <c r="AD363" i="5"/>
  <c r="AE363" i="5"/>
  <c r="BF363" i="5"/>
  <c r="AD382" i="5"/>
  <c r="AE382" i="5"/>
  <c r="BF382" i="5"/>
  <c r="AE9" i="5"/>
  <c r="AD9" i="5"/>
  <c r="BF9" i="5"/>
  <c r="BJ68" i="5"/>
  <c r="BK68" i="5"/>
  <c r="AO104" i="4"/>
  <c r="AU104" i="4" s="1"/>
  <c r="AW104" i="4" s="1"/>
  <c r="AE281" i="5"/>
  <c r="BF281" i="5"/>
  <c r="AD281" i="5"/>
  <c r="AD49" i="5"/>
  <c r="AE49" i="5"/>
  <c r="BF49" i="5"/>
  <c r="BF225" i="5"/>
  <c r="AD225" i="5"/>
  <c r="AE225" i="5"/>
  <c r="BF213" i="5"/>
  <c r="AE213" i="5"/>
  <c r="AD213" i="5"/>
  <c r="BF90" i="5"/>
  <c r="AD90" i="5"/>
  <c r="AE90" i="5"/>
  <c r="AE475" i="5"/>
  <c r="AD475" i="5"/>
  <c r="BF475" i="5"/>
  <c r="AD443" i="5"/>
  <c r="BF443" i="5"/>
  <c r="AE443" i="5"/>
  <c r="AD98" i="5"/>
  <c r="BF98" i="5"/>
  <c r="AE98" i="5"/>
  <c r="AE31" i="5"/>
  <c r="AD31" i="5"/>
  <c r="BF31" i="5"/>
  <c r="BF440" i="5"/>
  <c r="AE440" i="5"/>
  <c r="AD440" i="5"/>
  <c r="AE401" i="5"/>
  <c r="BF401" i="5"/>
  <c r="AD401" i="5"/>
  <c r="BF403" i="5"/>
  <c r="AD403" i="5"/>
  <c r="AE403" i="5"/>
  <c r="BF465" i="5"/>
  <c r="AE465" i="5"/>
  <c r="AD465" i="5"/>
  <c r="AD492" i="5"/>
  <c r="AE492" i="5"/>
  <c r="BF492" i="5"/>
  <c r="AD61" i="5"/>
  <c r="AE61" i="5"/>
  <c r="BF61" i="5"/>
  <c r="AD411" i="5"/>
  <c r="AE411" i="5"/>
  <c r="BF411" i="5"/>
  <c r="BF555" i="5"/>
  <c r="AE555" i="5"/>
  <c r="AD555" i="5"/>
  <c r="AD240" i="5"/>
  <c r="AE240" i="5"/>
  <c r="BF240" i="5"/>
  <c r="AD204" i="5"/>
  <c r="AE204" i="5"/>
  <c r="BF204" i="5"/>
  <c r="AE222" i="5"/>
  <c r="AD222" i="5"/>
  <c r="BF222" i="5"/>
  <c r="AE506" i="5"/>
  <c r="AD506" i="5"/>
  <c r="BF506" i="5"/>
  <c r="BF434" i="5"/>
  <c r="AD434" i="5"/>
  <c r="AE434" i="5"/>
  <c r="BF246" i="5"/>
  <c r="AE246" i="5"/>
  <c r="AD246" i="5"/>
  <c r="AE533" i="5"/>
  <c r="BF533" i="5"/>
  <c r="AD533" i="5"/>
  <c r="BF511" i="5"/>
  <c r="AE511" i="5"/>
  <c r="AD511" i="5"/>
  <c r="BF86" i="5"/>
  <c r="AE86" i="5"/>
  <c r="AD86" i="5"/>
  <c r="AD114" i="5"/>
  <c r="AE114" i="5"/>
  <c r="BF114" i="5"/>
  <c r="BF161" i="5"/>
  <c r="AE161" i="5"/>
  <c r="AD161" i="5"/>
  <c r="BF227" i="5"/>
  <c r="AD227" i="5"/>
  <c r="AE227" i="5"/>
  <c r="AD212" i="5"/>
  <c r="BF212" i="5"/>
  <c r="AE212" i="5"/>
  <c r="AD127" i="5"/>
  <c r="BF127" i="5"/>
  <c r="AE127" i="5"/>
  <c r="AE233" i="5"/>
  <c r="AD233" i="5"/>
  <c r="BF233" i="5"/>
  <c r="AO29" i="4"/>
  <c r="AO51" i="4"/>
  <c r="AD76" i="5"/>
  <c r="AE76" i="5"/>
  <c r="BF76" i="5"/>
  <c r="BF166" i="5"/>
  <c r="AE166" i="5"/>
  <c r="AD166" i="5"/>
  <c r="BF507" i="5"/>
  <c r="AE507" i="5"/>
  <c r="AD507" i="5"/>
  <c r="BF51" i="5"/>
  <c r="AE51" i="5"/>
  <c r="AD51" i="5"/>
  <c r="AE83" i="5"/>
  <c r="AD83" i="5"/>
  <c r="BF83" i="5"/>
  <c r="AD236" i="5"/>
  <c r="BF236" i="5"/>
  <c r="AE236" i="5"/>
  <c r="AE93" i="5"/>
  <c r="AD93" i="5"/>
  <c r="BF93" i="5"/>
  <c r="AD474" i="5"/>
  <c r="BF474" i="5"/>
  <c r="AE474" i="5"/>
  <c r="BF191" i="5"/>
  <c r="AD191" i="5"/>
  <c r="AE191" i="5"/>
  <c r="AD203" i="5"/>
  <c r="BF203" i="5"/>
  <c r="AE203" i="5"/>
  <c r="AD486" i="5"/>
  <c r="AE486" i="5"/>
  <c r="BF486" i="5"/>
  <c r="BF95" i="5"/>
  <c r="AD95" i="5"/>
  <c r="AE95" i="5"/>
  <c r="AD333" i="5"/>
  <c r="BF333" i="5"/>
  <c r="AE333" i="5"/>
  <c r="AD545" i="5"/>
  <c r="BF545" i="5"/>
  <c r="AE545" i="5"/>
  <c r="BF378" i="5"/>
  <c r="AE378" i="5"/>
  <c r="AD378" i="5"/>
  <c r="AE67" i="5"/>
  <c r="AD67" i="5"/>
  <c r="BF67" i="5"/>
  <c r="BF275" i="5"/>
  <c r="AE275" i="5"/>
  <c r="AD275" i="5"/>
  <c r="BF151" i="5"/>
  <c r="AE151" i="5"/>
  <c r="AD151" i="5"/>
  <c r="BF483" i="5"/>
  <c r="AE483" i="5"/>
  <c r="AD483" i="5"/>
  <c r="AD25" i="5"/>
  <c r="BF25" i="5"/>
  <c r="AE25" i="5"/>
  <c r="AD433" i="5"/>
  <c r="BF433" i="5"/>
  <c r="AE433" i="5"/>
  <c r="AD199" i="5"/>
  <c r="AE199" i="5"/>
  <c r="BF199" i="5"/>
  <c r="BF472" i="5"/>
  <c r="AE472" i="5"/>
  <c r="AD472" i="5"/>
  <c r="AE211" i="5"/>
  <c r="AD211" i="5"/>
  <c r="BF211" i="5"/>
  <c r="AE471" i="5"/>
  <c r="BF471" i="5"/>
  <c r="AD471" i="5"/>
  <c r="BF241" i="5"/>
  <c r="AE241" i="5"/>
  <c r="AD241" i="5"/>
  <c r="AE469" i="5"/>
  <c r="AD469" i="5"/>
  <c r="BF469" i="5"/>
  <c r="BF174" i="5"/>
  <c r="AE174" i="5"/>
  <c r="AD174" i="5"/>
  <c r="AE484" i="5"/>
  <c r="BF484" i="5"/>
  <c r="AD484" i="5"/>
  <c r="AE546" i="5"/>
  <c r="AD546" i="5"/>
  <c r="BF546" i="5"/>
  <c r="AD244" i="5"/>
  <c r="BF244" i="5"/>
  <c r="AE244" i="5"/>
  <c r="BF75" i="5"/>
  <c r="AE75" i="5"/>
  <c r="AD75" i="5"/>
  <c r="AE137" i="5"/>
  <c r="AD137" i="5"/>
  <c r="BF137" i="5"/>
  <c r="AE328" i="5"/>
  <c r="AD328" i="5"/>
  <c r="BF328" i="5"/>
  <c r="BF110" i="5"/>
  <c r="AD110" i="5"/>
  <c r="AE110" i="5"/>
  <c r="BF500" i="5"/>
  <c r="AE500" i="5"/>
  <c r="AD500" i="5"/>
  <c r="AD164" i="5"/>
  <c r="AE164" i="5"/>
  <c r="BF164" i="5"/>
  <c r="BF554" i="5"/>
  <c r="AD554" i="5"/>
  <c r="AE554" i="5"/>
  <c r="AE329" i="5"/>
  <c r="BF329" i="5"/>
  <c r="AD329" i="5"/>
  <c r="AE195" i="5"/>
  <c r="BF195" i="5"/>
  <c r="AD195" i="5"/>
  <c r="AE349" i="5"/>
  <c r="AD349" i="5"/>
  <c r="BF349" i="5"/>
  <c r="AE339" i="5"/>
  <c r="AD339" i="5"/>
  <c r="BF339" i="5"/>
  <c r="BF417" i="5"/>
  <c r="AD417" i="5"/>
  <c r="AE417" i="5"/>
  <c r="BF262" i="5"/>
  <c r="AE262" i="5"/>
  <c r="AD262" i="5"/>
  <c r="AE412" i="5"/>
  <c r="AD412" i="5"/>
  <c r="BF412" i="5"/>
  <c r="BF495" i="5"/>
  <c r="AD495" i="5"/>
  <c r="AE495" i="5"/>
  <c r="AD394" i="5"/>
  <c r="AE394" i="5"/>
  <c r="BF394" i="5"/>
  <c r="AD229" i="5"/>
  <c r="AE229" i="5"/>
  <c r="BF229" i="5"/>
  <c r="AE99" i="5"/>
  <c r="BF99" i="5"/>
  <c r="AD99" i="5"/>
  <c r="AD159" i="5"/>
  <c r="AE159" i="5"/>
  <c r="BF159" i="5"/>
  <c r="AD523" i="5"/>
  <c r="BF523" i="5"/>
  <c r="AE523" i="5"/>
  <c r="AE532" i="5"/>
  <c r="BF532" i="5"/>
  <c r="AD532" i="5"/>
  <c r="AE237" i="5"/>
  <c r="BF237" i="5"/>
  <c r="AD237" i="5"/>
  <c r="BF274" i="5"/>
  <c r="AE274" i="5"/>
  <c r="AD274" i="5"/>
  <c r="AE359" i="5"/>
  <c r="AD359" i="5"/>
  <c r="BF359" i="5"/>
  <c r="AD136" i="5"/>
  <c r="BF136" i="5"/>
  <c r="AE136" i="5"/>
  <c r="BF548" i="5"/>
  <c r="AE548" i="5"/>
  <c r="AD548" i="5"/>
  <c r="AD189" i="5"/>
  <c r="BF189" i="5"/>
  <c r="AE189" i="5"/>
  <c r="AD146" i="5"/>
  <c r="BF146" i="5"/>
  <c r="AE146" i="5"/>
  <c r="AD169" i="5"/>
  <c r="AE169" i="5"/>
  <c r="BF169" i="5"/>
  <c r="AD520" i="5"/>
  <c r="AE520" i="5"/>
  <c r="BF520" i="5"/>
  <c r="AE310" i="5"/>
  <c r="BF310" i="5"/>
  <c r="AD310" i="5"/>
  <c r="AD59" i="5"/>
  <c r="BF59" i="5"/>
  <c r="AE59" i="5"/>
  <c r="AD39" i="5"/>
  <c r="BF39" i="5"/>
  <c r="AE39" i="5"/>
  <c r="AE496" i="5"/>
  <c r="AD496" i="5"/>
  <c r="BF496" i="5"/>
  <c r="AD517" i="5"/>
  <c r="AE517" i="5"/>
  <c r="BF517" i="5"/>
  <c r="BK372" i="5"/>
  <c r="BJ372" i="5"/>
  <c r="AO39" i="4"/>
  <c r="BK452" i="5"/>
  <c r="BJ452" i="5"/>
  <c r="BF525" i="5"/>
  <c r="AE525" i="5"/>
  <c r="AD525" i="5"/>
  <c r="AO153" i="4"/>
  <c r="AU153" i="4" s="1"/>
  <c r="AW153" i="4" s="1"/>
  <c r="AD170" i="5"/>
  <c r="BF170" i="5"/>
  <c r="AE170" i="5"/>
  <c r="AO83" i="4"/>
  <c r="AU83" i="4" s="1"/>
  <c r="AW83" i="4" s="1"/>
  <c r="BK500" i="5"/>
  <c r="BJ500" i="5"/>
  <c r="AO33" i="4"/>
  <c r="AX11" i="5"/>
  <c r="AY11" i="5"/>
  <c r="AU11" i="5"/>
  <c r="BC11" i="5"/>
  <c r="AV11" i="5"/>
  <c r="AO43" i="4"/>
  <c r="AO119" i="4"/>
  <c r="AU119" i="4" s="1"/>
  <c r="AW119" i="4" s="1"/>
  <c r="BJ504" i="5"/>
  <c r="BK504" i="5"/>
  <c r="AO28" i="4"/>
  <c r="AO58" i="4" l="1"/>
  <c r="AO130" i="4"/>
  <c r="AU130" i="4" s="1"/>
  <c r="AW130" i="4" s="1"/>
  <c r="AU86" i="4"/>
  <c r="AW86" i="4" s="1"/>
  <c r="AO145" i="4"/>
  <c r="AU145" i="4" s="1"/>
  <c r="AW145" i="4" s="1"/>
  <c r="AO76" i="4"/>
  <c r="AU76" i="4" s="1"/>
  <c r="AW76" i="4" s="1"/>
  <c r="AO75" i="4"/>
  <c r="AU75" i="4" s="1"/>
  <c r="AW75" i="4" s="1"/>
  <c r="BH418" i="5"/>
  <c r="BM418" i="5" s="1"/>
  <c r="AU127" i="4"/>
  <c r="AW127" i="4" s="1"/>
  <c r="AU53" i="4"/>
  <c r="AW53" i="4" s="1"/>
  <c r="AU39" i="4"/>
  <c r="AW39" i="4" s="1"/>
  <c r="AU123" i="4"/>
  <c r="AW123" i="4" s="1"/>
  <c r="AU43" i="4"/>
  <c r="AW43" i="4" s="1"/>
  <c r="AU51" i="4"/>
  <c r="AW51" i="4" s="1"/>
  <c r="AU28" i="4"/>
  <c r="AW28" i="4" s="1"/>
  <c r="AU131" i="4"/>
  <c r="AW131" i="4" s="1"/>
  <c r="AU126" i="4"/>
  <c r="AW126" i="4" s="1"/>
  <c r="AU56" i="4"/>
  <c r="AW56" i="4" s="1"/>
  <c r="AU30" i="4"/>
  <c r="AW30" i="4" s="1"/>
  <c r="AU29" i="4"/>
  <c r="AW29" i="4" s="1"/>
  <c r="AU33" i="4"/>
  <c r="AW33" i="4" s="1"/>
  <c r="AU154" i="4"/>
  <c r="AW154" i="4" s="1"/>
  <c r="AU35" i="4"/>
  <c r="AW35" i="4" s="1"/>
  <c r="AU36" i="4"/>
  <c r="AW36" i="4" s="1"/>
  <c r="AU73" i="4"/>
  <c r="AW73" i="4" s="1"/>
  <c r="AU27" i="4"/>
  <c r="AW27" i="4" s="1"/>
  <c r="AU58" i="4"/>
  <c r="AW58" i="4" s="1"/>
  <c r="AU52" i="4"/>
  <c r="AW52" i="4" s="1"/>
  <c r="AU41" i="4"/>
  <c r="AW41" i="4" s="1"/>
  <c r="AU31" i="4"/>
  <c r="AW31" i="4" s="1"/>
  <c r="AU48" i="4"/>
  <c r="AW48" i="4" s="1"/>
  <c r="AU78" i="4"/>
  <c r="AW78" i="4" s="1"/>
  <c r="AU14" i="4"/>
  <c r="AW14" i="4" s="1"/>
  <c r="AU46" i="4"/>
  <c r="AW46" i="4" s="1"/>
  <c r="AO57" i="4"/>
  <c r="AK62" i="4"/>
  <c r="AL62" i="4" s="1"/>
  <c r="AO62" i="4" s="1"/>
  <c r="AU114" i="4"/>
  <c r="AW114" i="4" s="1"/>
  <c r="AU142" i="4"/>
  <c r="AW142" i="4" s="1"/>
  <c r="AU49" i="4"/>
  <c r="AW49" i="4" s="1"/>
  <c r="AU44" i="4"/>
  <c r="AW44" i="4" s="1"/>
  <c r="AU149" i="4"/>
  <c r="AW149" i="4" s="1"/>
  <c r="AU37" i="4"/>
  <c r="AW37" i="4" s="1"/>
  <c r="AU19" i="4"/>
  <c r="AW19" i="4" s="1"/>
  <c r="AU85" i="4"/>
  <c r="AW85" i="4" s="1"/>
  <c r="AK65" i="4"/>
  <c r="AL65" i="4" s="1"/>
  <c r="AO65" i="4" s="1"/>
  <c r="AU134" i="4"/>
  <c r="AW134" i="4" s="1"/>
  <c r="AU21" i="4"/>
  <c r="AW21" i="4" s="1"/>
  <c r="AK55" i="4"/>
  <c r="AL55" i="4" s="1"/>
  <c r="AO55" i="4" s="1"/>
  <c r="AC40" i="4"/>
  <c r="AD40" i="4" s="1"/>
  <c r="AQ40" i="4"/>
  <c r="AP40" i="4"/>
  <c r="AP64" i="4"/>
  <c r="AQ64" i="4"/>
  <c r="AC64" i="4"/>
  <c r="AD64" i="4" s="1"/>
  <c r="AC62" i="4"/>
  <c r="AD62" i="4" s="1"/>
  <c r="AU140" i="4"/>
  <c r="AW140" i="4" s="1"/>
  <c r="AP50" i="4"/>
  <c r="AQ50" i="4"/>
  <c r="AC50" i="4"/>
  <c r="AD50" i="4" s="1"/>
  <c r="AQ42" i="4"/>
  <c r="AP42" i="4"/>
  <c r="AC42" i="4"/>
  <c r="AD42" i="4" s="1"/>
  <c r="AQ45" i="4"/>
  <c r="AP45" i="4"/>
  <c r="AC45" i="4"/>
  <c r="AD45" i="4" s="1"/>
  <c r="AJ54" i="4"/>
  <c r="AA54" i="4"/>
  <c r="AJ57" i="4"/>
  <c r="AA57" i="4"/>
  <c r="AJ61" i="4"/>
  <c r="AA61" i="4"/>
  <c r="AO90" i="4"/>
  <c r="AU90" i="4" s="1"/>
  <c r="AW90" i="4" s="1"/>
  <c r="AJ60" i="4"/>
  <c r="AA60" i="4"/>
  <c r="AK61" i="4"/>
  <c r="AL61" i="4" s="1"/>
  <c r="AO61" i="4" s="1"/>
  <c r="AK54" i="4"/>
  <c r="AL54" i="4" s="1"/>
  <c r="AO54" i="4" s="1"/>
  <c r="AJ63" i="4"/>
  <c r="AA63" i="4"/>
  <c r="AK63" i="4"/>
  <c r="AL63" i="4" s="1"/>
  <c r="AO63" i="4" s="1"/>
  <c r="AJ59" i="4"/>
  <c r="AA59" i="4"/>
  <c r="AA65" i="4"/>
  <c r="AU34" i="4"/>
  <c r="AW34" i="4" s="1"/>
  <c r="AK60" i="4"/>
  <c r="AL60" i="4" s="1"/>
  <c r="AO60" i="4" s="1"/>
  <c r="AQ62" i="4"/>
  <c r="AA55" i="4"/>
  <c r="AQ26" i="4"/>
  <c r="AP26" i="4"/>
  <c r="AC26" i="4"/>
  <c r="AD26" i="4" s="1"/>
  <c r="AU151" i="4"/>
  <c r="AW151" i="4" s="1"/>
  <c r="AC32" i="4"/>
  <c r="AD32" i="4" s="1"/>
  <c r="AQ32" i="4"/>
  <c r="AP32" i="4"/>
  <c r="AU148" i="4"/>
  <c r="AW148" i="4" s="1"/>
  <c r="AU117" i="4"/>
  <c r="AW117" i="4" s="1"/>
  <c r="AU11" i="4"/>
  <c r="AW11" i="4" s="1"/>
  <c r="AU105" i="4"/>
  <c r="AW105" i="4" s="1"/>
  <c r="AU155" i="4"/>
  <c r="AW155" i="4" s="1"/>
  <c r="AU141" i="4"/>
  <c r="AW141" i="4" s="1"/>
  <c r="AU13" i="4"/>
  <c r="AW13" i="4" s="1"/>
  <c r="AO124" i="4"/>
  <c r="AU124" i="4" s="1"/>
  <c r="AW124" i="4" s="1"/>
  <c r="AU10" i="4"/>
  <c r="AW10" i="4" s="1"/>
  <c r="AU129" i="4"/>
  <c r="AW129" i="4" s="1"/>
  <c r="AU106" i="4"/>
  <c r="AW106" i="4" s="1"/>
  <c r="AU110" i="4"/>
  <c r="AW110" i="4" s="1"/>
  <c r="AU133" i="4"/>
  <c r="AW133" i="4" s="1"/>
  <c r="AO94" i="4"/>
  <c r="AU94" i="4" s="1"/>
  <c r="AW94" i="4" s="1"/>
  <c r="AO101" i="4"/>
  <c r="AU101" i="4" s="1"/>
  <c r="AW101" i="4" s="1"/>
  <c r="AU122" i="4"/>
  <c r="AW122" i="4" s="1"/>
  <c r="AU74" i="4"/>
  <c r="AW74" i="4" s="1"/>
  <c r="AU152" i="4"/>
  <c r="AW152" i="4" s="1"/>
  <c r="AU108" i="4"/>
  <c r="AW108" i="4" s="1"/>
  <c r="AU109" i="4"/>
  <c r="AW109" i="4" s="1"/>
  <c r="AU97" i="4"/>
  <c r="AW97" i="4" s="1"/>
  <c r="AU118" i="4"/>
  <c r="AW118" i="4" s="1"/>
  <c r="AU69" i="4"/>
  <c r="AW69" i="4" s="1"/>
  <c r="AU93" i="4"/>
  <c r="AW93" i="4" s="1"/>
  <c r="AU144" i="4"/>
  <c r="AW144" i="4" s="1"/>
  <c r="AU112" i="4"/>
  <c r="AW112" i="4" s="1"/>
  <c r="AU25" i="4"/>
  <c r="AW25" i="4" s="1"/>
  <c r="AU24" i="4"/>
  <c r="AW24" i="4" s="1"/>
  <c r="AU12" i="4"/>
  <c r="AW12" i="4" s="1"/>
  <c r="AD11" i="5"/>
  <c r="AU135" i="4"/>
  <c r="AW135" i="4" s="1"/>
  <c r="AU18" i="4"/>
  <c r="AW18" i="4" s="1"/>
  <c r="AU125" i="4"/>
  <c r="AW125" i="4" s="1"/>
  <c r="AU95" i="4"/>
  <c r="AW95" i="4" s="1"/>
  <c r="AU22" i="4"/>
  <c r="AW22" i="4" s="1"/>
  <c r="AU92" i="4"/>
  <c r="AW92" i="4" s="1"/>
  <c r="AU136" i="4"/>
  <c r="AW136" i="4" s="1"/>
  <c r="AU16" i="4"/>
  <c r="AW16" i="4" s="1"/>
  <c r="AU156" i="4"/>
  <c r="AW156" i="4" s="1"/>
  <c r="AU89" i="4"/>
  <c r="AW89" i="4" s="1"/>
  <c r="AU113" i="4"/>
  <c r="AW113" i="4" s="1"/>
  <c r="AO59" i="4"/>
  <c r="AU20" i="4"/>
  <c r="AW20" i="4" s="1"/>
  <c r="AO137" i="4"/>
  <c r="AU137" i="4" s="1"/>
  <c r="AW137" i="4" s="1"/>
  <c r="AU8" i="4"/>
  <c r="AW8" i="4" s="1"/>
  <c r="AU102" i="4"/>
  <c r="AW102" i="4" s="1"/>
  <c r="AU81" i="4"/>
  <c r="AW81" i="4" s="1"/>
  <c r="AU79" i="4"/>
  <c r="AW79" i="4" s="1"/>
  <c r="AU82" i="4"/>
  <c r="AW82" i="4" s="1"/>
  <c r="AO66" i="4"/>
  <c r="AU66" i="4" s="1"/>
  <c r="AW66" i="4" s="1"/>
  <c r="AU98" i="4"/>
  <c r="AW98" i="4" s="1"/>
  <c r="AU128" i="4"/>
  <c r="AW128" i="4" s="1"/>
  <c r="AU67" i="4"/>
  <c r="AW67" i="4" s="1"/>
  <c r="AU143" i="4"/>
  <c r="AW143" i="4" s="1"/>
  <c r="AU77" i="4"/>
  <c r="AW77" i="4" s="1"/>
  <c r="AU116" i="4"/>
  <c r="AW116" i="4" s="1"/>
  <c r="AU111" i="4"/>
  <c r="AW111" i="4" s="1"/>
  <c r="AU23" i="4"/>
  <c r="AW23" i="4" s="1"/>
  <c r="AU7" i="4"/>
  <c r="AW7" i="4" s="1"/>
  <c r="AU121" i="4"/>
  <c r="AW121" i="4" s="1"/>
  <c r="AU15" i="4"/>
  <c r="AW15" i="4" s="1"/>
  <c r="AU9" i="4"/>
  <c r="AW9" i="4" s="1"/>
  <c r="AU96" i="4"/>
  <c r="AW96" i="4" s="1"/>
  <c r="BH170" i="5"/>
  <c r="BM170" i="5" s="1"/>
  <c r="BG170" i="5"/>
  <c r="BL170" i="5" s="1"/>
  <c r="BH237" i="5"/>
  <c r="BM237" i="5" s="1"/>
  <c r="BG237" i="5"/>
  <c r="BL237" i="5" s="1"/>
  <c r="BH262" i="5"/>
  <c r="BM262" i="5" s="1"/>
  <c r="BG262" i="5"/>
  <c r="BL262" i="5" s="1"/>
  <c r="BG500" i="5"/>
  <c r="BL500" i="5" s="1"/>
  <c r="BH500" i="5"/>
  <c r="BM500" i="5" s="1"/>
  <c r="BG244" i="5"/>
  <c r="BL244" i="5" s="1"/>
  <c r="BH244" i="5"/>
  <c r="BM244" i="5" s="1"/>
  <c r="BG241" i="5"/>
  <c r="BL241" i="5" s="1"/>
  <c r="BH241" i="5"/>
  <c r="BM241" i="5" s="1"/>
  <c r="BG211" i="5"/>
  <c r="BL211" i="5" s="1"/>
  <c r="BH211" i="5"/>
  <c r="BM211" i="5" s="1"/>
  <c r="BG151" i="5"/>
  <c r="BL151" i="5" s="1"/>
  <c r="BH151" i="5"/>
  <c r="BM151" i="5" s="1"/>
  <c r="BG67" i="5"/>
  <c r="BL67" i="5" s="1"/>
  <c r="BH67" i="5"/>
  <c r="BM67" i="5" s="1"/>
  <c r="BG166" i="5"/>
  <c r="BL166" i="5" s="1"/>
  <c r="BH166" i="5"/>
  <c r="BM166" i="5" s="1"/>
  <c r="BG233" i="5"/>
  <c r="BL233" i="5" s="1"/>
  <c r="BH233" i="5"/>
  <c r="BM233" i="5" s="1"/>
  <c r="BG127" i="5"/>
  <c r="BL127" i="5" s="1"/>
  <c r="BH127" i="5"/>
  <c r="BM127" i="5" s="1"/>
  <c r="BH86" i="5"/>
  <c r="BM86" i="5" s="1"/>
  <c r="BG86" i="5"/>
  <c r="BL86" i="5" s="1"/>
  <c r="BH434" i="5"/>
  <c r="BM434" i="5" s="1"/>
  <c r="BG434" i="5"/>
  <c r="BL434" i="5" s="1"/>
  <c r="BG222" i="5"/>
  <c r="BL222" i="5" s="1"/>
  <c r="BH222" i="5"/>
  <c r="BM222" i="5" s="1"/>
  <c r="BG411" i="5"/>
  <c r="BL411" i="5" s="1"/>
  <c r="BH411" i="5"/>
  <c r="BM411" i="5" s="1"/>
  <c r="BG401" i="5"/>
  <c r="BL401" i="5" s="1"/>
  <c r="BH401" i="5"/>
  <c r="BM401" i="5" s="1"/>
  <c r="BH440" i="5"/>
  <c r="BM440" i="5" s="1"/>
  <c r="BG440" i="5"/>
  <c r="BL440" i="5" s="1"/>
  <c r="BG443" i="5"/>
  <c r="BL443" i="5" s="1"/>
  <c r="BH443" i="5"/>
  <c r="BM443" i="5" s="1"/>
  <c r="BH313" i="5"/>
  <c r="BM313" i="5" s="1"/>
  <c r="BG313" i="5"/>
  <c r="BL313" i="5" s="1"/>
  <c r="BG224" i="5"/>
  <c r="BL224" i="5" s="1"/>
  <c r="BH224" i="5"/>
  <c r="BM224" i="5" s="1"/>
  <c r="BG24" i="5"/>
  <c r="BL24" i="5" s="1"/>
  <c r="BH24" i="5"/>
  <c r="BM24" i="5" s="1"/>
  <c r="BG131" i="5"/>
  <c r="BL131" i="5" s="1"/>
  <c r="BH131" i="5"/>
  <c r="BM131" i="5" s="1"/>
  <c r="BH108" i="5"/>
  <c r="BM108" i="5" s="1"/>
  <c r="BG108" i="5"/>
  <c r="BL108" i="5" s="1"/>
  <c r="BH84" i="5"/>
  <c r="BM84" i="5" s="1"/>
  <c r="BG84" i="5"/>
  <c r="BL84" i="5" s="1"/>
  <c r="BG30" i="5"/>
  <c r="BL30" i="5" s="1"/>
  <c r="BH30" i="5"/>
  <c r="BM30" i="5" s="1"/>
  <c r="BH451" i="5"/>
  <c r="BM451" i="5" s="1"/>
  <c r="BG451" i="5"/>
  <c r="BL451" i="5" s="1"/>
  <c r="BH123" i="5"/>
  <c r="BM123" i="5" s="1"/>
  <c r="BG123" i="5"/>
  <c r="BL123" i="5" s="1"/>
  <c r="BH350" i="5"/>
  <c r="BM350" i="5" s="1"/>
  <c r="BG350" i="5"/>
  <c r="BL350" i="5" s="1"/>
  <c r="BH444" i="5"/>
  <c r="BM444" i="5" s="1"/>
  <c r="BG444" i="5"/>
  <c r="BL444" i="5" s="1"/>
  <c r="BG306" i="5"/>
  <c r="BL306" i="5" s="1"/>
  <c r="BH306" i="5"/>
  <c r="BM306" i="5" s="1"/>
  <c r="BH530" i="5"/>
  <c r="BM530" i="5" s="1"/>
  <c r="BG530" i="5"/>
  <c r="BL530" i="5" s="1"/>
  <c r="BH155" i="5"/>
  <c r="BM155" i="5" s="1"/>
  <c r="BG155" i="5"/>
  <c r="BL155" i="5" s="1"/>
  <c r="BH323" i="5"/>
  <c r="BM323" i="5" s="1"/>
  <c r="BG323" i="5"/>
  <c r="BL323" i="5" s="1"/>
  <c r="BH346" i="5"/>
  <c r="BM346" i="5" s="1"/>
  <c r="BG346" i="5"/>
  <c r="BL346" i="5" s="1"/>
  <c r="BG301" i="5"/>
  <c r="BL301" i="5" s="1"/>
  <c r="BH301" i="5"/>
  <c r="BM301" i="5" s="1"/>
  <c r="BG458" i="5"/>
  <c r="BL458" i="5" s="1"/>
  <c r="BH458" i="5"/>
  <c r="BM458" i="5" s="1"/>
  <c r="BH181" i="5"/>
  <c r="BM181" i="5" s="1"/>
  <c r="BG181" i="5"/>
  <c r="BL181" i="5" s="1"/>
  <c r="BG198" i="5"/>
  <c r="BL198" i="5" s="1"/>
  <c r="BH198" i="5"/>
  <c r="BM198" i="5" s="1"/>
  <c r="BH89" i="5"/>
  <c r="BM89" i="5" s="1"/>
  <c r="BG89" i="5"/>
  <c r="BL89" i="5" s="1"/>
  <c r="BG177" i="5"/>
  <c r="BL177" i="5" s="1"/>
  <c r="BH177" i="5"/>
  <c r="BM177" i="5" s="1"/>
  <c r="BG427" i="5"/>
  <c r="BL427" i="5" s="1"/>
  <c r="BH427" i="5"/>
  <c r="BM427" i="5" s="1"/>
  <c r="BG539" i="5"/>
  <c r="BL539" i="5" s="1"/>
  <c r="BH539" i="5"/>
  <c r="BM539" i="5" s="1"/>
  <c r="BG450" i="5"/>
  <c r="BL450" i="5" s="1"/>
  <c r="BH450" i="5"/>
  <c r="BM450" i="5" s="1"/>
  <c r="BH120" i="5"/>
  <c r="BM120" i="5" s="1"/>
  <c r="BG120" i="5"/>
  <c r="BL120" i="5" s="1"/>
  <c r="BH488" i="5"/>
  <c r="BM488" i="5" s="1"/>
  <c r="BG488" i="5"/>
  <c r="BL488" i="5" s="1"/>
  <c r="BG234" i="5"/>
  <c r="BL234" i="5" s="1"/>
  <c r="BH234" i="5"/>
  <c r="BM234" i="5" s="1"/>
  <c r="BH558" i="5"/>
  <c r="BM558" i="5" s="1"/>
  <c r="BG558" i="5"/>
  <c r="BL558" i="5" s="1"/>
  <c r="BH238" i="5"/>
  <c r="BM238" i="5" s="1"/>
  <c r="BG238" i="5"/>
  <c r="BL238" i="5" s="1"/>
  <c r="BH461" i="5"/>
  <c r="BM461" i="5" s="1"/>
  <c r="BG461" i="5"/>
  <c r="BL461" i="5" s="1"/>
  <c r="BH190" i="5"/>
  <c r="BM190" i="5" s="1"/>
  <c r="BG190" i="5"/>
  <c r="BL190" i="5" s="1"/>
  <c r="BH118" i="5"/>
  <c r="BM118" i="5" s="1"/>
  <c r="BG118" i="5"/>
  <c r="BL118" i="5" s="1"/>
  <c r="BH397" i="5"/>
  <c r="BM397" i="5" s="1"/>
  <c r="BG397" i="5"/>
  <c r="BL397" i="5" s="1"/>
  <c r="BH22" i="5"/>
  <c r="BM22" i="5" s="1"/>
  <c r="BG22" i="5"/>
  <c r="BL22" i="5" s="1"/>
  <c r="BG269" i="5"/>
  <c r="BL269" i="5" s="1"/>
  <c r="BH269" i="5"/>
  <c r="BM269" i="5" s="1"/>
  <c r="BH320" i="5"/>
  <c r="BM320" i="5" s="1"/>
  <c r="BG320" i="5"/>
  <c r="BL320" i="5" s="1"/>
  <c r="BG132" i="5"/>
  <c r="BL132" i="5" s="1"/>
  <c r="BH132" i="5"/>
  <c r="BM132" i="5" s="1"/>
  <c r="BG214" i="5"/>
  <c r="BL214" i="5" s="1"/>
  <c r="BH214" i="5"/>
  <c r="BM214" i="5" s="1"/>
  <c r="BG125" i="5"/>
  <c r="BL125" i="5" s="1"/>
  <c r="BH125" i="5"/>
  <c r="BM125" i="5" s="1"/>
  <c r="BG377" i="5"/>
  <c r="BL377" i="5" s="1"/>
  <c r="BH377" i="5"/>
  <c r="BM377" i="5" s="1"/>
  <c r="BG419" i="5"/>
  <c r="BL419" i="5" s="1"/>
  <c r="BH419" i="5"/>
  <c r="BM419" i="5" s="1"/>
  <c r="BH540" i="5"/>
  <c r="BM540" i="5" s="1"/>
  <c r="BG540" i="5"/>
  <c r="BL540" i="5" s="1"/>
  <c r="BG357" i="5"/>
  <c r="BL357" i="5" s="1"/>
  <c r="BH357" i="5"/>
  <c r="BM357" i="5" s="1"/>
  <c r="BH294" i="5"/>
  <c r="BM294" i="5" s="1"/>
  <c r="BG294" i="5"/>
  <c r="BL294" i="5" s="1"/>
  <c r="BG337" i="5"/>
  <c r="BL337" i="5" s="1"/>
  <c r="BH337" i="5"/>
  <c r="BM337" i="5" s="1"/>
  <c r="BH441" i="5"/>
  <c r="BM441" i="5" s="1"/>
  <c r="BG441" i="5"/>
  <c r="BL441" i="5" s="1"/>
  <c r="BH537" i="5"/>
  <c r="BM537" i="5" s="1"/>
  <c r="BG537" i="5"/>
  <c r="BL537" i="5" s="1"/>
  <c r="BG369" i="5"/>
  <c r="BL369" i="5" s="1"/>
  <c r="BH369" i="5"/>
  <c r="BM369" i="5" s="1"/>
  <c r="BH560" i="5"/>
  <c r="BM560" i="5" s="1"/>
  <c r="BG560" i="5"/>
  <c r="BL560" i="5" s="1"/>
  <c r="BG518" i="5"/>
  <c r="BL518" i="5" s="1"/>
  <c r="BH518" i="5"/>
  <c r="BM518" i="5" s="1"/>
  <c r="BG249" i="5"/>
  <c r="BL249" i="5" s="1"/>
  <c r="BH249" i="5"/>
  <c r="BM249" i="5" s="1"/>
  <c r="BH494" i="5"/>
  <c r="BM494" i="5" s="1"/>
  <c r="BG494" i="5"/>
  <c r="BL494" i="5" s="1"/>
  <c r="BH239" i="5"/>
  <c r="BM239" i="5" s="1"/>
  <c r="BG239" i="5"/>
  <c r="BL239" i="5" s="1"/>
  <c r="BH398" i="5"/>
  <c r="BM398" i="5" s="1"/>
  <c r="BG398" i="5"/>
  <c r="BL398" i="5" s="1"/>
  <c r="BG340" i="5"/>
  <c r="BL340" i="5" s="1"/>
  <c r="BH340" i="5"/>
  <c r="BM340" i="5" s="1"/>
  <c r="BG365" i="5"/>
  <c r="BL365" i="5" s="1"/>
  <c r="BH365" i="5"/>
  <c r="BM365" i="5" s="1"/>
  <c r="BH263" i="5"/>
  <c r="BM263" i="5" s="1"/>
  <c r="BG263" i="5"/>
  <c r="BL263" i="5" s="1"/>
  <c r="BG285" i="5"/>
  <c r="BL285" i="5" s="1"/>
  <c r="BH285" i="5"/>
  <c r="BM285" i="5" s="1"/>
  <c r="BH476" i="5"/>
  <c r="BM476" i="5" s="1"/>
  <c r="BG476" i="5"/>
  <c r="BL476" i="5" s="1"/>
  <c r="BG307" i="5"/>
  <c r="BL307" i="5" s="1"/>
  <c r="BH307" i="5"/>
  <c r="BM307" i="5" s="1"/>
  <c r="BG435" i="5"/>
  <c r="BL435" i="5" s="1"/>
  <c r="BH435" i="5"/>
  <c r="BM435" i="5" s="1"/>
  <c r="BG171" i="5"/>
  <c r="BL171" i="5" s="1"/>
  <c r="BH171" i="5"/>
  <c r="BM171" i="5" s="1"/>
  <c r="BH557" i="5"/>
  <c r="BM557" i="5" s="1"/>
  <c r="BG557" i="5"/>
  <c r="BL557" i="5" s="1"/>
  <c r="BG420" i="5"/>
  <c r="BL420" i="5" s="1"/>
  <c r="BH420" i="5"/>
  <c r="BM420" i="5" s="1"/>
  <c r="BG425" i="5"/>
  <c r="BL425" i="5" s="1"/>
  <c r="BH425" i="5"/>
  <c r="BM425" i="5" s="1"/>
  <c r="BG220" i="5"/>
  <c r="BL220" i="5" s="1"/>
  <c r="BH220" i="5"/>
  <c r="BM220" i="5" s="1"/>
  <c r="BG41" i="5"/>
  <c r="BL41" i="5" s="1"/>
  <c r="BH41" i="5"/>
  <c r="BM41" i="5" s="1"/>
  <c r="BG556" i="5"/>
  <c r="BL556" i="5" s="1"/>
  <c r="BH556" i="5"/>
  <c r="BM556" i="5" s="1"/>
  <c r="BG284" i="5"/>
  <c r="BL284" i="5" s="1"/>
  <c r="BH284" i="5"/>
  <c r="BM284" i="5" s="1"/>
  <c r="BH63" i="5"/>
  <c r="BM63" i="5" s="1"/>
  <c r="BG63" i="5"/>
  <c r="BL63" i="5" s="1"/>
  <c r="BG366" i="5"/>
  <c r="BL366" i="5" s="1"/>
  <c r="BH366" i="5"/>
  <c r="BM366" i="5" s="1"/>
  <c r="BG327" i="5"/>
  <c r="BL327" i="5" s="1"/>
  <c r="BH327" i="5"/>
  <c r="BM327" i="5" s="1"/>
  <c r="BH72" i="5"/>
  <c r="BM72" i="5" s="1"/>
  <c r="BG72" i="5"/>
  <c r="BL72" i="5" s="1"/>
  <c r="BG160" i="5"/>
  <c r="BL160" i="5" s="1"/>
  <c r="BH160" i="5"/>
  <c r="BM160" i="5" s="1"/>
  <c r="BH524" i="5"/>
  <c r="BM524" i="5" s="1"/>
  <c r="BG524" i="5"/>
  <c r="BL524" i="5" s="1"/>
  <c r="BH135" i="5"/>
  <c r="BM135" i="5" s="1"/>
  <c r="BG135" i="5"/>
  <c r="BL135" i="5" s="1"/>
  <c r="BG312" i="5"/>
  <c r="BL312" i="5" s="1"/>
  <c r="BH312" i="5"/>
  <c r="BM312" i="5" s="1"/>
  <c r="BH102" i="5"/>
  <c r="BM102" i="5" s="1"/>
  <c r="BG102" i="5"/>
  <c r="BL102" i="5" s="1"/>
  <c r="BH467" i="5"/>
  <c r="BM467" i="5" s="1"/>
  <c r="BG467" i="5"/>
  <c r="BL467" i="5" s="1"/>
  <c r="BH464" i="5"/>
  <c r="BM464" i="5" s="1"/>
  <c r="BG464" i="5"/>
  <c r="BL464" i="5" s="1"/>
  <c r="BH387" i="5"/>
  <c r="BM387" i="5" s="1"/>
  <c r="BG387" i="5"/>
  <c r="BL387" i="5" s="1"/>
  <c r="BG116" i="5"/>
  <c r="BL116" i="5" s="1"/>
  <c r="BH116" i="5"/>
  <c r="BM116" i="5" s="1"/>
  <c r="BH528" i="5"/>
  <c r="BM528" i="5" s="1"/>
  <c r="BG528" i="5"/>
  <c r="BL528" i="5" s="1"/>
  <c r="BH300" i="5"/>
  <c r="BM300" i="5" s="1"/>
  <c r="BG300" i="5"/>
  <c r="BL300" i="5" s="1"/>
  <c r="BG42" i="5"/>
  <c r="BL42" i="5" s="1"/>
  <c r="BH42" i="5"/>
  <c r="BM42" i="5" s="1"/>
  <c r="BG242" i="5"/>
  <c r="BL242" i="5" s="1"/>
  <c r="BH242" i="5"/>
  <c r="BM242" i="5" s="1"/>
  <c r="BG447" i="5"/>
  <c r="BL447" i="5" s="1"/>
  <c r="BH447" i="5"/>
  <c r="BM447" i="5" s="1"/>
  <c r="BG35" i="5"/>
  <c r="BL35" i="5" s="1"/>
  <c r="BH35" i="5"/>
  <c r="BM35" i="5" s="1"/>
  <c r="BG188" i="5"/>
  <c r="BL188" i="5" s="1"/>
  <c r="BH188" i="5"/>
  <c r="BM188" i="5" s="1"/>
  <c r="BG219" i="5"/>
  <c r="BL219" i="5" s="1"/>
  <c r="BH219" i="5"/>
  <c r="BM219" i="5" s="1"/>
  <c r="BG54" i="5"/>
  <c r="BL54" i="5" s="1"/>
  <c r="BH54" i="5"/>
  <c r="BM54" i="5" s="1"/>
  <c r="BG481" i="5"/>
  <c r="BL481" i="5" s="1"/>
  <c r="BH481" i="5"/>
  <c r="BM481" i="5" s="1"/>
  <c r="BG538" i="5"/>
  <c r="BL538" i="5" s="1"/>
  <c r="BH538" i="5"/>
  <c r="BM538" i="5" s="1"/>
  <c r="BH370" i="5"/>
  <c r="BM370" i="5" s="1"/>
  <c r="BG370" i="5"/>
  <c r="BL370" i="5" s="1"/>
  <c r="BG144" i="5"/>
  <c r="BL144" i="5" s="1"/>
  <c r="BH144" i="5"/>
  <c r="BM144" i="5" s="1"/>
  <c r="BH413" i="5"/>
  <c r="BM413" i="5" s="1"/>
  <c r="BG413" i="5"/>
  <c r="BL413" i="5" s="1"/>
  <c r="BG456" i="5"/>
  <c r="BL456" i="5" s="1"/>
  <c r="BH456" i="5"/>
  <c r="BM456" i="5" s="1"/>
  <c r="BG48" i="5"/>
  <c r="BL48" i="5" s="1"/>
  <c r="BH48" i="5"/>
  <c r="BM48" i="5" s="1"/>
  <c r="BH493" i="5"/>
  <c r="BM493" i="5" s="1"/>
  <c r="BG493" i="5"/>
  <c r="BL493" i="5" s="1"/>
  <c r="BH388" i="5"/>
  <c r="BM388" i="5" s="1"/>
  <c r="BG388" i="5"/>
  <c r="BL388" i="5" s="1"/>
  <c r="BG295" i="5"/>
  <c r="BL295" i="5" s="1"/>
  <c r="BH295" i="5"/>
  <c r="BM295" i="5" s="1"/>
  <c r="BH253" i="5"/>
  <c r="BM253" i="5" s="1"/>
  <c r="BG253" i="5"/>
  <c r="BL253" i="5" s="1"/>
  <c r="BG544" i="5"/>
  <c r="BL544" i="5" s="1"/>
  <c r="BH544" i="5"/>
  <c r="BM544" i="5" s="1"/>
  <c r="BG210" i="5"/>
  <c r="BL210" i="5" s="1"/>
  <c r="BH210" i="5"/>
  <c r="BM210" i="5" s="1"/>
  <c r="BH232" i="5"/>
  <c r="BM232" i="5" s="1"/>
  <c r="BG232" i="5"/>
  <c r="BL232" i="5" s="1"/>
  <c r="BG318" i="5"/>
  <c r="BL318" i="5" s="1"/>
  <c r="BH318" i="5"/>
  <c r="BM318" i="5" s="1"/>
  <c r="BH516" i="5"/>
  <c r="BM516" i="5" s="1"/>
  <c r="BG516" i="5"/>
  <c r="BL516" i="5" s="1"/>
  <c r="BH20" i="5"/>
  <c r="BM20" i="5" s="1"/>
  <c r="BG20" i="5"/>
  <c r="BL20" i="5" s="1"/>
  <c r="BH182" i="5"/>
  <c r="BM182" i="5" s="1"/>
  <c r="BG182" i="5"/>
  <c r="BL182" i="5" s="1"/>
  <c r="BH470" i="5"/>
  <c r="BM470" i="5" s="1"/>
  <c r="BG470" i="5"/>
  <c r="BL470" i="5" s="1"/>
  <c r="BH383" i="5"/>
  <c r="BM383" i="5" s="1"/>
  <c r="BG383" i="5"/>
  <c r="BL383" i="5" s="1"/>
  <c r="BH479" i="5"/>
  <c r="BM479" i="5" s="1"/>
  <c r="BG479" i="5"/>
  <c r="BL479" i="5" s="1"/>
  <c r="BG297" i="5"/>
  <c r="BL297" i="5" s="1"/>
  <c r="BH297" i="5"/>
  <c r="BM297" i="5" s="1"/>
  <c r="BH103" i="5"/>
  <c r="BM103" i="5" s="1"/>
  <c r="BG103" i="5"/>
  <c r="BL103" i="5" s="1"/>
  <c r="BH361" i="5"/>
  <c r="BM361" i="5" s="1"/>
  <c r="BG361" i="5"/>
  <c r="BL361" i="5" s="1"/>
  <c r="BG52" i="5"/>
  <c r="BL52" i="5" s="1"/>
  <c r="BH52" i="5"/>
  <c r="BM52" i="5" s="1"/>
  <c r="BH436" i="5"/>
  <c r="BM436" i="5" s="1"/>
  <c r="BG436" i="5"/>
  <c r="BL436" i="5" s="1"/>
  <c r="BG197" i="5"/>
  <c r="BL197" i="5" s="1"/>
  <c r="BH197" i="5"/>
  <c r="BM197" i="5" s="1"/>
  <c r="BG101" i="5"/>
  <c r="BL101" i="5" s="1"/>
  <c r="BH101" i="5"/>
  <c r="BM101" i="5" s="1"/>
  <c r="BG496" i="5"/>
  <c r="BL496" i="5" s="1"/>
  <c r="BH496" i="5"/>
  <c r="BM496" i="5" s="1"/>
  <c r="BG159" i="5"/>
  <c r="BL159" i="5" s="1"/>
  <c r="BH159" i="5"/>
  <c r="BM159" i="5" s="1"/>
  <c r="BG339" i="5"/>
  <c r="BL339" i="5" s="1"/>
  <c r="BH339" i="5"/>
  <c r="BM339" i="5" s="1"/>
  <c r="BG328" i="5"/>
  <c r="BL328" i="5" s="1"/>
  <c r="BH328" i="5"/>
  <c r="BM328" i="5" s="1"/>
  <c r="BD11" i="5"/>
  <c r="BE11" i="5"/>
  <c r="BG310" i="5"/>
  <c r="BL310" i="5" s="1"/>
  <c r="BH310" i="5"/>
  <c r="BM310" i="5" s="1"/>
  <c r="BG189" i="5"/>
  <c r="BL189" i="5" s="1"/>
  <c r="BH189" i="5"/>
  <c r="BM189" i="5" s="1"/>
  <c r="BG548" i="5"/>
  <c r="BL548" i="5" s="1"/>
  <c r="BH548" i="5"/>
  <c r="BM548" i="5" s="1"/>
  <c r="BG359" i="5"/>
  <c r="BL359" i="5" s="1"/>
  <c r="BH359" i="5"/>
  <c r="BM359" i="5" s="1"/>
  <c r="BG394" i="5"/>
  <c r="BL394" i="5" s="1"/>
  <c r="BH394" i="5"/>
  <c r="BM394" i="5" s="1"/>
  <c r="BG472" i="5"/>
  <c r="BL472" i="5" s="1"/>
  <c r="BH472" i="5"/>
  <c r="BM472" i="5" s="1"/>
  <c r="BG25" i="5"/>
  <c r="BL25" i="5" s="1"/>
  <c r="BH25" i="5"/>
  <c r="BM25" i="5" s="1"/>
  <c r="BG483" i="5"/>
  <c r="BL483" i="5" s="1"/>
  <c r="BH483" i="5"/>
  <c r="BM483" i="5" s="1"/>
  <c r="BH378" i="5"/>
  <c r="BM378" i="5" s="1"/>
  <c r="BG378" i="5"/>
  <c r="BL378" i="5" s="1"/>
  <c r="BH474" i="5"/>
  <c r="BM474" i="5" s="1"/>
  <c r="BG474" i="5"/>
  <c r="BL474" i="5" s="1"/>
  <c r="BH83" i="5"/>
  <c r="BM83" i="5" s="1"/>
  <c r="BG83" i="5"/>
  <c r="BL83" i="5" s="1"/>
  <c r="BH507" i="5"/>
  <c r="BM507" i="5" s="1"/>
  <c r="BG507" i="5"/>
  <c r="BL507" i="5" s="1"/>
  <c r="BG76" i="5"/>
  <c r="BL76" i="5" s="1"/>
  <c r="BH76" i="5"/>
  <c r="BM76" i="5" s="1"/>
  <c r="BH533" i="5"/>
  <c r="BM533" i="5" s="1"/>
  <c r="BG533" i="5"/>
  <c r="BL533" i="5" s="1"/>
  <c r="BG246" i="5"/>
  <c r="BL246" i="5" s="1"/>
  <c r="BH246" i="5"/>
  <c r="BM246" i="5" s="1"/>
  <c r="BG506" i="5"/>
  <c r="BL506" i="5" s="1"/>
  <c r="BH506" i="5"/>
  <c r="BM506" i="5" s="1"/>
  <c r="BG31" i="5"/>
  <c r="BL31" i="5" s="1"/>
  <c r="BH31" i="5"/>
  <c r="BM31" i="5" s="1"/>
  <c r="BG98" i="5"/>
  <c r="BL98" i="5" s="1"/>
  <c r="BH98" i="5"/>
  <c r="BM98" i="5" s="1"/>
  <c r="BG225" i="5"/>
  <c r="BL225" i="5" s="1"/>
  <c r="BH225" i="5"/>
  <c r="BM225" i="5" s="1"/>
  <c r="BH363" i="5"/>
  <c r="BM363" i="5" s="1"/>
  <c r="BG363" i="5"/>
  <c r="BL363" i="5" s="1"/>
  <c r="BH226" i="5"/>
  <c r="BM226" i="5" s="1"/>
  <c r="BG226" i="5"/>
  <c r="BL226" i="5" s="1"/>
  <c r="BG550" i="5"/>
  <c r="BL550" i="5" s="1"/>
  <c r="BH550" i="5"/>
  <c r="BM550" i="5" s="1"/>
  <c r="BH489" i="5"/>
  <c r="BM489" i="5" s="1"/>
  <c r="BG489" i="5"/>
  <c r="BL489" i="5" s="1"/>
  <c r="BH438" i="5"/>
  <c r="BM438" i="5" s="1"/>
  <c r="BG438" i="5"/>
  <c r="BL438" i="5" s="1"/>
  <c r="BH466" i="5"/>
  <c r="BM466" i="5" s="1"/>
  <c r="BG466" i="5"/>
  <c r="BL466" i="5" s="1"/>
  <c r="AQ11" i="5"/>
  <c r="BI11" i="5"/>
  <c r="AR11" i="5"/>
  <c r="BH527" i="5"/>
  <c r="BM527" i="5" s="1"/>
  <c r="BG527" i="5"/>
  <c r="BL527" i="5" s="1"/>
  <c r="BG302" i="5"/>
  <c r="BL302" i="5" s="1"/>
  <c r="BH302" i="5"/>
  <c r="BM302" i="5" s="1"/>
  <c r="BH78" i="5"/>
  <c r="BM78" i="5" s="1"/>
  <c r="BG78" i="5"/>
  <c r="BL78" i="5" s="1"/>
  <c r="BH82" i="5"/>
  <c r="BM82" i="5" s="1"/>
  <c r="BG82" i="5"/>
  <c r="BL82" i="5" s="1"/>
  <c r="BH353" i="5"/>
  <c r="BM353" i="5" s="1"/>
  <c r="BG353" i="5"/>
  <c r="BL353" i="5" s="1"/>
  <c r="BG209" i="5"/>
  <c r="BL209" i="5" s="1"/>
  <c r="BH209" i="5"/>
  <c r="BM209" i="5" s="1"/>
  <c r="BH19" i="5"/>
  <c r="BM19" i="5" s="1"/>
  <c r="BG19" i="5"/>
  <c r="BL19" i="5" s="1"/>
  <c r="BG374" i="5"/>
  <c r="BL374" i="5" s="1"/>
  <c r="BH374" i="5"/>
  <c r="BM374" i="5" s="1"/>
  <c r="BH105" i="5"/>
  <c r="BM105" i="5" s="1"/>
  <c r="BG105" i="5"/>
  <c r="BL105" i="5" s="1"/>
  <c r="BG303" i="5"/>
  <c r="BL303" i="5" s="1"/>
  <c r="BH303" i="5"/>
  <c r="BM303" i="5" s="1"/>
  <c r="BG47" i="5"/>
  <c r="BL47" i="5" s="1"/>
  <c r="BH47" i="5"/>
  <c r="BM47" i="5" s="1"/>
  <c r="BH322" i="5"/>
  <c r="BM322" i="5" s="1"/>
  <c r="BG322" i="5"/>
  <c r="BL322" i="5" s="1"/>
  <c r="BG258" i="5"/>
  <c r="BL258" i="5" s="1"/>
  <c r="BH258" i="5"/>
  <c r="BM258" i="5" s="1"/>
  <c r="BG270" i="5"/>
  <c r="BL270" i="5" s="1"/>
  <c r="BH270" i="5"/>
  <c r="BM270" i="5" s="1"/>
  <c r="BG176" i="5"/>
  <c r="BL176" i="5" s="1"/>
  <c r="BH176" i="5"/>
  <c r="BM176" i="5" s="1"/>
  <c r="BH508" i="5"/>
  <c r="BM508" i="5" s="1"/>
  <c r="BG508" i="5"/>
  <c r="BL508" i="5" s="1"/>
  <c r="BG414" i="5"/>
  <c r="BL414" i="5" s="1"/>
  <c r="BH414" i="5"/>
  <c r="BM414" i="5" s="1"/>
  <c r="BH230" i="5"/>
  <c r="BM230" i="5" s="1"/>
  <c r="BG230" i="5"/>
  <c r="BL230" i="5" s="1"/>
  <c r="BH509" i="5"/>
  <c r="BM509" i="5" s="1"/>
  <c r="BG509" i="5"/>
  <c r="BL509" i="5" s="1"/>
  <c r="BG292" i="5"/>
  <c r="BL292" i="5" s="1"/>
  <c r="BH292" i="5"/>
  <c r="BM292" i="5" s="1"/>
  <c r="BG446" i="5"/>
  <c r="BL446" i="5" s="1"/>
  <c r="BH446" i="5"/>
  <c r="BM446" i="5" s="1"/>
  <c r="BH422" i="5"/>
  <c r="BM422" i="5" s="1"/>
  <c r="BG422" i="5"/>
  <c r="BL422" i="5" s="1"/>
  <c r="BG43" i="5"/>
  <c r="BL43" i="5" s="1"/>
  <c r="BH43" i="5"/>
  <c r="BM43" i="5" s="1"/>
  <c r="BG91" i="5"/>
  <c r="BL91" i="5" s="1"/>
  <c r="BH91" i="5"/>
  <c r="BM91" i="5" s="1"/>
  <c r="BH37" i="5"/>
  <c r="BM37" i="5" s="1"/>
  <c r="BG37" i="5"/>
  <c r="BL37" i="5" s="1"/>
  <c r="BH248" i="5"/>
  <c r="BM248" i="5" s="1"/>
  <c r="BG248" i="5"/>
  <c r="BL248" i="5" s="1"/>
  <c r="BH529" i="5"/>
  <c r="BM529" i="5" s="1"/>
  <c r="BG529" i="5"/>
  <c r="BL529" i="5" s="1"/>
  <c r="BG354" i="5"/>
  <c r="BL354" i="5" s="1"/>
  <c r="BH354" i="5"/>
  <c r="BM354" i="5" s="1"/>
  <c r="BH255" i="5"/>
  <c r="BM255" i="5" s="1"/>
  <c r="BG255" i="5"/>
  <c r="BL255" i="5" s="1"/>
  <c r="BG121" i="5"/>
  <c r="BL121" i="5" s="1"/>
  <c r="BH121" i="5"/>
  <c r="BM121" i="5" s="1"/>
  <c r="BH124" i="5"/>
  <c r="BM124" i="5" s="1"/>
  <c r="BG124" i="5"/>
  <c r="BL124" i="5" s="1"/>
  <c r="BG402" i="5"/>
  <c r="BL402" i="5" s="1"/>
  <c r="BH402" i="5"/>
  <c r="BM402" i="5" s="1"/>
  <c r="BH324" i="5"/>
  <c r="BM324" i="5" s="1"/>
  <c r="BG324" i="5"/>
  <c r="BL324" i="5" s="1"/>
  <c r="BG283" i="5"/>
  <c r="BL283" i="5" s="1"/>
  <c r="BH283" i="5"/>
  <c r="BM283" i="5" s="1"/>
  <c r="BG251" i="5"/>
  <c r="BL251" i="5" s="1"/>
  <c r="BH251" i="5"/>
  <c r="BM251" i="5" s="1"/>
  <c r="BG291" i="5"/>
  <c r="BL291" i="5" s="1"/>
  <c r="BH291" i="5"/>
  <c r="BM291" i="5" s="1"/>
  <c r="BG343" i="5"/>
  <c r="BL343" i="5" s="1"/>
  <c r="BH343" i="5"/>
  <c r="BM343" i="5" s="1"/>
  <c r="BG65" i="5"/>
  <c r="BL65" i="5" s="1"/>
  <c r="BH65" i="5"/>
  <c r="BM65" i="5" s="1"/>
  <c r="BH331" i="5"/>
  <c r="BM331" i="5" s="1"/>
  <c r="BG331" i="5"/>
  <c r="BL331" i="5" s="1"/>
  <c r="BG316" i="5"/>
  <c r="BL316" i="5" s="1"/>
  <c r="BH316" i="5"/>
  <c r="BM316" i="5" s="1"/>
  <c r="BG522" i="5"/>
  <c r="BL522" i="5" s="1"/>
  <c r="BH522" i="5"/>
  <c r="BM522" i="5" s="1"/>
  <c r="BG70" i="5"/>
  <c r="BL70" i="5" s="1"/>
  <c r="BH70" i="5"/>
  <c r="BM70" i="5" s="1"/>
  <c r="BH12" i="5"/>
  <c r="BM12" i="5" s="1"/>
  <c r="BG12" i="5"/>
  <c r="BL12" i="5" s="1"/>
  <c r="BG186" i="5"/>
  <c r="BL186" i="5" s="1"/>
  <c r="BH186" i="5"/>
  <c r="BM186" i="5" s="1"/>
  <c r="BG66" i="5"/>
  <c r="BL66" i="5" s="1"/>
  <c r="BH66" i="5"/>
  <c r="BM66" i="5" s="1"/>
  <c r="BG325" i="5"/>
  <c r="BL325" i="5" s="1"/>
  <c r="BH325" i="5"/>
  <c r="BM325" i="5" s="1"/>
  <c r="BG268" i="5"/>
  <c r="BL268" i="5" s="1"/>
  <c r="BH268" i="5"/>
  <c r="BM268" i="5" s="1"/>
  <c r="BG217" i="5"/>
  <c r="BL217" i="5" s="1"/>
  <c r="BH217" i="5"/>
  <c r="BM217" i="5" s="1"/>
  <c r="BG430" i="5"/>
  <c r="BL430" i="5" s="1"/>
  <c r="BH430" i="5"/>
  <c r="BM430" i="5" s="1"/>
  <c r="BH410" i="5"/>
  <c r="BM410" i="5" s="1"/>
  <c r="BG410" i="5"/>
  <c r="BL410" i="5" s="1"/>
  <c r="BG534" i="5"/>
  <c r="BL534" i="5" s="1"/>
  <c r="BH534" i="5"/>
  <c r="BM534" i="5" s="1"/>
  <c r="BH202" i="5"/>
  <c r="BM202" i="5" s="1"/>
  <c r="BG202" i="5"/>
  <c r="BL202" i="5" s="1"/>
  <c r="BG498" i="5"/>
  <c r="BL498" i="5" s="1"/>
  <c r="BH498" i="5"/>
  <c r="BM498" i="5" s="1"/>
  <c r="BG40" i="5"/>
  <c r="BL40" i="5" s="1"/>
  <c r="BH40" i="5"/>
  <c r="BM40" i="5" s="1"/>
  <c r="BG109" i="5"/>
  <c r="BL109" i="5" s="1"/>
  <c r="BH109" i="5"/>
  <c r="BM109" i="5" s="1"/>
  <c r="BG504" i="5"/>
  <c r="BL504" i="5" s="1"/>
  <c r="BH504" i="5"/>
  <c r="BM504" i="5" s="1"/>
  <c r="BG256" i="5"/>
  <c r="BL256" i="5" s="1"/>
  <c r="BH256" i="5"/>
  <c r="BM256" i="5" s="1"/>
  <c r="BH172" i="5"/>
  <c r="BM172" i="5" s="1"/>
  <c r="BG172" i="5"/>
  <c r="BL172" i="5" s="1"/>
  <c r="BH348" i="5"/>
  <c r="BM348" i="5" s="1"/>
  <c r="BG348" i="5"/>
  <c r="BL348" i="5" s="1"/>
  <c r="BH218" i="5"/>
  <c r="BM218" i="5" s="1"/>
  <c r="BG218" i="5"/>
  <c r="BL218" i="5" s="1"/>
  <c r="BG392" i="5"/>
  <c r="BL392" i="5" s="1"/>
  <c r="BH392" i="5"/>
  <c r="BM392" i="5" s="1"/>
  <c r="BH250" i="5"/>
  <c r="BM250" i="5" s="1"/>
  <c r="BG250" i="5"/>
  <c r="BL250" i="5" s="1"/>
  <c r="BH321" i="5"/>
  <c r="BM321" i="5" s="1"/>
  <c r="BG321" i="5"/>
  <c r="BL321" i="5" s="1"/>
  <c r="BG168" i="5"/>
  <c r="BL168" i="5" s="1"/>
  <c r="BH168" i="5"/>
  <c r="BM168" i="5" s="1"/>
  <c r="BG477" i="5"/>
  <c r="BL477" i="5" s="1"/>
  <c r="BH477" i="5"/>
  <c r="BM477" i="5" s="1"/>
  <c r="BG231" i="5"/>
  <c r="BL231" i="5" s="1"/>
  <c r="BH231" i="5"/>
  <c r="BM231" i="5" s="1"/>
  <c r="BH482" i="5"/>
  <c r="BM482" i="5" s="1"/>
  <c r="BG482" i="5"/>
  <c r="BL482" i="5" s="1"/>
  <c r="BG429" i="5"/>
  <c r="BL429" i="5" s="1"/>
  <c r="BH429" i="5"/>
  <c r="BM429" i="5" s="1"/>
  <c r="BG254" i="5"/>
  <c r="BL254" i="5" s="1"/>
  <c r="BH254" i="5"/>
  <c r="BM254" i="5" s="1"/>
  <c r="BH92" i="5"/>
  <c r="BM92" i="5" s="1"/>
  <c r="BG92" i="5"/>
  <c r="BL92" i="5" s="1"/>
  <c r="BG228" i="5"/>
  <c r="BL228" i="5" s="1"/>
  <c r="BH228" i="5"/>
  <c r="BM228" i="5" s="1"/>
  <c r="BH173" i="5"/>
  <c r="BM173" i="5" s="1"/>
  <c r="BG173" i="5"/>
  <c r="BL173" i="5" s="1"/>
  <c r="BG288" i="5"/>
  <c r="BL288" i="5" s="1"/>
  <c r="BH288" i="5"/>
  <c r="BM288" i="5" s="1"/>
  <c r="BH128" i="5"/>
  <c r="BM128" i="5" s="1"/>
  <c r="BG128" i="5"/>
  <c r="BL128" i="5" s="1"/>
  <c r="BH207" i="5"/>
  <c r="BM207" i="5" s="1"/>
  <c r="BG207" i="5"/>
  <c r="BL207" i="5" s="1"/>
  <c r="BG279" i="5"/>
  <c r="BL279" i="5" s="1"/>
  <c r="BH279" i="5"/>
  <c r="BM279" i="5" s="1"/>
  <c r="BG437" i="5"/>
  <c r="BL437" i="5" s="1"/>
  <c r="BH437" i="5"/>
  <c r="BM437" i="5" s="1"/>
  <c r="BG334" i="5"/>
  <c r="BL334" i="5" s="1"/>
  <c r="BH334" i="5"/>
  <c r="BM334" i="5" s="1"/>
  <c r="BG552" i="5"/>
  <c r="BL552" i="5" s="1"/>
  <c r="BH552" i="5"/>
  <c r="BM552" i="5" s="1"/>
  <c r="BG104" i="5"/>
  <c r="BL104" i="5" s="1"/>
  <c r="BH104" i="5"/>
  <c r="BM104" i="5" s="1"/>
  <c r="BG531" i="5"/>
  <c r="BL531" i="5" s="1"/>
  <c r="BH531" i="5"/>
  <c r="BM531" i="5" s="1"/>
  <c r="BG38" i="5"/>
  <c r="BL38" i="5" s="1"/>
  <c r="BH38" i="5"/>
  <c r="BM38" i="5" s="1"/>
  <c r="BH97" i="5"/>
  <c r="BM97" i="5" s="1"/>
  <c r="BG97" i="5"/>
  <c r="BL97" i="5" s="1"/>
  <c r="BH96" i="5"/>
  <c r="BM96" i="5" s="1"/>
  <c r="BG96" i="5"/>
  <c r="BL96" i="5" s="1"/>
  <c r="BH26" i="5"/>
  <c r="BM26" i="5" s="1"/>
  <c r="BG26" i="5"/>
  <c r="BL26" i="5" s="1"/>
  <c r="BG183" i="5"/>
  <c r="BL183" i="5" s="1"/>
  <c r="BH183" i="5"/>
  <c r="BM183" i="5" s="1"/>
  <c r="BH559" i="5"/>
  <c r="BM559" i="5" s="1"/>
  <c r="BG559" i="5"/>
  <c r="BL559" i="5" s="1"/>
  <c r="BH39" i="5"/>
  <c r="BM39" i="5" s="1"/>
  <c r="BG39" i="5"/>
  <c r="BL39" i="5" s="1"/>
  <c r="BH517" i="5"/>
  <c r="BM517" i="5" s="1"/>
  <c r="BG517" i="5"/>
  <c r="BL517" i="5" s="1"/>
  <c r="BH99" i="5"/>
  <c r="BM99" i="5" s="1"/>
  <c r="BG99" i="5"/>
  <c r="BL99" i="5" s="1"/>
  <c r="BG525" i="5"/>
  <c r="BL525" i="5" s="1"/>
  <c r="BH525" i="5"/>
  <c r="BM525" i="5" s="1"/>
  <c r="BG59" i="5"/>
  <c r="BL59" i="5" s="1"/>
  <c r="BH59" i="5"/>
  <c r="BM59" i="5" s="1"/>
  <c r="BG169" i="5"/>
  <c r="BL169" i="5" s="1"/>
  <c r="BH169" i="5"/>
  <c r="BM169" i="5" s="1"/>
  <c r="BG146" i="5"/>
  <c r="BL146" i="5" s="1"/>
  <c r="BH146" i="5"/>
  <c r="BM146" i="5" s="1"/>
  <c r="BH274" i="5"/>
  <c r="BM274" i="5" s="1"/>
  <c r="BG274" i="5"/>
  <c r="BL274" i="5" s="1"/>
  <c r="BH523" i="5"/>
  <c r="BM523" i="5" s="1"/>
  <c r="BG523" i="5"/>
  <c r="BL523" i="5" s="1"/>
  <c r="BG229" i="5"/>
  <c r="BL229" i="5" s="1"/>
  <c r="BH229" i="5"/>
  <c r="BM229" i="5" s="1"/>
  <c r="BH495" i="5"/>
  <c r="BM495" i="5" s="1"/>
  <c r="BG495" i="5"/>
  <c r="BL495" i="5" s="1"/>
  <c r="BH329" i="5"/>
  <c r="BM329" i="5" s="1"/>
  <c r="BG329" i="5"/>
  <c r="BL329" i="5" s="1"/>
  <c r="BH554" i="5"/>
  <c r="BM554" i="5" s="1"/>
  <c r="BG554" i="5"/>
  <c r="BL554" i="5" s="1"/>
  <c r="BG75" i="5"/>
  <c r="BL75" i="5" s="1"/>
  <c r="BH75" i="5"/>
  <c r="BM75" i="5" s="1"/>
  <c r="BH546" i="5"/>
  <c r="BM546" i="5" s="1"/>
  <c r="BG546" i="5"/>
  <c r="BL546" i="5" s="1"/>
  <c r="BH484" i="5"/>
  <c r="BM484" i="5" s="1"/>
  <c r="BG484" i="5"/>
  <c r="BL484" i="5" s="1"/>
  <c r="BH174" i="5"/>
  <c r="BM174" i="5" s="1"/>
  <c r="BG174" i="5"/>
  <c r="BL174" i="5" s="1"/>
  <c r="BH471" i="5"/>
  <c r="BM471" i="5" s="1"/>
  <c r="BG471" i="5"/>
  <c r="BL471" i="5" s="1"/>
  <c r="BH199" i="5"/>
  <c r="BM199" i="5" s="1"/>
  <c r="BG199" i="5"/>
  <c r="BL199" i="5" s="1"/>
  <c r="BG433" i="5"/>
  <c r="BL433" i="5" s="1"/>
  <c r="BH433" i="5"/>
  <c r="BM433" i="5" s="1"/>
  <c r="BG333" i="5"/>
  <c r="BL333" i="5" s="1"/>
  <c r="BH333" i="5"/>
  <c r="BM333" i="5" s="1"/>
  <c r="BH95" i="5"/>
  <c r="BM95" i="5" s="1"/>
  <c r="BG95" i="5"/>
  <c r="BL95" i="5" s="1"/>
  <c r="BG51" i="5"/>
  <c r="BL51" i="5" s="1"/>
  <c r="BH51" i="5"/>
  <c r="BM51" i="5" s="1"/>
  <c r="BH161" i="5"/>
  <c r="BM161" i="5" s="1"/>
  <c r="BG161" i="5"/>
  <c r="BL161" i="5" s="1"/>
  <c r="BH240" i="5"/>
  <c r="BM240" i="5" s="1"/>
  <c r="BG240" i="5"/>
  <c r="BL240" i="5" s="1"/>
  <c r="BH492" i="5"/>
  <c r="BM492" i="5" s="1"/>
  <c r="BG492" i="5"/>
  <c r="BL492" i="5" s="1"/>
  <c r="BG403" i="5"/>
  <c r="BL403" i="5" s="1"/>
  <c r="BH403" i="5"/>
  <c r="BM403" i="5" s="1"/>
  <c r="BH475" i="5"/>
  <c r="BM475" i="5" s="1"/>
  <c r="BG475" i="5"/>
  <c r="BL475" i="5" s="1"/>
  <c r="BH213" i="5"/>
  <c r="BM213" i="5" s="1"/>
  <c r="BG213" i="5"/>
  <c r="BL213" i="5" s="1"/>
  <c r="BH49" i="5"/>
  <c r="BM49" i="5" s="1"/>
  <c r="BG49" i="5"/>
  <c r="BL49" i="5" s="1"/>
  <c r="BH281" i="5"/>
  <c r="BM281" i="5" s="1"/>
  <c r="BG281" i="5"/>
  <c r="BL281" i="5" s="1"/>
  <c r="BG382" i="5"/>
  <c r="BL382" i="5" s="1"/>
  <c r="BH382" i="5"/>
  <c r="BM382" i="5" s="1"/>
  <c r="BH257" i="5"/>
  <c r="BM257" i="5" s="1"/>
  <c r="BG257" i="5"/>
  <c r="BL257" i="5" s="1"/>
  <c r="BG390" i="5"/>
  <c r="BL390" i="5" s="1"/>
  <c r="BH390" i="5"/>
  <c r="BM390" i="5" s="1"/>
  <c r="BG463" i="5"/>
  <c r="BL463" i="5" s="1"/>
  <c r="BH463" i="5"/>
  <c r="BM463" i="5" s="1"/>
  <c r="BG379" i="5"/>
  <c r="BL379" i="5" s="1"/>
  <c r="BH379" i="5"/>
  <c r="BM379" i="5" s="1"/>
  <c r="BG276" i="5"/>
  <c r="BL276" i="5" s="1"/>
  <c r="BH276" i="5"/>
  <c r="BM276" i="5" s="1"/>
  <c r="BG13" i="5"/>
  <c r="BL13" i="5" s="1"/>
  <c r="BH13" i="5"/>
  <c r="BM13" i="5" s="1"/>
  <c r="BH442" i="5"/>
  <c r="BM442" i="5" s="1"/>
  <c r="BG442" i="5"/>
  <c r="BL442" i="5" s="1"/>
  <c r="BH149" i="5"/>
  <c r="BM149" i="5" s="1"/>
  <c r="BG149" i="5"/>
  <c r="BL149" i="5" s="1"/>
  <c r="BH34" i="5"/>
  <c r="BM34" i="5" s="1"/>
  <c r="BG34" i="5"/>
  <c r="BL34" i="5" s="1"/>
  <c r="BH129" i="5"/>
  <c r="BM129" i="5" s="1"/>
  <c r="BG129" i="5"/>
  <c r="BL129" i="5" s="1"/>
  <c r="BH386" i="5"/>
  <c r="BM386" i="5" s="1"/>
  <c r="BG386" i="5"/>
  <c r="BL386" i="5" s="1"/>
  <c r="BH404" i="5"/>
  <c r="BM404" i="5" s="1"/>
  <c r="BG404" i="5"/>
  <c r="BL404" i="5" s="1"/>
  <c r="BH192" i="5"/>
  <c r="BM192" i="5" s="1"/>
  <c r="BG192" i="5"/>
  <c r="BL192" i="5" s="1"/>
  <c r="BG196" i="5"/>
  <c r="BL196" i="5" s="1"/>
  <c r="BH196" i="5"/>
  <c r="BM196" i="5" s="1"/>
  <c r="BG536" i="5"/>
  <c r="BL536" i="5" s="1"/>
  <c r="BH536" i="5"/>
  <c r="BM536" i="5" s="1"/>
  <c r="BG305" i="5"/>
  <c r="BL305" i="5" s="1"/>
  <c r="BH305" i="5"/>
  <c r="BM305" i="5" s="1"/>
  <c r="BH223" i="5"/>
  <c r="BM223" i="5" s="1"/>
  <c r="BG223" i="5"/>
  <c r="BL223" i="5" s="1"/>
  <c r="BH33" i="5"/>
  <c r="BM33" i="5" s="1"/>
  <c r="BG33" i="5"/>
  <c r="BL33" i="5" s="1"/>
  <c r="BG87" i="5"/>
  <c r="BL87" i="5" s="1"/>
  <c r="BH87" i="5"/>
  <c r="BM87" i="5" s="1"/>
  <c r="BH341" i="5"/>
  <c r="BM341" i="5" s="1"/>
  <c r="BG341" i="5"/>
  <c r="BL341" i="5" s="1"/>
  <c r="BH133" i="5"/>
  <c r="BM133" i="5" s="1"/>
  <c r="BG133" i="5"/>
  <c r="BL133" i="5" s="1"/>
  <c r="BG356" i="5"/>
  <c r="BL356" i="5" s="1"/>
  <c r="BH356" i="5"/>
  <c r="BM356" i="5" s="1"/>
  <c r="BG371" i="5"/>
  <c r="BL371" i="5" s="1"/>
  <c r="BH371" i="5"/>
  <c r="BM371" i="5" s="1"/>
  <c r="BG460" i="5"/>
  <c r="BL460" i="5" s="1"/>
  <c r="BH460" i="5"/>
  <c r="BM460" i="5" s="1"/>
  <c r="BG395" i="5"/>
  <c r="BL395" i="5" s="1"/>
  <c r="BH395" i="5"/>
  <c r="BM395" i="5" s="1"/>
  <c r="BH407" i="5"/>
  <c r="BM407" i="5" s="1"/>
  <c r="BG407" i="5"/>
  <c r="BL407" i="5" s="1"/>
  <c r="BH505" i="5"/>
  <c r="BM505" i="5" s="1"/>
  <c r="BG505" i="5"/>
  <c r="BL505" i="5" s="1"/>
  <c r="BG393" i="5"/>
  <c r="BL393" i="5" s="1"/>
  <c r="BH393" i="5"/>
  <c r="BM393" i="5" s="1"/>
  <c r="BG352" i="5"/>
  <c r="BL352" i="5" s="1"/>
  <c r="BH352" i="5"/>
  <c r="BM352" i="5" s="1"/>
  <c r="BG282" i="5"/>
  <c r="BL282" i="5" s="1"/>
  <c r="BH282" i="5"/>
  <c r="BM282" i="5" s="1"/>
  <c r="BG145" i="5"/>
  <c r="BL145" i="5" s="1"/>
  <c r="BH145" i="5"/>
  <c r="BM145" i="5" s="1"/>
  <c r="BG126" i="5"/>
  <c r="BL126" i="5" s="1"/>
  <c r="BH126" i="5"/>
  <c r="BM126" i="5" s="1"/>
  <c r="BH85" i="5"/>
  <c r="BM85" i="5" s="1"/>
  <c r="BG85" i="5"/>
  <c r="BL85" i="5" s="1"/>
  <c r="BH311" i="5"/>
  <c r="BM311" i="5" s="1"/>
  <c r="BG311" i="5"/>
  <c r="BL311" i="5" s="1"/>
  <c r="BG58" i="5"/>
  <c r="BL58" i="5" s="1"/>
  <c r="BH58" i="5"/>
  <c r="BM58" i="5" s="1"/>
  <c r="BH423" i="5"/>
  <c r="BM423" i="5" s="1"/>
  <c r="BG423" i="5"/>
  <c r="BL423" i="5" s="1"/>
  <c r="BG71" i="5"/>
  <c r="BL71" i="5" s="1"/>
  <c r="BH71" i="5"/>
  <c r="BM71" i="5" s="1"/>
  <c r="BG553" i="5"/>
  <c r="BL553" i="5" s="1"/>
  <c r="BH553" i="5"/>
  <c r="BM553" i="5" s="1"/>
  <c r="BG221" i="5"/>
  <c r="BL221" i="5" s="1"/>
  <c r="BH221" i="5"/>
  <c r="BM221" i="5" s="1"/>
  <c r="BG278" i="5"/>
  <c r="BL278" i="5" s="1"/>
  <c r="BH278" i="5"/>
  <c r="BM278" i="5" s="1"/>
  <c r="BH376" i="5"/>
  <c r="BM376" i="5" s="1"/>
  <c r="BG376" i="5"/>
  <c r="BL376" i="5" s="1"/>
  <c r="BG499" i="5"/>
  <c r="BL499" i="5" s="1"/>
  <c r="BH499" i="5"/>
  <c r="BM499" i="5" s="1"/>
  <c r="BG408" i="5"/>
  <c r="BL408" i="5" s="1"/>
  <c r="BH408" i="5"/>
  <c r="BM408" i="5" s="1"/>
  <c r="BG373" i="5"/>
  <c r="BL373" i="5" s="1"/>
  <c r="BH373" i="5"/>
  <c r="BM373" i="5" s="1"/>
  <c r="BG119" i="5"/>
  <c r="BL119" i="5" s="1"/>
  <c r="BH119" i="5"/>
  <c r="BM119" i="5" s="1"/>
  <c r="BG272" i="5"/>
  <c r="BL272" i="5" s="1"/>
  <c r="BH272" i="5"/>
  <c r="BM272" i="5" s="1"/>
  <c r="BG64" i="5"/>
  <c r="BL64" i="5" s="1"/>
  <c r="BH64" i="5"/>
  <c r="BM64" i="5" s="1"/>
  <c r="BG180" i="5"/>
  <c r="BL180" i="5" s="1"/>
  <c r="BH180" i="5"/>
  <c r="BM180" i="5" s="1"/>
  <c r="BG179" i="5"/>
  <c r="BL179" i="5" s="1"/>
  <c r="BH179" i="5"/>
  <c r="BM179" i="5" s="1"/>
  <c r="BH216" i="5"/>
  <c r="BM216" i="5" s="1"/>
  <c r="BG216" i="5"/>
  <c r="BL216" i="5" s="1"/>
  <c r="BG23" i="5"/>
  <c r="BL23" i="5" s="1"/>
  <c r="BH23" i="5"/>
  <c r="BM23" i="5" s="1"/>
  <c r="BG267" i="5"/>
  <c r="BL267" i="5" s="1"/>
  <c r="BH267" i="5"/>
  <c r="BM267" i="5" s="1"/>
  <c r="BH449" i="5"/>
  <c r="BM449" i="5" s="1"/>
  <c r="BG449" i="5"/>
  <c r="BL449" i="5" s="1"/>
  <c r="BG457" i="5"/>
  <c r="BL457" i="5" s="1"/>
  <c r="BH457" i="5"/>
  <c r="BM457" i="5" s="1"/>
  <c r="BH162" i="5"/>
  <c r="BM162" i="5" s="1"/>
  <c r="BG162" i="5"/>
  <c r="BL162" i="5" s="1"/>
  <c r="BG473" i="5"/>
  <c r="BL473" i="5" s="1"/>
  <c r="BH473" i="5"/>
  <c r="BM473" i="5" s="1"/>
  <c r="BG421" i="5"/>
  <c r="BL421" i="5" s="1"/>
  <c r="BH421" i="5"/>
  <c r="BM421" i="5" s="1"/>
  <c r="BH415" i="5"/>
  <c r="BM415" i="5" s="1"/>
  <c r="BG415" i="5"/>
  <c r="BL415" i="5" s="1"/>
  <c r="BG280" i="5"/>
  <c r="BL280" i="5" s="1"/>
  <c r="BH280" i="5"/>
  <c r="BM280" i="5" s="1"/>
  <c r="BG490" i="5"/>
  <c r="BL490" i="5" s="1"/>
  <c r="BH490" i="5"/>
  <c r="BM490" i="5" s="1"/>
  <c r="BG480" i="5"/>
  <c r="BL480" i="5" s="1"/>
  <c r="BH480" i="5"/>
  <c r="BM480" i="5" s="1"/>
  <c r="BH156" i="5"/>
  <c r="BM156" i="5" s="1"/>
  <c r="BG156" i="5"/>
  <c r="BL156" i="5" s="1"/>
  <c r="BH289" i="5"/>
  <c r="BM289" i="5" s="1"/>
  <c r="BG289" i="5"/>
  <c r="BL289" i="5" s="1"/>
  <c r="BG551" i="5"/>
  <c r="BL551" i="5" s="1"/>
  <c r="BH551" i="5"/>
  <c r="BM551" i="5" s="1"/>
  <c r="BG309" i="5"/>
  <c r="BL309" i="5" s="1"/>
  <c r="BH309" i="5"/>
  <c r="BM309" i="5" s="1"/>
  <c r="BG10" i="5"/>
  <c r="BL10" i="5" s="1"/>
  <c r="BH10" i="5"/>
  <c r="BM10" i="5" s="1"/>
  <c r="BG259" i="5"/>
  <c r="BL259" i="5" s="1"/>
  <c r="BH259" i="5"/>
  <c r="BM259" i="5" s="1"/>
  <c r="BG396" i="5"/>
  <c r="BL396" i="5" s="1"/>
  <c r="BH396" i="5"/>
  <c r="BM396" i="5" s="1"/>
  <c r="BH296" i="5"/>
  <c r="BM296" i="5" s="1"/>
  <c r="BG296" i="5"/>
  <c r="BL296" i="5" s="1"/>
  <c r="BH55" i="5"/>
  <c r="BM55" i="5" s="1"/>
  <c r="BG55" i="5"/>
  <c r="BL55" i="5" s="1"/>
  <c r="BG194" i="5"/>
  <c r="BL194" i="5" s="1"/>
  <c r="BH194" i="5"/>
  <c r="BM194" i="5" s="1"/>
  <c r="BH543" i="5"/>
  <c r="BM543" i="5" s="1"/>
  <c r="BG543" i="5"/>
  <c r="BL543" i="5" s="1"/>
  <c r="BH332" i="5"/>
  <c r="BM332" i="5" s="1"/>
  <c r="BG332" i="5"/>
  <c r="BL332" i="5" s="1"/>
  <c r="BH406" i="5"/>
  <c r="BM406" i="5" s="1"/>
  <c r="BG406" i="5"/>
  <c r="BL406" i="5" s="1"/>
  <c r="BH286" i="5"/>
  <c r="BM286" i="5" s="1"/>
  <c r="BG286" i="5"/>
  <c r="BL286" i="5" s="1"/>
  <c r="BH448" i="5"/>
  <c r="BM448" i="5" s="1"/>
  <c r="BG448" i="5"/>
  <c r="BL448" i="5" s="1"/>
  <c r="BG344" i="5"/>
  <c r="BL344" i="5" s="1"/>
  <c r="BH344" i="5"/>
  <c r="BM344" i="5" s="1"/>
  <c r="BH439" i="5"/>
  <c r="BM439" i="5" s="1"/>
  <c r="BG439" i="5"/>
  <c r="BL439" i="5" s="1"/>
  <c r="BH158" i="5"/>
  <c r="BM158" i="5" s="1"/>
  <c r="BG158" i="5"/>
  <c r="BL158" i="5" s="1"/>
  <c r="BG184" i="5"/>
  <c r="BL184" i="5" s="1"/>
  <c r="BH184" i="5"/>
  <c r="BM184" i="5" s="1"/>
  <c r="BG298" i="5"/>
  <c r="BL298" i="5" s="1"/>
  <c r="BH298" i="5"/>
  <c r="BM298" i="5" s="1"/>
  <c r="BG56" i="5"/>
  <c r="BL56" i="5" s="1"/>
  <c r="BH56" i="5"/>
  <c r="BM56" i="5" s="1"/>
  <c r="BH514" i="5"/>
  <c r="BM514" i="5" s="1"/>
  <c r="BG514" i="5"/>
  <c r="BL514" i="5" s="1"/>
  <c r="BH299" i="5"/>
  <c r="BM299" i="5" s="1"/>
  <c r="BG299" i="5"/>
  <c r="BL299" i="5" s="1"/>
  <c r="BH167" i="5"/>
  <c r="BM167" i="5" s="1"/>
  <c r="BG167" i="5"/>
  <c r="BL167" i="5" s="1"/>
  <c r="BG235" i="5"/>
  <c r="BL235" i="5" s="1"/>
  <c r="BH235" i="5"/>
  <c r="BM235" i="5" s="1"/>
  <c r="BG317" i="5"/>
  <c r="BL317" i="5" s="1"/>
  <c r="BH317" i="5"/>
  <c r="BM317" i="5" s="1"/>
  <c r="BG342" i="5"/>
  <c r="BL342" i="5" s="1"/>
  <c r="BH342" i="5"/>
  <c r="BM342" i="5" s="1"/>
  <c r="BG252" i="5"/>
  <c r="BL252" i="5" s="1"/>
  <c r="BH252" i="5"/>
  <c r="BM252" i="5" s="1"/>
  <c r="BH526" i="5"/>
  <c r="BM526" i="5" s="1"/>
  <c r="BG526" i="5"/>
  <c r="BL526" i="5" s="1"/>
  <c r="BH112" i="5"/>
  <c r="BM112" i="5" s="1"/>
  <c r="BG112" i="5"/>
  <c r="BL112" i="5" s="1"/>
  <c r="BG185" i="5"/>
  <c r="BL185" i="5" s="1"/>
  <c r="BH185" i="5"/>
  <c r="BM185" i="5" s="1"/>
  <c r="BG245" i="5"/>
  <c r="BL245" i="5" s="1"/>
  <c r="BH245" i="5"/>
  <c r="BM245" i="5" s="1"/>
  <c r="BG8" i="5"/>
  <c r="BL8" i="5" s="1"/>
  <c r="BH8" i="5"/>
  <c r="BM8" i="5" s="1"/>
  <c r="BG94" i="5"/>
  <c r="BL94" i="5" s="1"/>
  <c r="BH94" i="5"/>
  <c r="BM94" i="5" s="1"/>
  <c r="BG351" i="5"/>
  <c r="BL351" i="5" s="1"/>
  <c r="BH351" i="5"/>
  <c r="BM351" i="5" s="1"/>
  <c r="BG452" i="5"/>
  <c r="BL452" i="5" s="1"/>
  <c r="BH452" i="5"/>
  <c r="BM452" i="5" s="1"/>
  <c r="BH432" i="5"/>
  <c r="BM432" i="5" s="1"/>
  <c r="BG432" i="5"/>
  <c r="BL432" i="5" s="1"/>
  <c r="BG287" i="5"/>
  <c r="BL287" i="5" s="1"/>
  <c r="BH287" i="5"/>
  <c r="BM287" i="5" s="1"/>
  <c r="BH21" i="5"/>
  <c r="BM21" i="5" s="1"/>
  <c r="BG21" i="5"/>
  <c r="BL21" i="5" s="1"/>
  <c r="BG541" i="5"/>
  <c r="BL541" i="5" s="1"/>
  <c r="BH541" i="5"/>
  <c r="BM541" i="5" s="1"/>
  <c r="BH345" i="5"/>
  <c r="BM345" i="5" s="1"/>
  <c r="BG345" i="5"/>
  <c r="BL345" i="5" s="1"/>
  <c r="BH157" i="5"/>
  <c r="BM157" i="5" s="1"/>
  <c r="BG157" i="5"/>
  <c r="BL157" i="5" s="1"/>
  <c r="BH205" i="5"/>
  <c r="BM205" i="5" s="1"/>
  <c r="BG205" i="5"/>
  <c r="BL205" i="5" s="1"/>
  <c r="BH510" i="5"/>
  <c r="BM510" i="5" s="1"/>
  <c r="BG510" i="5"/>
  <c r="BL510" i="5" s="1"/>
  <c r="BG358" i="5"/>
  <c r="BL358" i="5" s="1"/>
  <c r="BH358" i="5"/>
  <c r="BM358" i="5" s="1"/>
  <c r="BH142" i="5"/>
  <c r="BM142" i="5" s="1"/>
  <c r="BG142" i="5"/>
  <c r="BL142" i="5" s="1"/>
  <c r="BG140" i="5"/>
  <c r="BL140" i="5" s="1"/>
  <c r="BH140" i="5"/>
  <c r="BM140" i="5" s="1"/>
  <c r="BH409" i="5"/>
  <c r="BM409" i="5" s="1"/>
  <c r="BG409" i="5"/>
  <c r="BL409" i="5" s="1"/>
  <c r="BH27" i="5"/>
  <c r="BM27" i="5" s="1"/>
  <c r="BG27" i="5"/>
  <c r="BL27" i="5" s="1"/>
  <c r="BH520" i="5"/>
  <c r="BM520" i="5" s="1"/>
  <c r="BG520" i="5"/>
  <c r="BL520" i="5" s="1"/>
  <c r="BH136" i="5"/>
  <c r="BM136" i="5" s="1"/>
  <c r="BG136" i="5"/>
  <c r="BL136" i="5" s="1"/>
  <c r="BG532" i="5"/>
  <c r="BL532" i="5" s="1"/>
  <c r="BH532" i="5"/>
  <c r="BM532" i="5" s="1"/>
  <c r="BH412" i="5"/>
  <c r="BM412" i="5" s="1"/>
  <c r="BG412" i="5"/>
  <c r="BL412" i="5" s="1"/>
  <c r="BG417" i="5"/>
  <c r="BL417" i="5" s="1"/>
  <c r="BH417" i="5"/>
  <c r="BM417" i="5" s="1"/>
  <c r="BH349" i="5"/>
  <c r="BM349" i="5" s="1"/>
  <c r="BG349" i="5"/>
  <c r="BL349" i="5" s="1"/>
  <c r="BG195" i="5"/>
  <c r="BL195" i="5" s="1"/>
  <c r="BH195" i="5"/>
  <c r="BM195" i="5" s="1"/>
  <c r="BG164" i="5"/>
  <c r="BL164" i="5" s="1"/>
  <c r="BH164" i="5"/>
  <c r="BM164" i="5" s="1"/>
  <c r="BG110" i="5"/>
  <c r="BL110" i="5" s="1"/>
  <c r="BH110" i="5"/>
  <c r="BM110" i="5" s="1"/>
  <c r="BH137" i="5"/>
  <c r="BM137" i="5" s="1"/>
  <c r="BG137" i="5"/>
  <c r="BL137" i="5" s="1"/>
  <c r="BG469" i="5"/>
  <c r="BL469" i="5" s="1"/>
  <c r="BH469" i="5"/>
  <c r="BM469" i="5" s="1"/>
  <c r="BH275" i="5"/>
  <c r="BM275" i="5" s="1"/>
  <c r="BG275" i="5"/>
  <c r="BL275" i="5" s="1"/>
  <c r="BG545" i="5"/>
  <c r="BL545" i="5" s="1"/>
  <c r="BH545" i="5"/>
  <c r="BM545" i="5" s="1"/>
  <c r="BH486" i="5"/>
  <c r="BM486" i="5" s="1"/>
  <c r="BG486" i="5"/>
  <c r="BL486" i="5" s="1"/>
  <c r="BH203" i="5"/>
  <c r="BM203" i="5" s="1"/>
  <c r="BG203" i="5"/>
  <c r="BL203" i="5" s="1"/>
  <c r="BG191" i="5"/>
  <c r="BL191" i="5" s="1"/>
  <c r="BH191" i="5"/>
  <c r="BM191" i="5" s="1"/>
  <c r="BH93" i="5"/>
  <c r="BM93" i="5" s="1"/>
  <c r="BG93" i="5"/>
  <c r="BL93" i="5" s="1"/>
  <c r="BG236" i="5"/>
  <c r="BL236" i="5" s="1"/>
  <c r="BH236" i="5"/>
  <c r="BM236" i="5" s="1"/>
  <c r="BH212" i="5"/>
  <c r="BM212" i="5" s="1"/>
  <c r="BG212" i="5"/>
  <c r="BL212" i="5" s="1"/>
  <c r="BG227" i="5"/>
  <c r="BL227" i="5" s="1"/>
  <c r="BH227" i="5"/>
  <c r="BM227" i="5" s="1"/>
  <c r="BH114" i="5"/>
  <c r="BM114" i="5" s="1"/>
  <c r="BG114" i="5"/>
  <c r="BL114" i="5" s="1"/>
  <c r="BG511" i="5"/>
  <c r="BL511" i="5" s="1"/>
  <c r="BH511" i="5"/>
  <c r="BM511" i="5" s="1"/>
  <c r="BH204" i="5"/>
  <c r="BM204" i="5" s="1"/>
  <c r="BG204" i="5"/>
  <c r="BL204" i="5" s="1"/>
  <c r="BG555" i="5"/>
  <c r="BL555" i="5" s="1"/>
  <c r="BH555" i="5"/>
  <c r="BM555" i="5" s="1"/>
  <c r="BH61" i="5"/>
  <c r="BM61" i="5" s="1"/>
  <c r="BG61" i="5"/>
  <c r="BL61" i="5" s="1"/>
  <c r="BH465" i="5"/>
  <c r="BM465" i="5" s="1"/>
  <c r="BG465" i="5"/>
  <c r="BL465" i="5" s="1"/>
  <c r="BH90" i="5"/>
  <c r="BM90" i="5" s="1"/>
  <c r="BG90" i="5"/>
  <c r="BL90" i="5" s="1"/>
  <c r="BG9" i="5"/>
  <c r="BL9" i="5" s="1"/>
  <c r="BH9" i="5"/>
  <c r="BM9" i="5" s="1"/>
  <c r="BG375" i="5"/>
  <c r="BL375" i="5" s="1"/>
  <c r="BH375" i="5"/>
  <c r="BM375" i="5" s="1"/>
  <c r="BG338" i="5"/>
  <c r="BL338" i="5" s="1"/>
  <c r="BH338" i="5"/>
  <c r="BM338" i="5" s="1"/>
  <c r="BG80" i="5"/>
  <c r="BL80" i="5" s="1"/>
  <c r="BH80" i="5"/>
  <c r="BM80" i="5" s="1"/>
  <c r="BH380" i="5"/>
  <c r="BM380" i="5" s="1"/>
  <c r="BG380" i="5"/>
  <c r="BL380" i="5" s="1"/>
  <c r="BG113" i="5"/>
  <c r="BL113" i="5" s="1"/>
  <c r="BH113" i="5"/>
  <c r="BM113" i="5" s="1"/>
  <c r="BH62" i="5"/>
  <c r="BM62" i="5" s="1"/>
  <c r="BG62" i="5"/>
  <c r="BL62" i="5" s="1"/>
  <c r="BG405" i="5"/>
  <c r="BL405" i="5" s="1"/>
  <c r="BH405" i="5"/>
  <c r="BM405" i="5" s="1"/>
  <c r="BH46" i="5"/>
  <c r="BM46" i="5" s="1"/>
  <c r="BG46" i="5"/>
  <c r="BL46" i="5" s="1"/>
  <c r="BG304" i="5"/>
  <c r="BL304" i="5" s="1"/>
  <c r="BH304" i="5"/>
  <c r="BM304" i="5" s="1"/>
  <c r="BG355" i="5"/>
  <c r="BL355" i="5" s="1"/>
  <c r="BH355" i="5"/>
  <c r="BM355" i="5" s="1"/>
  <c r="BG215" i="5"/>
  <c r="BL215" i="5" s="1"/>
  <c r="BH215" i="5"/>
  <c r="BM215" i="5" s="1"/>
  <c r="BH347" i="5"/>
  <c r="BM347" i="5" s="1"/>
  <c r="BG347" i="5"/>
  <c r="BL347" i="5" s="1"/>
  <c r="BG154" i="5"/>
  <c r="BL154" i="5" s="1"/>
  <c r="BH154" i="5"/>
  <c r="BM154" i="5" s="1"/>
  <c r="BG389" i="5"/>
  <c r="BL389" i="5" s="1"/>
  <c r="BH389" i="5"/>
  <c r="BM389" i="5" s="1"/>
  <c r="BH335" i="5"/>
  <c r="BM335" i="5" s="1"/>
  <c r="BG335" i="5"/>
  <c r="BL335" i="5" s="1"/>
  <c r="BH399" i="5"/>
  <c r="BM399" i="5" s="1"/>
  <c r="BG399" i="5"/>
  <c r="BL399" i="5" s="1"/>
  <c r="BH74" i="5"/>
  <c r="BM74" i="5" s="1"/>
  <c r="BG74" i="5"/>
  <c r="BL74" i="5" s="1"/>
  <c r="BG153" i="5"/>
  <c r="BL153" i="5" s="1"/>
  <c r="BH153" i="5"/>
  <c r="BM153" i="5" s="1"/>
  <c r="BH193" i="5"/>
  <c r="BM193" i="5" s="1"/>
  <c r="BG193" i="5"/>
  <c r="BL193" i="5" s="1"/>
  <c r="BG57" i="5"/>
  <c r="BL57" i="5" s="1"/>
  <c r="BH57" i="5"/>
  <c r="BM57" i="5" s="1"/>
  <c r="BG264" i="5"/>
  <c r="BL264" i="5" s="1"/>
  <c r="BH264" i="5"/>
  <c r="BM264" i="5" s="1"/>
  <c r="BG314" i="5"/>
  <c r="BL314" i="5" s="1"/>
  <c r="BH314" i="5"/>
  <c r="BM314" i="5" s="1"/>
  <c r="BH453" i="5"/>
  <c r="BM453" i="5" s="1"/>
  <c r="BG453" i="5"/>
  <c r="BL453" i="5" s="1"/>
  <c r="BG424" i="5"/>
  <c r="BL424" i="5" s="1"/>
  <c r="BH424" i="5"/>
  <c r="BM424" i="5" s="1"/>
  <c r="BH187" i="5"/>
  <c r="BM187" i="5" s="1"/>
  <c r="BG187" i="5"/>
  <c r="BL187" i="5" s="1"/>
  <c r="BH501" i="5"/>
  <c r="BM501" i="5" s="1"/>
  <c r="BG501" i="5"/>
  <c r="BL501" i="5" s="1"/>
  <c r="BH247" i="5"/>
  <c r="BM247" i="5" s="1"/>
  <c r="BG247" i="5"/>
  <c r="BL247" i="5" s="1"/>
  <c r="BG201" i="5"/>
  <c r="BL201" i="5" s="1"/>
  <c r="BH201" i="5"/>
  <c r="BM201" i="5" s="1"/>
  <c r="BH178" i="5"/>
  <c r="BM178" i="5" s="1"/>
  <c r="BG178" i="5"/>
  <c r="BL178" i="5" s="1"/>
  <c r="BH79" i="5"/>
  <c r="BM79" i="5" s="1"/>
  <c r="BG79" i="5"/>
  <c r="BL79" i="5" s="1"/>
  <c r="BG36" i="5"/>
  <c r="BL36" i="5" s="1"/>
  <c r="BH36" i="5"/>
  <c r="BM36" i="5" s="1"/>
  <c r="BH362" i="5"/>
  <c r="BM362" i="5" s="1"/>
  <c r="BG362" i="5"/>
  <c r="BL362" i="5" s="1"/>
  <c r="BG445" i="5"/>
  <c r="BL445" i="5" s="1"/>
  <c r="BH445" i="5"/>
  <c r="BM445" i="5" s="1"/>
  <c r="BG326" i="5"/>
  <c r="BL326" i="5" s="1"/>
  <c r="BH326" i="5"/>
  <c r="BM326" i="5" s="1"/>
  <c r="BG455" i="5"/>
  <c r="BL455" i="5" s="1"/>
  <c r="BH455" i="5"/>
  <c r="BM455" i="5" s="1"/>
  <c r="BH111" i="5"/>
  <c r="BM111" i="5" s="1"/>
  <c r="BG111" i="5"/>
  <c r="BL111" i="5" s="1"/>
  <c r="BH273" i="5"/>
  <c r="BM273" i="5" s="1"/>
  <c r="BG273" i="5"/>
  <c r="BL273" i="5" s="1"/>
  <c r="BG165" i="5"/>
  <c r="BL165" i="5" s="1"/>
  <c r="BH165" i="5"/>
  <c r="BM165" i="5" s="1"/>
  <c r="BH148" i="5"/>
  <c r="BM148" i="5" s="1"/>
  <c r="BG148" i="5"/>
  <c r="BL148" i="5" s="1"/>
  <c r="BG175" i="5"/>
  <c r="BL175" i="5" s="1"/>
  <c r="BH175" i="5"/>
  <c r="BM175" i="5" s="1"/>
  <c r="BH416" i="5"/>
  <c r="BM416" i="5" s="1"/>
  <c r="BG416" i="5"/>
  <c r="BL416" i="5" s="1"/>
  <c r="BH319" i="5"/>
  <c r="BM319" i="5" s="1"/>
  <c r="BG319" i="5"/>
  <c r="BL319" i="5" s="1"/>
  <c r="BH462" i="5"/>
  <c r="BM462" i="5" s="1"/>
  <c r="BG462" i="5"/>
  <c r="BL462" i="5" s="1"/>
  <c r="BG468" i="5"/>
  <c r="BL468" i="5" s="1"/>
  <c r="BH468" i="5"/>
  <c r="BM468" i="5" s="1"/>
  <c r="BH315" i="5"/>
  <c r="BM315" i="5" s="1"/>
  <c r="BG315" i="5"/>
  <c r="BL315" i="5" s="1"/>
  <c r="BG367" i="5"/>
  <c r="BL367" i="5" s="1"/>
  <c r="BH367" i="5"/>
  <c r="BM367" i="5" s="1"/>
  <c r="BH138" i="5"/>
  <c r="BM138" i="5" s="1"/>
  <c r="BG138" i="5"/>
  <c r="BL138" i="5" s="1"/>
  <c r="BG266" i="5"/>
  <c r="BL266" i="5" s="1"/>
  <c r="BH266" i="5"/>
  <c r="BM266" i="5" s="1"/>
  <c r="BG535" i="5"/>
  <c r="BL535" i="5" s="1"/>
  <c r="BH535" i="5"/>
  <c r="BM535" i="5" s="1"/>
  <c r="BH277" i="5"/>
  <c r="BM277" i="5" s="1"/>
  <c r="BG277" i="5"/>
  <c r="BL277" i="5" s="1"/>
  <c r="BG542" i="5"/>
  <c r="BL542" i="5" s="1"/>
  <c r="BH542" i="5"/>
  <c r="BM542" i="5" s="1"/>
  <c r="BH28" i="5"/>
  <c r="BM28" i="5" s="1"/>
  <c r="BG28" i="5"/>
  <c r="BL28" i="5" s="1"/>
  <c r="BG454" i="5"/>
  <c r="BL454" i="5" s="1"/>
  <c r="BH454" i="5"/>
  <c r="BM454" i="5" s="1"/>
  <c r="BG336" i="5"/>
  <c r="BL336" i="5" s="1"/>
  <c r="BH336" i="5"/>
  <c r="BM336" i="5" s="1"/>
  <c r="BG152" i="5"/>
  <c r="BL152" i="5" s="1"/>
  <c r="BH152" i="5"/>
  <c r="BM152" i="5" s="1"/>
  <c r="BH143" i="5"/>
  <c r="BM143" i="5" s="1"/>
  <c r="BG143" i="5"/>
  <c r="BL143" i="5" s="1"/>
  <c r="BG497" i="5"/>
  <c r="BL497" i="5" s="1"/>
  <c r="BH497" i="5"/>
  <c r="BM497" i="5" s="1"/>
  <c r="BG130" i="5"/>
  <c r="BL130" i="5" s="1"/>
  <c r="BH130" i="5"/>
  <c r="BM130" i="5" s="1"/>
  <c r="BG100" i="5"/>
  <c r="BL100" i="5" s="1"/>
  <c r="BH100" i="5"/>
  <c r="BM100" i="5" s="1"/>
  <c r="BG68" i="5"/>
  <c r="BL68" i="5" s="1"/>
  <c r="BH68" i="5"/>
  <c r="BM68" i="5" s="1"/>
  <c r="BG271" i="5"/>
  <c r="BL271" i="5" s="1"/>
  <c r="BH271" i="5"/>
  <c r="BM271" i="5" s="1"/>
  <c r="BG487" i="5"/>
  <c r="BL487" i="5" s="1"/>
  <c r="BH487" i="5"/>
  <c r="BM487" i="5" s="1"/>
  <c r="BG381" i="5"/>
  <c r="BL381" i="5" s="1"/>
  <c r="BH381" i="5"/>
  <c r="BM381" i="5" s="1"/>
  <c r="BG29" i="5"/>
  <c r="BL29" i="5" s="1"/>
  <c r="BH29" i="5"/>
  <c r="BM29" i="5" s="1"/>
  <c r="BH32" i="5"/>
  <c r="BM32" i="5" s="1"/>
  <c r="BG32" i="5"/>
  <c r="BL32" i="5" s="1"/>
  <c r="BH293" i="5"/>
  <c r="BM293" i="5" s="1"/>
  <c r="BG293" i="5"/>
  <c r="BL293" i="5" s="1"/>
  <c r="BG73" i="5"/>
  <c r="BL73" i="5" s="1"/>
  <c r="BH73" i="5"/>
  <c r="BM73" i="5" s="1"/>
  <c r="BG515" i="5"/>
  <c r="BL515" i="5" s="1"/>
  <c r="BH515" i="5"/>
  <c r="BM515" i="5" s="1"/>
  <c r="BG485" i="5"/>
  <c r="BL485" i="5" s="1"/>
  <c r="BH485" i="5"/>
  <c r="BM485" i="5" s="1"/>
  <c r="BH81" i="5"/>
  <c r="BM81" i="5" s="1"/>
  <c r="BG81" i="5"/>
  <c r="BL81" i="5" s="1"/>
  <c r="BH330" i="5"/>
  <c r="BM330" i="5" s="1"/>
  <c r="BG330" i="5"/>
  <c r="BL330" i="5" s="1"/>
  <c r="BH147" i="5"/>
  <c r="BM147" i="5" s="1"/>
  <c r="BG147" i="5"/>
  <c r="BL147" i="5" s="1"/>
  <c r="BG400" i="5"/>
  <c r="BL400" i="5" s="1"/>
  <c r="BH400" i="5"/>
  <c r="BM400" i="5" s="1"/>
  <c r="BG502" i="5"/>
  <c r="BL502" i="5" s="1"/>
  <c r="BH502" i="5"/>
  <c r="BM502" i="5" s="1"/>
  <c r="BH107" i="5"/>
  <c r="BM107" i="5" s="1"/>
  <c r="BG107" i="5"/>
  <c r="BL107" i="5" s="1"/>
  <c r="BH360" i="5"/>
  <c r="BM360" i="5" s="1"/>
  <c r="BG360" i="5"/>
  <c r="BL360" i="5" s="1"/>
  <c r="BH521" i="5"/>
  <c r="BM521" i="5" s="1"/>
  <c r="BG521" i="5"/>
  <c r="BL521" i="5" s="1"/>
  <c r="BH115" i="5"/>
  <c r="BM115" i="5" s="1"/>
  <c r="BG115" i="5"/>
  <c r="BL115" i="5" s="1"/>
  <c r="BG77" i="5"/>
  <c r="BL77" i="5" s="1"/>
  <c r="BH77" i="5"/>
  <c r="BM77" i="5" s="1"/>
  <c r="BG364" i="5"/>
  <c r="BL364" i="5" s="1"/>
  <c r="BH364" i="5"/>
  <c r="BM364" i="5" s="1"/>
  <c r="BG60" i="5"/>
  <c r="BL60" i="5" s="1"/>
  <c r="BH60" i="5"/>
  <c r="BM60" i="5" s="1"/>
  <c r="BG200" i="5"/>
  <c r="BL200" i="5" s="1"/>
  <c r="BH200" i="5"/>
  <c r="BM200" i="5" s="1"/>
  <c r="BG163" i="5"/>
  <c r="BL163" i="5" s="1"/>
  <c r="BH163" i="5"/>
  <c r="BM163" i="5" s="1"/>
  <c r="BG491" i="5"/>
  <c r="BL491" i="5" s="1"/>
  <c r="BH491" i="5"/>
  <c r="BM491" i="5" s="1"/>
  <c r="BH426" i="5"/>
  <c r="BM426" i="5" s="1"/>
  <c r="BG426" i="5"/>
  <c r="BL426" i="5" s="1"/>
  <c r="BH290" i="5"/>
  <c r="BM290" i="5" s="1"/>
  <c r="BG290" i="5"/>
  <c r="BL290" i="5" s="1"/>
  <c r="BG243" i="5"/>
  <c r="BL243" i="5" s="1"/>
  <c r="BH243" i="5"/>
  <c r="BM243" i="5" s="1"/>
  <c r="BH88" i="5"/>
  <c r="BM88" i="5" s="1"/>
  <c r="BG88" i="5"/>
  <c r="BL88" i="5" s="1"/>
  <c r="BH431" i="5"/>
  <c r="BM431" i="5" s="1"/>
  <c r="BG431" i="5"/>
  <c r="BL431" i="5" s="1"/>
  <c r="BG44" i="5"/>
  <c r="BL44" i="5" s="1"/>
  <c r="BH44" i="5"/>
  <c r="BM44" i="5" s="1"/>
  <c r="BH117" i="5"/>
  <c r="BM117" i="5" s="1"/>
  <c r="BG117" i="5"/>
  <c r="BL117" i="5" s="1"/>
  <c r="BG428" i="5"/>
  <c r="BL428" i="5" s="1"/>
  <c r="BH428" i="5"/>
  <c r="BM428" i="5" s="1"/>
  <c r="BG547" i="5"/>
  <c r="BL547" i="5" s="1"/>
  <c r="BH547" i="5"/>
  <c r="BM547" i="5" s="1"/>
  <c r="BH53" i="5"/>
  <c r="BM53" i="5" s="1"/>
  <c r="BG53" i="5"/>
  <c r="BL53" i="5" s="1"/>
  <c r="BG512" i="5"/>
  <c r="BL512" i="5" s="1"/>
  <c r="BH512" i="5"/>
  <c r="BM512" i="5" s="1"/>
  <c r="BF11" i="5"/>
  <c r="BG150" i="5"/>
  <c r="BL150" i="5" s="1"/>
  <c r="BH150" i="5"/>
  <c r="BM150" i="5" s="1"/>
  <c r="BG549" i="5"/>
  <c r="BL549" i="5" s="1"/>
  <c r="BH549" i="5"/>
  <c r="BM549" i="5" s="1"/>
  <c r="BH372" i="5"/>
  <c r="BM372" i="5" s="1"/>
  <c r="BG372" i="5"/>
  <c r="BL372" i="5" s="1"/>
  <c r="BH503" i="5"/>
  <c r="BM503" i="5" s="1"/>
  <c r="BG503" i="5"/>
  <c r="BL503" i="5" s="1"/>
  <c r="BG106" i="5"/>
  <c r="BL106" i="5" s="1"/>
  <c r="BH106" i="5"/>
  <c r="BM106" i="5" s="1"/>
  <c r="BG308" i="5"/>
  <c r="BL308" i="5" s="1"/>
  <c r="BH308" i="5"/>
  <c r="BM308" i="5" s="1"/>
  <c r="BG208" i="5"/>
  <c r="BL208" i="5" s="1"/>
  <c r="BH208" i="5"/>
  <c r="BM208" i="5" s="1"/>
  <c r="BG139" i="5"/>
  <c r="BL139" i="5" s="1"/>
  <c r="BH139" i="5"/>
  <c r="BM139" i="5" s="1"/>
  <c r="BG519" i="5"/>
  <c r="BL519" i="5" s="1"/>
  <c r="BH519" i="5"/>
  <c r="BM519" i="5" s="1"/>
  <c r="BG122" i="5"/>
  <c r="BL122" i="5" s="1"/>
  <c r="BH122" i="5"/>
  <c r="BM122" i="5" s="1"/>
  <c r="BG134" i="5"/>
  <c r="BL134" i="5" s="1"/>
  <c r="BH134" i="5"/>
  <c r="BM134" i="5" s="1"/>
  <c r="BH513" i="5"/>
  <c r="BM513" i="5" s="1"/>
  <c r="BG513" i="5"/>
  <c r="BL513" i="5" s="1"/>
  <c r="BG265" i="5"/>
  <c r="BL265" i="5" s="1"/>
  <c r="BH265" i="5"/>
  <c r="BM265" i="5" s="1"/>
  <c r="BH45" i="5"/>
  <c r="BM45" i="5" s="1"/>
  <c r="BG45" i="5"/>
  <c r="BL45" i="5" s="1"/>
  <c r="BG141" i="5"/>
  <c r="BL141" i="5" s="1"/>
  <c r="BH141" i="5"/>
  <c r="BM141" i="5" s="1"/>
  <c r="BH260" i="5"/>
  <c r="BM260" i="5" s="1"/>
  <c r="BG260" i="5"/>
  <c r="BL260" i="5" s="1"/>
  <c r="BH459" i="5"/>
  <c r="BM459" i="5" s="1"/>
  <c r="BG459" i="5"/>
  <c r="BL459" i="5" s="1"/>
  <c r="BG50" i="5"/>
  <c r="BL50" i="5" s="1"/>
  <c r="BH50" i="5"/>
  <c r="BM50" i="5" s="1"/>
  <c r="BG261" i="5"/>
  <c r="BL261" i="5" s="1"/>
  <c r="BH261" i="5"/>
  <c r="BM261" i="5" s="1"/>
  <c r="BH206" i="5"/>
  <c r="BM206" i="5" s="1"/>
  <c r="BG206" i="5"/>
  <c r="BL206" i="5" s="1"/>
  <c r="BH368" i="5"/>
  <c r="BM368" i="5" s="1"/>
  <c r="BG368" i="5"/>
  <c r="BL368" i="5" s="1"/>
  <c r="BH478" i="5"/>
  <c r="BM478" i="5" s="1"/>
  <c r="BG478" i="5"/>
  <c r="BL478" i="5" s="1"/>
  <c r="BH385" i="5"/>
  <c r="BM385" i="5" s="1"/>
  <c r="BG385" i="5"/>
  <c r="BL385" i="5" s="1"/>
  <c r="BG391" i="5"/>
  <c r="BL391" i="5" s="1"/>
  <c r="BH391" i="5"/>
  <c r="BM391" i="5" s="1"/>
  <c r="BG384" i="5"/>
  <c r="BL384" i="5" s="1"/>
  <c r="BH384" i="5"/>
  <c r="BM384" i="5" s="1"/>
  <c r="BG69" i="5"/>
  <c r="BL69" i="5" s="1"/>
  <c r="BH69" i="5"/>
  <c r="BM69" i="5" s="1"/>
  <c r="AU50" i="4" l="1"/>
  <c r="AW50" i="4" s="1"/>
  <c r="AU26" i="4"/>
  <c r="AW26" i="4" s="1"/>
  <c r="AU40" i="4"/>
  <c r="AW40" i="4" s="1"/>
  <c r="AU62" i="4"/>
  <c r="AW62" i="4" s="1"/>
  <c r="AU64" i="4"/>
  <c r="AW64" i="4" s="1"/>
  <c r="AU42" i="4"/>
  <c r="AW42" i="4" s="1"/>
  <c r="AU45" i="4"/>
  <c r="AW45" i="4" s="1"/>
  <c r="AQ65" i="4"/>
  <c r="AP65" i="4"/>
  <c r="AC65" i="4"/>
  <c r="AD65" i="4" s="1"/>
  <c r="AQ59" i="4"/>
  <c r="AC59" i="4"/>
  <c r="AD59" i="4" s="1"/>
  <c r="AP59" i="4"/>
  <c r="AQ63" i="4"/>
  <c r="AC63" i="4"/>
  <c r="AD63" i="4" s="1"/>
  <c r="AP63" i="4"/>
  <c r="AU32" i="4"/>
  <c r="AW32" i="4" s="1"/>
  <c r="AQ60" i="4"/>
  <c r="AP60" i="4"/>
  <c r="AC60" i="4"/>
  <c r="AD60" i="4" s="1"/>
  <c r="AC61" i="4"/>
  <c r="AD61" i="4" s="1"/>
  <c r="AQ61" i="4"/>
  <c r="AP61" i="4"/>
  <c r="AP55" i="4"/>
  <c r="AQ55" i="4"/>
  <c r="AC55" i="4"/>
  <c r="AD55" i="4" s="1"/>
  <c r="AQ57" i="4"/>
  <c r="AC57" i="4"/>
  <c r="AD57" i="4" s="1"/>
  <c r="AP57" i="4"/>
  <c r="AQ54" i="4"/>
  <c r="AC54" i="4"/>
  <c r="AD54" i="4" s="1"/>
  <c r="AP54" i="4"/>
  <c r="AU54" i="4" s="1"/>
  <c r="AW54" i="4" s="1"/>
  <c r="BK11" i="5"/>
  <c r="BJ11" i="5"/>
  <c r="BG11" i="5"/>
  <c r="BL11" i="5" s="1"/>
  <c r="BH11" i="5"/>
  <c r="BM11" i="5" s="1"/>
  <c r="AU59" i="4" l="1"/>
  <c r="AW59" i="4" s="1"/>
  <c r="AU57" i="4"/>
  <c r="AW57" i="4" s="1"/>
  <c r="AU63" i="4"/>
  <c r="AW63" i="4" s="1"/>
  <c r="AU61" i="4"/>
  <c r="AW61" i="4" s="1"/>
  <c r="AU65" i="4"/>
  <c r="AW65" i="4" s="1"/>
  <c r="AU55" i="4"/>
  <c r="AW55" i="4" s="1"/>
  <c r="AU60" i="4"/>
  <c r="AW60"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A3" authorId="0" shapeId="0" xr:uid="{00000000-0006-0000-0000-000001000000}">
      <text>
        <r>
          <rPr>
            <b/>
            <sz val="11"/>
            <color indexed="10"/>
            <rFont val="Tahoma"/>
            <family val="2"/>
          </rPr>
          <t>Welcome to the LM5127 Design Tool</t>
        </r>
        <r>
          <rPr>
            <sz val="9"/>
            <color indexed="81"/>
            <rFont val="Tahoma"/>
            <family val="2"/>
          </rPr>
          <t xml:space="preserve">
This stand-alone tool facilitates and assists the power supply engineer with design of a DC-DC boost converter based on the LM5127 boost controller. As such, the user can expeditiously arrive at an optimized design by virtue of the following:
- Select components
- Optimize compensation values and pole/zero placement in terms of control loop stability using crossover frquency as a performance metric
- Inspect regulator efficiency and component power dissipation
- Analyze efficiency based on selected MOSFET, inductor and diode parameters
IMPORTANT: You must enable macros if Microsoft Excel asks as the file is being opened. U.S. English notation is used throughout. Make sure to input or select values in all of the yellow shaded cells even if a value already exists in that cell. Do not over write equations in cells, as this may result in calculation errors.
</t>
        </r>
      </text>
    </comment>
    <comment ref="O3" authorId="0" shapeId="0" xr:uid="{00000000-0006-0000-0000-000002000000}">
      <text>
        <r>
          <rPr>
            <sz val="9"/>
            <color indexed="81"/>
            <rFont val="Tahoma"/>
            <family val="2"/>
          </rPr>
          <t xml:space="preserve">
</t>
        </r>
        <r>
          <rPr>
            <sz val="12"/>
            <color indexed="10"/>
            <rFont val="Tahoma"/>
            <family val="2"/>
          </rPr>
          <t>Texas Instruments:</t>
        </r>
        <r>
          <rPr>
            <sz val="9"/>
            <color indexed="81"/>
            <rFont val="Tahoma"/>
            <family val="2"/>
          </rPr>
          <t xml:space="preserve">
Limited Use Policy
You must treat this software and documentation like any other copyrighted material.
You may not:
- Copy documentation of the software
- Copy this software except to make archival or backup copies
- Reverse engineer, disassemble, decompile or make any attempt to discover the source code of the Software 
- Place the software onto a server so that it is accessible via a public network such as the internet 
- Sublicense, rent, lease or lend any portion of the software or documentation.
Texas Instruments is not responsible for the validity of any design created with this software and urges all designs to be fully tested and carefully verified. 
The most recent version of this excel file can be found in the product folder of the part at TI.com. To activate all functions, Macro should be enabled and 'Analysis Toolpak' should be added in. 
</t>
        </r>
      </text>
    </comment>
    <comment ref="H12" authorId="0" shapeId="0" xr:uid="{00000000-0006-0000-0000-000003000000}">
      <text>
        <r>
          <rPr>
            <b/>
            <sz val="9"/>
            <color indexed="81"/>
            <rFont val="Tahoma"/>
            <family val="2"/>
          </rPr>
          <t xml:space="preserve">Light Load Switching Mode Selection:
</t>
        </r>
        <r>
          <rPr>
            <sz val="9"/>
            <color indexed="81"/>
            <rFont val="Tahoma"/>
            <family val="2"/>
          </rPr>
          <t>FPWM --&gt; MODE pin connected to VCC.
SKIP --&gt; MODE pin floating.
DEM --&gt; MODE pin connect to GND.
See the datasheet for more details on each mode.</t>
        </r>
      </text>
    </comment>
    <comment ref="H20" authorId="0" shapeId="0" xr:uid="{00000000-0006-0000-0000-000004000000}">
      <text>
        <r>
          <rPr>
            <b/>
            <sz val="9"/>
            <color indexed="81"/>
            <rFont val="Tahoma"/>
            <family val="2"/>
          </rPr>
          <t xml:space="preserve">If this cell shows:
CCM: </t>
        </r>
        <r>
          <rPr>
            <sz val="9"/>
            <color indexed="81"/>
            <rFont val="Tahoma"/>
            <family val="2"/>
          </rPr>
          <t>The step up ratio from the minimum supply voltage to the load voltage can be achieved without exceeding the maximum duty cycle. Continous conduction mode is possilbe at the minimum supply voltage.</t>
        </r>
        <r>
          <rPr>
            <b/>
            <sz val="9"/>
            <color indexed="81"/>
            <rFont val="Tahoma"/>
            <family val="2"/>
          </rPr>
          <t xml:space="preserve">
DCM: </t>
        </r>
        <r>
          <rPr>
            <sz val="9"/>
            <color indexed="81"/>
            <rFont val="Tahoma"/>
            <family val="2"/>
          </rPr>
          <t>Discontinous conduction mode at the minimum supply voltage must be used as the duty cycle exceeds the maximum of the IC. This will result in higher peak inductor currents and lower efficiency. If this occurs, it is possible to decrease the switching frequency to increase the maximum duty cycle.</t>
        </r>
      </text>
    </comment>
    <comment ref="H57" authorId="0" shapeId="0" xr:uid="{00000000-0006-0000-0000-000005000000}">
      <text>
        <r>
          <rPr>
            <b/>
            <sz val="9"/>
            <color indexed="81"/>
            <rFont val="Tahoma"/>
            <family val="2"/>
          </rPr>
          <t xml:space="preserve">TRK Pin Voltage:
</t>
        </r>
        <r>
          <rPr>
            <sz val="9"/>
            <color indexed="81"/>
            <rFont val="Tahoma"/>
            <family val="2"/>
          </rPr>
          <t xml:space="preserve">
This is the voltage seen at the TRK pin when regulation to the load voltage. The TRK pin can be driven from an external voltage source or it can be supplied through a resistor divider from the REF pin. 
</t>
        </r>
      </text>
    </comment>
    <comment ref="H60" authorId="0" shapeId="0" xr:uid="{00000000-0006-0000-0000-000006000000}">
      <text>
        <r>
          <rPr>
            <b/>
            <sz val="9"/>
            <color indexed="81"/>
            <rFont val="Tahoma"/>
            <family val="2"/>
          </rPr>
          <t xml:space="preserve">RVREFT selection
</t>
        </r>
        <r>
          <rPr>
            <sz val="9"/>
            <color indexed="81"/>
            <rFont val="Tahoma"/>
            <family val="2"/>
          </rPr>
          <t xml:space="preserve">Select the a resistor value between RVREFT_min and VREFT_max. This will set the LM5123 to be in the correct output voltage range for the application.
</t>
        </r>
      </text>
    </comment>
    <comment ref="H62" authorId="0" shapeId="0" xr:uid="{00000000-0006-0000-0000-000007000000}">
      <text>
        <r>
          <rPr>
            <b/>
            <sz val="9"/>
            <color indexed="81"/>
            <rFont val="Tahoma"/>
            <family val="2"/>
          </rPr>
          <t xml:space="preserve">RVREFB Selection
</t>
        </r>
        <r>
          <rPr>
            <sz val="9"/>
            <color indexed="81"/>
            <rFont val="Tahoma"/>
            <family val="2"/>
          </rPr>
          <t xml:space="preserve">This value should be the same value as the VREFB_calc value. This sets the load voltage of the boost controler 
</t>
        </r>
      </text>
    </comment>
    <comment ref="H65" authorId="0" shapeId="0" xr:uid="{00000000-0006-0000-0000-000008000000}">
      <text>
        <r>
          <rPr>
            <b/>
            <sz val="9"/>
            <color indexed="81"/>
            <rFont val="Tahoma"/>
            <family val="2"/>
          </rPr>
          <t>Control Loop Bandwidth</t>
        </r>
        <r>
          <rPr>
            <sz val="9"/>
            <color indexed="81"/>
            <rFont val="Tahoma"/>
            <family val="2"/>
          </rPr>
          <t xml:space="preserve">
This sets the bandwidth of the control loop. In a boost controler the RHP zero of the plant transfer function limits the maximum value of the control loop bandwidth. It is recommended to not exceed 1/5th the RHP zero frequency. The FCO_calc value calculates the 1/5th the RHP zero frequency. It is recommend to not exceed the FCO_calc value.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K93" authorId="0" shapeId="0" xr:uid="{00000000-0006-0000-0100-000001000000}">
      <text>
        <r>
          <rPr>
            <b/>
            <sz val="9"/>
            <color indexed="81"/>
            <rFont val="Tahoma"/>
            <family val="2"/>
          </rPr>
          <t xml:space="preserve">Slope Compensation flag. If this flag is tripped there is not enough slope compensation. Double check the calculated values. 
</t>
        </r>
        <r>
          <rPr>
            <sz val="9"/>
            <color indexed="81"/>
            <rFont val="Tahoma"/>
            <family val="2"/>
          </rPr>
          <t xml:space="preserve">
</t>
        </r>
      </text>
    </comment>
    <comment ref="K94" authorId="0" shapeId="0" xr:uid="{00000000-0006-0000-0100-000002000000}">
      <text>
        <r>
          <rPr>
            <sz val="9"/>
            <color indexed="81"/>
            <rFont val="Tahoma"/>
            <family val="2"/>
          </rPr>
          <t xml:space="preserve">Tripped if the current sense resistor results in a lower current limit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V6" authorId="0" shapeId="0" xr:uid="{00000000-0006-0000-0200-000001000000}">
      <text>
        <r>
          <rPr>
            <b/>
            <sz val="9"/>
            <color indexed="81"/>
            <rFont val="Tahoma"/>
            <family val="2"/>
          </rPr>
          <t xml:space="preserve">1 = DCM operation
2 = CCM operation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O18" authorId="0" shapeId="0" xr:uid="{00000000-0006-0000-0300-000001000000}">
      <text>
        <r>
          <rPr>
            <b/>
            <sz val="9"/>
            <color indexed="81"/>
            <rFont val="Tahoma"/>
            <family val="2"/>
          </rPr>
          <t>BMC-BCS:</t>
        </r>
        <r>
          <rPr>
            <sz val="9"/>
            <color indexed="81"/>
            <rFont val="Tahoma"/>
            <family val="2"/>
          </rPr>
          <t xml:space="preserve">
Need to make this log not linear at some point
</t>
        </r>
      </text>
    </comment>
  </commentList>
</comments>
</file>

<file path=xl/sharedStrings.xml><?xml version="1.0" encoding="utf-8"?>
<sst xmlns="http://schemas.openxmlformats.org/spreadsheetml/2006/main" count="1065" uniqueCount="610">
  <si>
    <t>TERMS OF USE</t>
  </si>
  <si>
    <t>ABOUT</t>
  </si>
  <si>
    <t>=Input Box</t>
  </si>
  <si>
    <t>Step 1: Design Specifications</t>
  </si>
  <si>
    <r>
      <t>Minimum Input Supply Voltage , V</t>
    </r>
    <r>
      <rPr>
        <vertAlign val="subscript"/>
        <sz val="10"/>
        <color theme="1"/>
        <rFont val="Calibri"/>
        <family val="2"/>
        <scheme val="minor"/>
      </rPr>
      <t>SUPPLY(min)</t>
    </r>
    <r>
      <rPr>
        <sz val="10"/>
        <color theme="1"/>
        <rFont val="Calibri"/>
        <family val="2"/>
        <scheme val="minor"/>
      </rPr>
      <t xml:space="preserve"> </t>
    </r>
  </si>
  <si>
    <r>
      <t>Typical Input Supply Voltage, V</t>
    </r>
    <r>
      <rPr>
        <vertAlign val="subscript"/>
        <sz val="10"/>
        <color theme="1"/>
        <rFont val="Calibri"/>
        <family val="2"/>
        <scheme val="minor"/>
      </rPr>
      <t>SUPPLY(typ)</t>
    </r>
    <r>
      <rPr>
        <sz val="10"/>
        <color theme="1"/>
        <rFont val="Calibri"/>
        <family val="2"/>
        <scheme val="minor"/>
      </rPr>
      <t xml:space="preserve"> </t>
    </r>
  </si>
  <si>
    <r>
      <t>Maximum Input Supply Voltage , V</t>
    </r>
    <r>
      <rPr>
        <vertAlign val="subscript"/>
        <sz val="10"/>
        <color theme="1"/>
        <rFont val="Calibri"/>
        <family val="2"/>
        <scheme val="minor"/>
      </rPr>
      <t>SUPPLY(max)</t>
    </r>
    <r>
      <rPr>
        <sz val="10"/>
        <color theme="1"/>
        <rFont val="Calibri"/>
        <family val="2"/>
        <scheme val="minor"/>
      </rPr>
      <t xml:space="preserve"> </t>
    </r>
  </si>
  <si>
    <r>
      <t>Output Target Voltage, V</t>
    </r>
    <r>
      <rPr>
        <vertAlign val="subscript"/>
        <sz val="10"/>
        <color theme="1"/>
        <rFont val="Calibri"/>
        <family val="2"/>
        <scheme val="minor"/>
      </rPr>
      <t>LOAD</t>
    </r>
    <r>
      <rPr>
        <sz val="10"/>
        <color theme="1"/>
        <rFont val="Calibri"/>
        <family val="2"/>
        <scheme val="minor"/>
      </rPr>
      <t xml:space="preserve"> </t>
    </r>
  </si>
  <si>
    <r>
      <t>Maximum Output Current , I</t>
    </r>
    <r>
      <rPr>
        <vertAlign val="subscript"/>
        <sz val="10"/>
        <color theme="1"/>
        <rFont val="Calibri"/>
        <family val="2"/>
        <scheme val="minor"/>
      </rPr>
      <t>LOAD</t>
    </r>
    <r>
      <rPr>
        <sz val="10"/>
        <color theme="1"/>
        <rFont val="Calibri"/>
        <family val="2"/>
        <scheme val="minor"/>
      </rPr>
      <t xml:space="preserve"> </t>
    </r>
  </si>
  <si>
    <r>
      <t>Free Running Switching Frequency, F</t>
    </r>
    <r>
      <rPr>
        <vertAlign val="subscript"/>
        <sz val="10"/>
        <color theme="1"/>
        <rFont val="Calibri"/>
        <family val="2"/>
        <scheme val="minor"/>
      </rPr>
      <t>SW</t>
    </r>
  </si>
  <si>
    <t>V</t>
  </si>
  <si>
    <t>A</t>
  </si>
  <si>
    <t>kHz</t>
  </si>
  <si>
    <t>%</t>
  </si>
  <si>
    <r>
      <t>Output Power, P</t>
    </r>
    <r>
      <rPr>
        <vertAlign val="subscript"/>
        <sz val="10"/>
        <color theme="1"/>
        <rFont val="Calibri"/>
        <family val="2"/>
        <scheme val="minor"/>
      </rPr>
      <t>OUT</t>
    </r>
    <r>
      <rPr>
        <sz val="10"/>
        <color theme="1"/>
        <rFont val="Calibri"/>
        <family val="2"/>
        <scheme val="minor"/>
      </rPr>
      <t xml:space="preserve"> </t>
    </r>
  </si>
  <si>
    <t>EXCEL Variables Names/Calculations</t>
  </si>
  <si>
    <t>Input from user =</t>
  </si>
  <si>
    <t>Output =</t>
  </si>
  <si>
    <t>Constant</t>
  </si>
  <si>
    <t>Variable Name</t>
  </si>
  <si>
    <t>Value</t>
  </si>
  <si>
    <t>STD Units</t>
  </si>
  <si>
    <t>Notes</t>
  </si>
  <si>
    <t>Iteration</t>
  </si>
  <si>
    <t>Step 1: Operational Specs</t>
  </si>
  <si>
    <t>VIN_min</t>
  </si>
  <si>
    <t>VIN_nom</t>
  </si>
  <si>
    <t>VIN_max</t>
  </si>
  <si>
    <t>Minimum input voltage</t>
  </si>
  <si>
    <t>Nominal input voltage</t>
  </si>
  <si>
    <t>Maximum input voltage</t>
  </si>
  <si>
    <t>VOUT</t>
  </si>
  <si>
    <t>Target Output Voltage</t>
  </si>
  <si>
    <t>IOUT</t>
  </si>
  <si>
    <t>Maximum Output current</t>
  </si>
  <si>
    <t>ROUT</t>
  </si>
  <si>
    <t>Ω</t>
  </si>
  <si>
    <t>POUT</t>
  </si>
  <si>
    <t>W</t>
  </si>
  <si>
    <t>EFF_est</t>
  </si>
  <si>
    <t>Total output power</t>
  </si>
  <si>
    <t>Minimum load resistance</t>
  </si>
  <si>
    <t>Dc_max_ideal</t>
  </si>
  <si>
    <t>Dc_max_IC</t>
  </si>
  <si>
    <t>D_2p2_min</t>
  </si>
  <si>
    <t>D_2p2_nom</t>
  </si>
  <si>
    <t>D_2p2_max</t>
  </si>
  <si>
    <t>Minimum max duty cycle at 2p2MHZ operation</t>
  </si>
  <si>
    <t>t_off_max</t>
  </si>
  <si>
    <t>T_off_nom</t>
  </si>
  <si>
    <t>T_off_min</t>
  </si>
  <si>
    <t>s</t>
  </si>
  <si>
    <t>Minimum forced off time</t>
  </si>
  <si>
    <t>nominal forced off time</t>
  </si>
  <si>
    <t>Maximum forced off time</t>
  </si>
  <si>
    <t xml:space="preserve">IC Duty Cycle Limitation: </t>
  </si>
  <si>
    <t>D_limit_min</t>
  </si>
  <si>
    <t>D_limit_nom</t>
  </si>
  <si>
    <t>D_limit_max</t>
  </si>
  <si>
    <t>Nomminal max duty cycle at low frequency</t>
  </si>
  <si>
    <t xml:space="preserve">Base Calculations of </t>
  </si>
  <si>
    <t>Spec conditions</t>
  </si>
  <si>
    <t>Min max duty cycle at low frequency</t>
  </si>
  <si>
    <t>Maximum max duty cycle at low frequency</t>
  </si>
  <si>
    <t>Fsw</t>
  </si>
  <si>
    <t>Hz</t>
  </si>
  <si>
    <t xml:space="preserve">Switching frequnecy </t>
  </si>
  <si>
    <t>Flag</t>
  </si>
  <si>
    <t>RT</t>
  </si>
  <si>
    <t>Oscillator Set resistor. Based on the datasheet equation</t>
  </si>
  <si>
    <r>
      <t>Free running Oscillator Set Resistor, R</t>
    </r>
    <r>
      <rPr>
        <vertAlign val="subscript"/>
        <sz val="10"/>
        <color theme="1"/>
        <rFont val="Calibri"/>
        <family val="2"/>
        <scheme val="minor"/>
      </rPr>
      <t>T</t>
    </r>
  </si>
  <si>
    <r>
      <t>k</t>
    </r>
    <r>
      <rPr>
        <sz val="11"/>
        <color theme="1"/>
        <rFont val="Calibri"/>
        <family val="2"/>
      </rPr>
      <t>Ω</t>
    </r>
  </si>
  <si>
    <t>Step 2: Filter Inductor</t>
  </si>
  <si>
    <t>Dc_Limit</t>
  </si>
  <si>
    <t>Max duty cycle of LM5155 at Fsw</t>
  </si>
  <si>
    <t>EXCEL Constants / Values / IC Limits</t>
  </si>
  <si>
    <r>
      <t>Max Inductor DCR, R</t>
    </r>
    <r>
      <rPr>
        <vertAlign val="subscript"/>
        <sz val="10"/>
        <color theme="1"/>
        <rFont val="Calibri"/>
        <family val="2"/>
        <scheme val="minor"/>
      </rPr>
      <t>DCR</t>
    </r>
  </si>
  <si>
    <t>Dc_VIN_min</t>
  </si>
  <si>
    <t>Dc_VIN_nom</t>
  </si>
  <si>
    <t>Dc_VIN_max</t>
  </si>
  <si>
    <t>ton_min</t>
  </si>
  <si>
    <t>Typical Ton minimum value</t>
  </si>
  <si>
    <t>IL_avg_VIN_min</t>
  </si>
  <si>
    <t>IL_avg_VIN_nom</t>
  </si>
  <si>
    <t>Average input current at minimum input voltage. 100% Eff assumed</t>
  </si>
  <si>
    <t>Average input current at nominal input voltage. 100% Eff assumed</t>
  </si>
  <si>
    <t>Average input current at maximum input voltage. 100% Eff assumed</t>
  </si>
  <si>
    <t>H</t>
  </si>
  <si>
    <t>ILrip</t>
  </si>
  <si>
    <t>Lm</t>
  </si>
  <si>
    <t>Selected filter inductor</t>
  </si>
  <si>
    <t>Rdcr</t>
  </si>
  <si>
    <r>
      <t>m</t>
    </r>
    <r>
      <rPr>
        <sz val="11"/>
        <color theme="1"/>
        <rFont val="Calibri"/>
        <family val="2"/>
      </rPr>
      <t>Ω</t>
    </r>
  </si>
  <si>
    <r>
      <t>Peak inductor current, IL</t>
    </r>
    <r>
      <rPr>
        <vertAlign val="subscript"/>
        <sz val="10"/>
        <color theme="1"/>
        <rFont val="Calibri"/>
        <family val="2"/>
        <scheme val="minor"/>
      </rPr>
      <t>PK</t>
    </r>
  </si>
  <si>
    <t>VIN_33</t>
  </si>
  <si>
    <t>IIN_33</t>
  </si>
  <si>
    <t>Lopt_2</t>
  </si>
  <si>
    <t>.</t>
  </si>
  <si>
    <t>ILp_VINmin</t>
  </si>
  <si>
    <t>Peak inductor current at VIN min. Including estimated efficiency</t>
  </si>
  <si>
    <t>ILrip_VINmin</t>
  </si>
  <si>
    <t xml:space="preserve">Inductor ripple current at VIN min. </t>
  </si>
  <si>
    <t>ILrip_VINnom</t>
  </si>
  <si>
    <t>ILp_VINnom</t>
  </si>
  <si>
    <t>ILrip_VINmax</t>
  </si>
  <si>
    <t>ILp_VINmax</t>
  </si>
  <si>
    <t>Step 3: Current Sense Resistor</t>
  </si>
  <si>
    <t>Selected indutor ripple ratio. Will be changed later to a standard value just to keep things simple</t>
  </si>
  <si>
    <t xml:space="preserve">Inductor ripple current at VIN nom. </t>
  </si>
  <si>
    <t>Peak inductor current at VIN nom. Including estimated efficiency</t>
  </si>
  <si>
    <t xml:space="preserve">Inductor ripple current at VIN max. </t>
  </si>
  <si>
    <t>Peak inductor current at VIN max. Including estimated efficiency</t>
  </si>
  <si>
    <t>Step 3: Current Sense Resistor Selection</t>
  </si>
  <si>
    <t>Ipk_margin</t>
  </si>
  <si>
    <t>Peak current limit margin. 20% is a typical value</t>
  </si>
  <si>
    <t>Ipk_selected</t>
  </si>
  <si>
    <t>Selected peak current limit based on margin selection</t>
  </si>
  <si>
    <t>Peak ripple ratio: Boost this happens at 33%</t>
  </si>
  <si>
    <t>Dc_rip_max</t>
  </si>
  <si>
    <t>Input current at maximum ripple duty cycle</t>
  </si>
  <si>
    <t>Input voltage at maximum ripple duty cycle. If maximum input voltage Dc is &gt;.33 this value will be used</t>
  </si>
  <si>
    <t>Filter inductor DCR</t>
  </si>
  <si>
    <t>Ltol</t>
  </si>
  <si>
    <t>Assumed inductor tolerance. Constant to help simplify the user experience</t>
  </si>
  <si>
    <t>Rcs_max</t>
  </si>
  <si>
    <t>Maximum Rcs based on internal slope compensation. Assuming slope ratio of 1/2</t>
  </si>
  <si>
    <t>Rcs_sl_ratio</t>
  </si>
  <si>
    <t>Isl</t>
  </si>
  <si>
    <t>Internal slope compensation ramp</t>
  </si>
  <si>
    <t>Rsl_int</t>
  </si>
  <si>
    <t>Internal Slope compensation resistor</t>
  </si>
  <si>
    <t>Rcs_wo_sl</t>
  </si>
  <si>
    <t>Vcl</t>
  </si>
  <si>
    <t>Current Limit Value. See datsheet for Parameters</t>
  </si>
  <si>
    <t>Flag_ext_sl</t>
  </si>
  <si>
    <t>R_cs_calc</t>
  </si>
  <si>
    <t>R_sl_calc</t>
  </si>
  <si>
    <t>R_cs</t>
  </si>
  <si>
    <t>R_sl</t>
  </si>
  <si>
    <t>Selected current sense Resistor</t>
  </si>
  <si>
    <t>Check to make sure that slope compensation is high enough at the minimum input voltage</t>
  </si>
  <si>
    <t>Slope Compensation</t>
  </si>
  <si>
    <t>sl_vin_min</t>
  </si>
  <si>
    <t>Actual inductor peak current limit</t>
  </si>
  <si>
    <t>IL_pk</t>
  </si>
  <si>
    <t>IL_pk_max</t>
  </si>
  <si>
    <t>Peak current limit at the minimum input voltage</t>
  </si>
  <si>
    <t>Peak inductor current limit for saturation rating.  VIN max due to the possibility of external slope comp</t>
  </si>
  <si>
    <t>sat_mar</t>
  </si>
  <si>
    <t>Margin for saturation current of the inductor</t>
  </si>
  <si>
    <t>V/V</t>
  </si>
  <si>
    <t>IL_sat</t>
  </si>
  <si>
    <t>Recommended Saturation current rating of the selected inductor</t>
  </si>
  <si>
    <t>COMP voltage Limit checks</t>
  </si>
  <si>
    <t>Step 4: Output Capacitor Selection</t>
  </si>
  <si>
    <t>mV</t>
  </si>
  <si>
    <t xml:space="preserve">Minimum output capacitance </t>
  </si>
  <si>
    <t>uF</t>
  </si>
  <si>
    <r>
      <t>Selected Output Capacitance (C</t>
    </r>
    <r>
      <rPr>
        <vertAlign val="subscript"/>
        <sz val="11"/>
        <color theme="1"/>
        <rFont val="Calibri"/>
        <family val="2"/>
        <scheme val="minor"/>
      </rPr>
      <t>OUT</t>
    </r>
    <r>
      <rPr>
        <sz val="11"/>
        <color theme="1"/>
        <rFont val="Calibri"/>
        <family val="2"/>
        <scheme val="minor"/>
      </rPr>
      <t>)</t>
    </r>
  </si>
  <si>
    <t>Desired output ripple</t>
  </si>
  <si>
    <t>Vout_rip_sel</t>
  </si>
  <si>
    <t>Cout_min</t>
  </si>
  <si>
    <t>F</t>
  </si>
  <si>
    <t>Calculate minimum capacitance based simply on the capacitive ripple</t>
  </si>
  <si>
    <t>IRMS_COUT</t>
  </si>
  <si>
    <r>
      <t>Equivalent  COUT ESR (R</t>
    </r>
    <r>
      <rPr>
        <vertAlign val="subscript"/>
        <sz val="11"/>
        <color theme="1"/>
        <rFont val="Calibri"/>
        <family val="2"/>
        <scheme val="minor"/>
      </rPr>
      <t>ESR</t>
    </r>
    <r>
      <rPr>
        <sz val="11"/>
        <color theme="1"/>
        <rFont val="Calibri"/>
        <family val="2"/>
        <scheme val="minor"/>
      </rPr>
      <t>)</t>
    </r>
  </si>
  <si>
    <t>Resr</t>
  </si>
  <si>
    <t>Selected Output Capacitance</t>
  </si>
  <si>
    <t>Selected output capacitance ESR</t>
  </si>
  <si>
    <t>Cout</t>
  </si>
  <si>
    <r>
      <t>Selected Peak Current limit(IL</t>
    </r>
    <r>
      <rPr>
        <vertAlign val="subscript"/>
        <sz val="11"/>
        <color theme="1"/>
        <rFont val="Calibri"/>
        <family val="2"/>
        <scheme val="minor"/>
      </rPr>
      <t>PK_select</t>
    </r>
    <r>
      <rPr>
        <sz val="11"/>
        <color theme="1"/>
        <rFont val="Calibri"/>
        <family val="2"/>
        <scheme val="minor"/>
      </rPr>
      <t>)</t>
    </r>
  </si>
  <si>
    <t>Step 5: Loop Compensation</t>
  </si>
  <si>
    <t>Input Parameters</t>
  </si>
  <si>
    <t>Output Voltage</t>
  </si>
  <si>
    <t>Component Selection</t>
  </si>
  <si>
    <t>LM</t>
  </si>
  <si>
    <t>filter Inductor</t>
  </si>
  <si>
    <t>Current sense resi</t>
  </si>
  <si>
    <t>Interanl Slope Compesnation Resistor</t>
  </si>
  <si>
    <t>Interanl Slope Compesnation current</t>
  </si>
  <si>
    <t>RCOMP</t>
  </si>
  <si>
    <t>kΩ</t>
  </si>
  <si>
    <t>pF</t>
  </si>
  <si>
    <t>nF</t>
  </si>
  <si>
    <t>CCOMP</t>
  </si>
  <si>
    <t>CHF</t>
  </si>
  <si>
    <t>Type II compensation Resistort</t>
  </si>
  <si>
    <t>Type II compensation Capacitor</t>
  </si>
  <si>
    <t>Type II high frequency capacitor</t>
  </si>
  <si>
    <t>RFBT</t>
  </si>
  <si>
    <t>RFBB</t>
  </si>
  <si>
    <t>Compensation Components</t>
  </si>
  <si>
    <t>Top feedback resistor</t>
  </si>
  <si>
    <t>Bottom feedback resistor</t>
  </si>
  <si>
    <t>Calculations</t>
  </si>
  <si>
    <t>Frequency</t>
  </si>
  <si>
    <t>Selected VIN</t>
  </si>
  <si>
    <t>VIN_var</t>
  </si>
  <si>
    <t>VIN_VAR</t>
  </si>
  <si>
    <t>Variable input voltage</t>
  </si>
  <si>
    <t>ADC</t>
  </si>
  <si>
    <t>Gcomp</t>
  </si>
  <si>
    <t>Scale down factor of the interal comp voltage divider</t>
  </si>
  <si>
    <t>Intenal step down of the divider</t>
  </si>
  <si>
    <t>DC gain of the plant function</t>
  </si>
  <si>
    <t>Acs</t>
  </si>
  <si>
    <t>Current sense Amplifier Gain (1 for this device)</t>
  </si>
  <si>
    <t>Low Frequency Pole</t>
  </si>
  <si>
    <t>RHPz zero of boost converter</t>
  </si>
  <si>
    <t>ESR zero cause by output capacitance</t>
  </si>
  <si>
    <t>wsl</t>
  </si>
  <si>
    <t>Q</t>
  </si>
  <si>
    <t>Se</t>
  </si>
  <si>
    <t xml:space="preserve">Slope compensation </t>
  </si>
  <si>
    <t>Down slope at the selected input voltage</t>
  </si>
  <si>
    <t>Sn</t>
  </si>
  <si>
    <t>Rad</t>
  </si>
  <si>
    <t>wp_lf</t>
  </si>
  <si>
    <t>wz_rhp</t>
  </si>
  <si>
    <t>wz_esr</t>
  </si>
  <si>
    <t>Gain</t>
  </si>
  <si>
    <t>Phase</t>
  </si>
  <si>
    <t>Sampling</t>
  </si>
  <si>
    <t>Complex</t>
  </si>
  <si>
    <t>Total</t>
  </si>
  <si>
    <t>Error Amplifier</t>
  </si>
  <si>
    <t>wz_ea</t>
  </si>
  <si>
    <t>Adc_ea</t>
  </si>
  <si>
    <t>gm_ea</t>
  </si>
  <si>
    <t>Error Amplifier Gain</t>
  </si>
  <si>
    <t>A/V</t>
  </si>
  <si>
    <t>wp0_ea</t>
  </si>
  <si>
    <t>wp1_ea</t>
  </si>
  <si>
    <t>ADC_ea</t>
  </si>
  <si>
    <t xml:space="preserve">Gain </t>
  </si>
  <si>
    <t>COMPLEX</t>
  </si>
  <si>
    <t>Gain of open loop at wp_Lf</t>
  </si>
  <si>
    <t>dB</t>
  </si>
  <si>
    <r>
      <t xml:space="preserve">Variable input voltage to model the loop. </t>
    </r>
    <r>
      <rPr>
        <b/>
        <sz val="11"/>
        <color theme="1"/>
        <rFont val="Calibri"/>
        <family val="2"/>
        <scheme val="minor"/>
      </rPr>
      <t>Currently not used. Will be updated in next rev</t>
    </r>
  </si>
  <si>
    <t>Selected by user. Feedback resistor should be &gt;100uA to help reject noise</t>
  </si>
  <si>
    <t>Error Amplifier Zero</t>
  </si>
  <si>
    <t>Error Amplifier pole at the origin</t>
  </si>
  <si>
    <t>Error Amplifier pole at high frequencies</t>
  </si>
  <si>
    <t>RFBB_CALC</t>
  </si>
  <si>
    <t>Vref</t>
  </si>
  <si>
    <t>Reference voltage</t>
  </si>
  <si>
    <t>Estimated bottom feedback resistor</t>
  </si>
  <si>
    <t>Selected botton feedback resistor</t>
  </si>
  <si>
    <t>Ifb</t>
  </si>
  <si>
    <r>
      <t xml:space="preserve">Plant low frequency pole. </t>
    </r>
    <r>
      <rPr>
        <b/>
        <sz val="11"/>
        <color theme="1"/>
        <rFont val="Calibri"/>
        <family val="2"/>
        <scheme val="minor"/>
      </rPr>
      <t>IN Hz!!!</t>
    </r>
  </si>
  <si>
    <r>
      <t xml:space="preserve">Plant RHP Zero, </t>
    </r>
    <r>
      <rPr>
        <b/>
        <sz val="11"/>
        <color theme="1"/>
        <rFont val="Calibri"/>
        <family val="2"/>
        <scheme val="minor"/>
      </rPr>
      <t>(IN Hz)</t>
    </r>
  </si>
  <si>
    <r>
      <t xml:space="preserve">Plant capacitor ESR zero </t>
    </r>
    <r>
      <rPr>
        <b/>
        <sz val="11"/>
        <color theme="1"/>
        <rFont val="Calibri"/>
        <family val="2"/>
        <scheme val="minor"/>
      </rPr>
      <t>(In Hz)</t>
    </r>
  </si>
  <si>
    <t>Feedback resistor selection</t>
  </si>
  <si>
    <t>Crossover Frequency Selection</t>
  </si>
  <si>
    <t>fcross</t>
  </si>
  <si>
    <t>Desired Crossover frequency</t>
  </si>
  <si>
    <t>1/10 the swictching frequency</t>
  </si>
  <si>
    <t>Select the lower crossover frequency</t>
  </si>
  <si>
    <t>wz_RHP</t>
  </si>
  <si>
    <t>Rcomp_Calc</t>
  </si>
  <si>
    <t>Calculate on based on the desired Mid-band gain needed to set the crossover frequency</t>
  </si>
  <si>
    <t>fz_ea_est</t>
  </si>
  <si>
    <t>CCOMP_calc</t>
  </si>
  <si>
    <t>fp_ea_est</t>
  </si>
  <si>
    <t>Efficiency / Power Loss Analyzer</t>
  </si>
  <si>
    <r>
      <t>R</t>
    </r>
    <r>
      <rPr>
        <vertAlign val="subscript"/>
        <sz val="11"/>
        <color theme="1"/>
        <rFont val="Calibri"/>
        <family val="2"/>
        <scheme val="minor"/>
      </rPr>
      <t>COMP</t>
    </r>
  </si>
  <si>
    <t>Calculated</t>
  </si>
  <si>
    <t>Selected</t>
  </si>
  <si>
    <t>Steps</t>
  </si>
  <si>
    <t>Step size</t>
  </si>
  <si>
    <t>VIN</t>
  </si>
  <si>
    <t>DCM/CCM</t>
  </si>
  <si>
    <t>DC</t>
  </si>
  <si>
    <t>IIN</t>
  </si>
  <si>
    <t>Icrms_min</t>
  </si>
  <si>
    <t>Minimum required RMS current rating for the output capacitor bank</t>
  </si>
  <si>
    <t>On-time of the switch</t>
  </si>
  <si>
    <t>Soft-Start</t>
  </si>
  <si>
    <t>Iss</t>
  </si>
  <si>
    <t>Soft-start capacitor charge current</t>
  </si>
  <si>
    <t>Soft-Start Charge current</t>
  </si>
  <si>
    <t>Css_min</t>
  </si>
  <si>
    <t>Suggested minimum SS capacitor to minize the over shoot.</t>
  </si>
  <si>
    <t>tss</t>
  </si>
  <si>
    <t>Desired Soft-Start Capacitor</t>
  </si>
  <si>
    <r>
      <t>Suggested minimum soft-start capacitor (C</t>
    </r>
    <r>
      <rPr>
        <vertAlign val="subscript"/>
        <sz val="11"/>
        <color theme="1"/>
        <rFont val="Calibri"/>
        <family val="2"/>
        <scheme val="minor"/>
      </rPr>
      <t>SS_MIN</t>
    </r>
    <r>
      <rPr>
        <sz val="11"/>
        <color theme="1"/>
        <rFont val="Calibri"/>
        <family val="2"/>
        <scheme val="minor"/>
      </rPr>
      <t>)</t>
    </r>
  </si>
  <si>
    <t>ms</t>
  </si>
  <si>
    <t>Css_calc</t>
  </si>
  <si>
    <t>Calcualted Soft-start capacitor</t>
  </si>
  <si>
    <r>
      <t>Calculated soft-start capacitor (C</t>
    </r>
    <r>
      <rPr>
        <vertAlign val="subscript"/>
        <sz val="11"/>
        <color theme="1"/>
        <rFont val="Calibri"/>
        <family val="2"/>
        <scheme val="minor"/>
      </rPr>
      <t>SS</t>
    </r>
    <r>
      <rPr>
        <sz val="11"/>
        <color theme="1"/>
        <rFont val="Calibri"/>
        <family val="2"/>
        <scheme val="minor"/>
      </rPr>
      <t>)</t>
    </r>
  </si>
  <si>
    <r>
      <t>Desied soft-start time at minimum input voltage (T</t>
    </r>
    <r>
      <rPr>
        <vertAlign val="subscript"/>
        <sz val="11"/>
        <color theme="1"/>
        <rFont val="Calibri"/>
        <family val="2"/>
        <scheme val="minor"/>
      </rPr>
      <t>SS</t>
    </r>
    <r>
      <rPr>
        <sz val="11"/>
        <color theme="1"/>
        <rFont val="Calibri"/>
        <family val="2"/>
        <scheme val="minor"/>
      </rPr>
      <t>)</t>
    </r>
  </si>
  <si>
    <t>Step 6: UVLO Resistor Selection</t>
  </si>
  <si>
    <t>Step 5: Soft-start Capacitor selection</t>
  </si>
  <si>
    <t>Vuvlo_on</t>
  </si>
  <si>
    <t>Vuvlo_off</t>
  </si>
  <si>
    <t>Desired turn on voltage</t>
  </si>
  <si>
    <t>Desired turn off voltage</t>
  </si>
  <si>
    <t>UVLO Thresholds</t>
  </si>
  <si>
    <t>UV_rise</t>
  </si>
  <si>
    <t>UV_fall</t>
  </si>
  <si>
    <t>Falling threshold (See datasheet for more details)</t>
  </si>
  <si>
    <t>Rising Threshold (See datasheet for more details)</t>
  </si>
  <si>
    <t>Rising UV threshold</t>
  </si>
  <si>
    <t>Falling  UV threshold</t>
  </si>
  <si>
    <t>UV_I_hyst</t>
  </si>
  <si>
    <t>UVLO current hysteresis</t>
  </si>
  <si>
    <t>UVLO circuit current hysteresis</t>
  </si>
  <si>
    <t>Ruvlo_top_calc</t>
  </si>
  <si>
    <t>Ruvlo_bottom_calc</t>
  </si>
  <si>
    <t>Vuvlo_on_act</t>
  </si>
  <si>
    <t>Vuvlo_off_act</t>
  </si>
  <si>
    <t>Actual turn on voltage</t>
  </si>
  <si>
    <t>Actual turn off voltage</t>
  </si>
  <si>
    <t>Step  7: Loop Compensation</t>
  </si>
  <si>
    <t>Operation Variables</t>
  </si>
  <si>
    <t>Duty Cycle</t>
  </si>
  <si>
    <t>dIL</t>
  </si>
  <si>
    <r>
      <t>IL</t>
    </r>
    <r>
      <rPr>
        <vertAlign val="subscript"/>
        <sz val="11"/>
        <color theme="1"/>
        <rFont val="Calibri"/>
        <family val="2"/>
        <scheme val="minor"/>
      </rPr>
      <t>RMS</t>
    </r>
  </si>
  <si>
    <r>
      <t>IL</t>
    </r>
    <r>
      <rPr>
        <vertAlign val="subscript"/>
        <sz val="11"/>
        <color theme="1"/>
        <rFont val="Calibri"/>
        <family val="2"/>
        <scheme val="minor"/>
      </rPr>
      <t>PEAK</t>
    </r>
  </si>
  <si>
    <t>DC_off</t>
  </si>
  <si>
    <t>Step 7: Component Selection</t>
  </si>
  <si>
    <t>Vd_rect</t>
  </si>
  <si>
    <r>
      <t>ID</t>
    </r>
    <r>
      <rPr>
        <vertAlign val="subscript"/>
        <sz val="11"/>
        <color theme="1"/>
        <rFont val="Calibri"/>
        <family val="2"/>
        <scheme val="minor"/>
      </rPr>
      <t xml:space="preserve">AVG </t>
    </r>
    <r>
      <rPr>
        <sz val="11"/>
        <color theme="1"/>
        <rFont val="Calibri"/>
        <family val="2"/>
        <scheme val="minor"/>
      </rPr>
      <t>(A)</t>
    </r>
  </si>
  <si>
    <r>
      <t>P</t>
    </r>
    <r>
      <rPr>
        <vertAlign val="subscript"/>
        <sz val="11"/>
        <color theme="1"/>
        <rFont val="Calibri"/>
        <family val="2"/>
        <scheme val="minor"/>
      </rPr>
      <t>Lac</t>
    </r>
    <r>
      <rPr>
        <sz val="11"/>
        <color theme="1"/>
        <rFont val="Calibri"/>
        <family val="2"/>
        <scheme val="minor"/>
      </rPr>
      <t xml:space="preserve"> (W)</t>
    </r>
  </si>
  <si>
    <r>
      <t>P</t>
    </r>
    <r>
      <rPr>
        <vertAlign val="subscript"/>
        <sz val="11"/>
        <color theme="1"/>
        <rFont val="Calibri"/>
        <family val="2"/>
        <scheme val="minor"/>
      </rPr>
      <t>L_DCR</t>
    </r>
    <r>
      <rPr>
        <sz val="11"/>
        <color theme="1"/>
        <rFont val="Calibri"/>
        <family val="2"/>
        <scheme val="minor"/>
      </rPr>
      <t xml:space="preserve"> (W)</t>
    </r>
  </si>
  <si>
    <r>
      <t>P</t>
    </r>
    <r>
      <rPr>
        <vertAlign val="subscript"/>
        <sz val="11"/>
        <color theme="1"/>
        <rFont val="Calibri"/>
        <family val="2"/>
        <scheme val="minor"/>
      </rPr>
      <t xml:space="preserve">D_COND </t>
    </r>
    <r>
      <rPr>
        <sz val="11"/>
        <color theme="1"/>
        <rFont val="Calibri"/>
        <family val="2"/>
        <scheme val="minor"/>
      </rPr>
      <t>(W)</t>
    </r>
  </si>
  <si>
    <r>
      <t>P</t>
    </r>
    <r>
      <rPr>
        <vertAlign val="subscript"/>
        <sz val="11"/>
        <color theme="1"/>
        <rFont val="Calibri"/>
        <family val="2"/>
        <scheme val="minor"/>
      </rPr>
      <t xml:space="preserve">D_SW </t>
    </r>
    <r>
      <rPr>
        <sz val="11"/>
        <color theme="1"/>
        <rFont val="Calibri"/>
        <family val="2"/>
        <scheme val="minor"/>
      </rPr>
      <t>(W)</t>
    </r>
  </si>
  <si>
    <r>
      <t>On-State Resistance, R</t>
    </r>
    <r>
      <rPr>
        <vertAlign val="subscript"/>
        <sz val="10"/>
        <rFont val="Arial"/>
        <family val="2"/>
      </rPr>
      <t>DS(on)</t>
    </r>
    <r>
      <rPr>
        <sz val="10"/>
        <rFont val="Arial"/>
        <family val="2"/>
      </rPr>
      <t xml:space="preserve"> </t>
    </r>
  </si>
  <si>
    <r>
      <t>Total Gate Charge, Q</t>
    </r>
    <r>
      <rPr>
        <vertAlign val="subscript"/>
        <sz val="10"/>
        <rFont val="Arial"/>
        <family val="2"/>
      </rPr>
      <t>G</t>
    </r>
    <r>
      <rPr>
        <sz val="10"/>
        <rFont val="Arial"/>
        <family val="2"/>
      </rPr>
      <t xml:space="preserve"> </t>
    </r>
  </si>
  <si>
    <r>
      <t>Gate-Drain Charge, Q</t>
    </r>
    <r>
      <rPr>
        <vertAlign val="subscript"/>
        <sz val="10"/>
        <rFont val="Arial"/>
        <family val="2"/>
      </rPr>
      <t>GD</t>
    </r>
    <r>
      <rPr>
        <sz val="10"/>
        <rFont val="Arial"/>
        <family val="2"/>
      </rPr>
      <t xml:space="preserve"> </t>
    </r>
  </si>
  <si>
    <r>
      <t>Gate-Source Charge, Q</t>
    </r>
    <r>
      <rPr>
        <vertAlign val="subscript"/>
        <sz val="10"/>
        <rFont val="Arial"/>
        <family val="2"/>
      </rPr>
      <t>GS</t>
    </r>
    <r>
      <rPr>
        <sz val="10"/>
        <rFont val="Arial"/>
        <family val="2"/>
      </rPr>
      <t xml:space="preserve"> </t>
    </r>
  </si>
  <si>
    <r>
      <t>Gate Resistance, R</t>
    </r>
    <r>
      <rPr>
        <vertAlign val="subscript"/>
        <sz val="10"/>
        <rFont val="Arial"/>
        <family val="2"/>
      </rPr>
      <t>G</t>
    </r>
    <r>
      <rPr>
        <sz val="10"/>
        <rFont val="Arial"/>
        <family val="2"/>
      </rPr>
      <t xml:space="preserve"> </t>
    </r>
  </si>
  <si>
    <r>
      <t>Transconductance, g</t>
    </r>
    <r>
      <rPr>
        <vertAlign val="subscript"/>
        <sz val="10"/>
        <rFont val="Arial"/>
        <family val="2"/>
      </rPr>
      <t>FS</t>
    </r>
    <r>
      <rPr>
        <sz val="10"/>
        <rFont val="Arial"/>
        <family val="2"/>
      </rPr>
      <t xml:space="preserve"> </t>
    </r>
  </si>
  <si>
    <r>
      <t>Gate-Source Threshold Voltage, V</t>
    </r>
    <r>
      <rPr>
        <vertAlign val="subscript"/>
        <sz val="10"/>
        <rFont val="Arial"/>
        <family val="2"/>
      </rPr>
      <t>TH</t>
    </r>
    <r>
      <rPr>
        <sz val="10"/>
        <rFont val="Arial"/>
        <family val="2"/>
      </rPr>
      <t xml:space="preserve"> </t>
    </r>
  </si>
  <si>
    <t>mΩ</t>
  </si>
  <si>
    <t>nC</t>
  </si>
  <si>
    <t>Ω</t>
  </si>
  <si>
    <t>S</t>
  </si>
  <si>
    <t>Diode Parameters</t>
  </si>
  <si>
    <t>Qg_tot</t>
  </si>
  <si>
    <t>Qgs</t>
  </si>
  <si>
    <t>Qgd</t>
  </si>
  <si>
    <t>Rgate</t>
  </si>
  <si>
    <t>gfs</t>
  </si>
  <si>
    <t>Vth</t>
  </si>
  <si>
    <t>C</t>
  </si>
  <si>
    <t>Qrr</t>
  </si>
  <si>
    <t>RDS_on</t>
  </si>
  <si>
    <t>Rgate_int</t>
  </si>
  <si>
    <t>Internal Gate resistance of the MOSFET driver.</t>
  </si>
  <si>
    <t>Vsp</t>
  </si>
  <si>
    <t>Gate voltage when MOSFET begins conducting current</t>
  </si>
  <si>
    <t>Rise time of the switch node</t>
  </si>
  <si>
    <t>Fall time of the switch node</t>
  </si>
  <si>
    <t>VCC</t>
  </si>
  <si>
    <t>VCC regulator</t>
  </si>
  <si>
    <t>Vcc</t>
  </si>
  <si>
    <t>Regulated output voltage of internal LDO. Can change if this is externally biased.</t>
  </si>
  <si>
    <t>Need to double check this value</t>
  </si>
  <si>
    <t xml:space="preserve">VCC voltage. Can be changed with external bias. </t>
  </si>
  <si>
    <t>tr_sw</t>
  </si>
  <si>
    <t>tf_sw</t>
  </si>
  <si>
    <r>
      <t>ISW</t>
    </r>
    <r>
      <rPr>
        <vertAlign val="subscript"/>
        <sz val="11"/>
        <color theme="1"/>
        <rFont val="Calibri"/>
        <family val="2"/>
        <scheme val="minor"/>
      </rPr>
      <t xml:space="preserve">AVG </t>
    </r>
    <r>
      <rPr>
        <sz val="11"/>
        <color theme="1"/>
        <rFont val="Calibri"/>
        <family val="2"/>
        <scheme val="minor"/>
      </rPr>
      <t>(A)</t>
    </r>
  </si>
  <si>
    <r>
      <t>ISW</t>
    </r>
    <r>
      <rPr>
        <vertAlign val="subscript"/>
        <sz val="11"/>
        <color theme="1"/>
        <rFont val="Calibri"/>
        <family val="2"/>
        <scheme val="minor"/>
      </rPr>
      <t>RMS</t>
    </r>
  </si>
  <si>
    <r>
      <t>P</t>
    </r>
    <r>
      <rPr>
        <vertAlign val="subscript"/>
        <sz val="11"/>
        <color theme="1"/>
        <rFont val="Calibri"/>
        <family val="2"/>
        <scheme val="minor"/>
      </rPr>
      <t xml:space="preserve">Q_SW </t>
    </r>
    <r>
      <rPr>
        <sz val="11"/>
        <color theme="1"/>
        <rFont val="Calibri"/>
        <family val="2"/>
        <scheme val="minor"/>
      </rPr>
      <t>(W)</t>
    </r>
  </si>
  <si>
    <r>
      <t>P</t>
    </r>
    <r>
      <rPr>
        <vertAlign val="subscript"/>
        <sz val="11"/>
        <color theme="1"/>
        <rFont val="Calibri"/>
        <family val="2"/>
        <scheme val="minor"/>
      </rPr>
      <t xml:space="preserve">Q_COND </t>
    </r>
    <r>
      <rPr>
        <sz val="11"/>
        <color theme="1"/>
        <rFont val="Calibri"/>
        <family val="2"/>
        <scheme val="minor"/>
      </rPr>
      <t>(W)</t>
    </r>
  </si>
  <si>
    <r>
      <t>P</t>
    </r>
    <r>
      <rPr>
        <vertAlign val="subscript"/>
        <sz val="11"/>
        <color theme="1"/>
        <rFont val="Calibri"/>
        <family val="2"/>
        <scheme val="minor"/>
      </rPr>
      <t xml:space="preserve">Q_tot </t>
    </r>
    <r>
      <rPr>
        <sz val="11"/>
        <color theme="1"/>
        <rFont val="Calibri"/>
        <family val="2"/>
        <scheme val="minor"/>
      </rPr>
      <t>(W)</t>
    </r>
  </si>
  <si>
    <r>
      <t>P</t>
    </r>
    <r>
      <rPr>
        <vertAlign val="subscript"/>
        <sz val="11"/>
        <color theme="1"/>
        <rFont val="Calibri"/>
        <family val="2"/>
        <scheme val="minor"/>
      </rPr>
      <t>L_tot</t>
    </r>
    <r>
      <rPr>
        <sz val="11"/>
        <color theme="1"/>
        <rFont val="Calibri"/>
        <family val="2"/>
        <scheme val="minor"/>
      </rPr>
      <t xml:space="preserve"> (W)</t>
    </r>
  </si>
  <si>
    <r>
      <t>P</t>
    </r>
    <r>
      <rPr>
        <vertAlign val="subscript"/>
        <sz val="11"/>
        <color theme="1"/>
        <rFont val="Calibri"/>
        <family val="2"/>
        <scheme val="minor"/>
      </rPr>
      <t>RCS</t>
    </r>
    <r>
      <rPr>
        <sz val="11"/>
        <color theme="1"/>
        <rFont val="Calibri"/>
        <family val="2"/>
        <scheme val="minor"/>
      </rPr>
      <t xml:space="preserve"> (W)</t>
    </r>
  </si>
  <si>
    <t>Total Losses</t>
  </si>
  <si>
    <r>
      <t>P</t>
    </r>
    <r>
      <rPr>
        <vertAlign val="subscript"/>
        <sz val="11"/>
        <color theme="1"/>
        <rFont val="Calibri"/>
        <family val="2"/>
        <scheme val="minor"/>
      </rPr>
      <t>TOTAL</t>
    </r>
    <r>
      <rPr>
        <sz val="11"/>
        <color theme="1"/>
        <rFont val="Calibri"/>
        <family val="2"/>
        <scheme val="minor"/>
      </rPr>
      <t xml:space="preserve"> (W)</t>
    </r>
  </si>
  <si>
    <r>
      <t>P</t>
    </r>
    <r>
      <rPr>
        <vertAlign val="subscript"/>
        <sz val="11"/>
        <color theme="1"/>
        <rFont val="Calibri"/>
        <family val="2"/>
        <scheme val="minor"/>
      </rPr>
      <t>G_drv</t>
    </r>
    <r>
      <rPr>
        <sz val="11"/>
        <color theme="1"/>
        <rFont val="Calibri"/>
        <family val="2"/>
        <scheme val="minor"/>
      </rPr>
      <t xml:space="preserve"> (W)</t>
    </r>
  </si>
  <si>
    <r>
      <t>P</t>
    </r>
    <r>
      <rPr>
        <vertAlign val="subscript"/>
        <sz val="11"/>
        <color theme="1"/>
        <rFont val="Calibri"/>
        <family val="2"/>
        <scheme val="minor"/>
      </rPr>
      <t>IQ</t>
    </r>
    <r>
      <rPr>
        <sz val="11"/>
        <color theme="1"/>
        <rFont val="Calibri"/>
        <family val="2"/>
        <scheme val="minor"/>
      </rPr>
      <t xml:space="preserve"> (W)</t>
    </r>
  </si>
  <si>
    <t>IQ current</t>
  </si>
  <si>
    <t xml:space="preserve">IQ </t>
  </si>
  <si>
    <t>Non-switching IQ current</t>
  </si>
  <si>
    <t>Other Losses</t>
  </si>
  <si>
    <t>Eff</t>
  </si>
  <si>
    <r>
      <t>P</t>
    </r>
    <r>
      <rPr>
        <vertAlign val="subscript"/>
        <sz val="11"/>
        <color theme="1"/>
        <rFont val="Calibri"/>
        <family val="2"/>
        <scheme val="minor"/>
      </rPr>
      <t>OUT</t>
    </r>
    <r>
      <rPr>
        <sz val="11"/>
        <color theme="1"/>
        <rFont val="Calibri"/>
        <family val="2"/>
        <scheme val="minor"/>
      </rPr>
      <t xml:space="preserve"> (W)</t>
    </r>
  </si>
  <si>
    <t>Inductor</t>
  </si>
  <si>
    <r>
      <t>C</t>
    </r>
    <r>
      <rPr>
        <vertAlign val="subscript"/>
        <sz val="11"/>
        <color theme="1"/>
        <rFont val="Calibri"/>
        <family val="2"/>
        <scheme val="minor"/>
      </rPr>
      <t>COMP</t>
    </r>
  </si>
  <si>
    <r>
      <t>C</t>
    </r>
    <r>
      <rPr>
        <vertAlign val="subscript"/>
        <sz val="11"/>
        <color theme="1"/>
        <rFont val="Calibri"/>
        <family val="2"/>
        <scheme val="minor"/>
      </rPr>
      <t>HF</t>
    </r>
  </si>
  <si>
    <t>IOUT_VAR</t>
  </si>
  <si>
    <t>RHP_zero location based on the minimum input voltage</t>
  </si>
  <si>
    <t>Low frequency pole based on the minimum input voltage</t>
  </si>
  <si>
    <t>rad</t>
  </si>
  <si>
    <t>raf</t>
  </si>
  <si>
    <t>ESR zero based on the minimum input voltage</t>
  </si>
  <si>
    <t>This is based on the minimum input voltage. T</t>
  </si>
  <si>
    <t>Input Voltage</t>
  </si>
  <si>
    <r>
      <t>Recommended Inductance (L</t>
    </r>
    <r>
      <rPr>
        <vertAlign val="subscript"/>
        <sz val="10"/>
        <color theme="1"/>
        <rFont val="Calibri"/>
        <family val="2"/>
        <scheme val="minor"/>
      </rPr>
      <t>M_CALC</t>
    </r>
    <r>
      <rPr>
        <sz val="10"/>
        <color theme="1"/>
        <rFont val="Calibri"/>
        <family val="2"/>
        <scheme val="minor"/>
      </rPr>
      <t>)</t>
    </r>
  </si>
  <si>
    <r>
      <t>User Selection. Inductance, (L</t>
    </r>
    <r>
      <rPr>
        <vertAlign val="subscript"/>
        <sz val="10"/>
        <color theme="1"/>
        <rFont val="Calibri"/>
        <family val="2"/>
        <scheme val="minor"/>
      </rPr>
      <t>M</t>
    </r>
    <r>
      <rPr>
        <sz val="10"/>
        <color theme="1"/>
        <rFont val="Calibri"/>
        <family val="2"/>
        <scheme val="minor"/>
      </rPr>
      <t>)</t>
    </r>
  </si>
  <si>
    <t>Id_AVG</t>
  </si>
  <si>
    <t xml:space="preserve">Suggested average current rating of diode. </t>
  </si>
  <si>
    <t>Calcualted top UVLO resistor</t>
  </si>
  <si>
    <t>Selected top UVLO resistor</t>
  </si>
  <si>
    <t>Calcualted Bottom UBLO Resistor</t>
  </si>
  <si>
    <t>Frcoss (VIN)min</t>
  </si>
  <si>
    <t>ADC_VINmin</t>
  </si>
  <si>
    <t>wp_lf_VINmin</t>
  </si>
  <si>
    <t>fp_lf_VINmin</t>
  </si>
  <si>
    <t>wz_esr_VINmin</t>
  </si>
  <si>
    <t>fz_esr_VINmin</t>
  </si>
  <si>
    <t>wz_RHP_VINmin</t>
  </si>
  <si>
    <t>fz_rhp_VINmin</t>
  </si>
  <si>
    <t>Se_VINmin</t>
  </si>
  <si>
    <t>Sn_VINmin</t>
  </si>
  <si>
    <t>wsl_VINmin</t>
  </si>
  <si>
    <t>Q_VINmin</t>
  </si>
  <si>
    <t>Operation Raange</t>
  </si>
  <si>
    <t>Vin_op_min</t>
  </si>
  <si>
    <t>Minimum operating voltage</t>
  </si>
  <si>
    <t>Maximum BIAS pin operating voltage</t>
  </si>
  <si>
    <t>Vin_op_max</t>
  </si>
  <si>
    <r>
      <t>Ideal Duty Cycle at V</t>
    </r>
    <r>
      <rPr>
        <vertAlign val="subscript"/>
        <sz val="10"/>
        <color theme="1"/>
        <rFont val="Calibri"/>
        <family val="2"/>
        <scheme val="minor"/>
      </rPr>
      <t xml:space="preserve">SUPPLY(MIN) </t>
    </r>
  </si>
  <si>
    <t>Peak Current Limit Margin</t>
  </si>
  <si>
    <r>
      <t>Voltage selected (V</t>
    </r>
    <r>
      <rPr>
        <vertAlign val="subscript"/>
        <sz val="11"/>
        <rFont val="Calibri"/>
        <family val="2"/>
        <scheme val="minor"/>
      </rPr>
      <t>IN_VAR</t>
    </r>
    <r>
      <rPr>
        <sz val="11"/>
        <rFont val="Calibri"/>
        <family val="2"/>
        <scheme val="minor"/>
      </rPr>
      <t>)</t>
    </r>
  </si>
  <si>
    <t>This should be set at or near the lowest RHP zero Frequency</t>
  </si>
  <si>
    <r>
      <t>Recommended current sense Resistor (R</t>
    </r>
    <r>
      <rPr>
        <vertAlign val="subscript"/>
        <sz val="11"/>
        <color theme="1"/>
        <rFont val="Calibri"/>
        <family val="2"/>
        <scheme val="minor"/>
      </rPr>
      <t>S</t>
    </r>
    <r>
      <rPr>
        <sz val="11"/>
        <color theme="1"/>
        <rFont val="Calibri"/>
        <family val="2"/>
        <scheme val="minor"/>
      </rPr>
      <t>)</t>
    </r>
  </si>
  <si>
    <r>
      <t>Selected current sense Resistor (R</t>
    </r>
    <r>
      <rPr>
        <vertAlign val="subscript"/>
        <sz val="11"/>
        <color theme="1"/>
        <rFont val="Calibri"/>
        <family val="2"/>
        <scheme val="minor"/>
      </rPr>
      <t>S</t>
    </r>
    <r>
      <rPr>
        <sz val="11"/>
        <color theme="1"/>
        <rFont val="Calibri"/>
        <family val="2"/>
        <scheme val="minor"/>
      </rPr>
      <t>)</t>
    </r>
  </si>
  <si>
    <t>Maximum duty cycle at the minimum input voltage. Includes estimated efficiency for margin</t>
  </si>
  <si>
    <t>Duty cycle at the mimum input voltage (CCM). (First order/ ideal equation)</t>
  </si>
  <si>
    <t>Duty cycle at the nominal input voltage (CCM) (First order/ ideal equation)</t>
  </si>
  <si>
    <t>Duty cycle at the maximum input voltage (CCM) (First order/ ideal equation)</t>
  </si>
  <si>
    <t>DCM_Flag</t>
  </si>
  <si>
    <t>DC_rip</t>
  </si>
  <si>
    <t>CCM Operation calculations</t>
  </si>
  <si>
    <t>Select DCM duty cycle to be 70%. This will keep the ripple current fairly low and allow for efficiency drops.</t>
  </si>
  <si>
    <t>L_DCM_DC</t>
  </si>
  <si>
    <t>DC_DCM_max</t>
  </si>
  <si>
    <t>Maximum duty cycle for DCM operation. 70% is a good starting point. Could be related to the switching frequency</t>
  </si>
  <si>
    <t>M_L_DCM</t>
  </si>
  <si>
    <t>Margin to allow for inductor ripple current to be greater than the average input current</t>
  </si>
  <si>
    <t>L_DCM_M</t>
  </si>
  <si>
    <t xml:space="preserve">Inductor value that ensures the ripple current is larger than the average input current </t>
  </si>
  <si>
    <t>L_DCM</t>
  </si>
  <si>
    <t>Select the lowest of the two inductor value calculations</t>
  </si>
  <si>
    <t>If DCM is required (high step-up ratio) output L_DCM. Otherwise output the CCM inductor value</t>
  </si>
  <si>
    <r>
      <t xml:space="preserve">Forced off time limit? [2 True, 1 False]. </t>
    </r>
    <r>
      <rPr>
        <b/>
        <sz val="11"/>
        <color theme="1"/>
        <rFont val="Calibri"/>
        <family val="2"/>
        <scheme val="minor"/>
      </rPr>
      <t>Note this is calcualting for the minimum duty cycle limit of the datasheet.</t>
    </r>
  </si>
  <si>
    <t>Lm_calc</t>
  </si>
  <si>
    <t>This value used to make the selection for CCM calculations</t>
  </si>
  <si>
    <t>Duty Cycle Calculations</t>
  </si>
  <si>
    <t>Minium input voltage</t>
  </si>
  <si>
    <t>DCc_mode_VIN_min</t>
  </si>
  <si>
    <t>DCc_mode_VIN_nom</t>
  </si>
  <si>
    <t>DCc_mode_VIN_max</t>
  </si>
  <si>
    <t>IL_avg_VIN_max</t>
  </si>
  <si>
    <t>Current Sense Resistor calculated, id DCM this is going to be the value calculated without slope compensation</t>
  </si>
  <si>
    <t>External Compensation? (0-no, 1-yes), Only accurate for CCM as DCM doesn't need slope compensation</t>
  </si>
  <si>
    <t>fcross_estimate</t>
  </si>
  <si>
    <t>Itrans</t>
  </si>
  <si>
    <r>
      <t>Desired load step ripple voltage (</t>
    </r>
    <r>
      <rPr>
        <sz val="11"/>
        <color theme="1"/>
        <rFont val="Calibri"/>
        <family val="2"/>
      </rPr>
      <t>Δv</t>
    </r>
    <r>
      <rPr>
        <vertAlign val="subscript"/>
        <sz val="11"/>
        <color theme="1"/>
        <rFont val="Calibri"/>
        <family val="2"/>
      </rPr>
      <t>OUT</t>
    </r>
    <r>
      <rPr>
        <sz val="11"/>
        <color theme="1"/>
        <rFont val="Calibri"/>
        <family val="2"/>
      </rPr>
      <t>)</t>
    </r>
  </si>
  <si>
    <t>CCM Calculations</t>
  </si>
  <si>
    <t>DCM Selections</t>
  </si>
  <si>
    <t>CCM Plant Transfer Function</t>
  </si>
  <si>
    <t>DCM Plant Transfer Function</t>
  </si>
  <si>
    <t xml:space="preserve"> CCMPlant Parameters</t>
  </si>
  <si>
    <t xml:space="preserve"> DCMPlant Parameters</t>
  </si>
  <si>
    <t>ADC_VIN_min_DCM</t>
  </si>
  <si>
    <t>Fm_DCM</t>
  </si>
  <si>
    <t>wp_dcm</t>
  </si>
  <si>
    <t>wz1_dcm</t>
  </si>
  <si>
    <t>wz2_dcm</t>
  </si>
  <si>
    <t>fcross_DCM</t>
  </si>
  <si>
    <r>
      <t xml:space="preserve">Conservative. Set Fcross to be 1/5th the RHP zero frequency or 1/10th SW: whichever is lower. </t>
    </r>
    <r>
      <rPr>
        <b/>
        <sz val="11"/>
        <color theme="1"/>
        <rFont val="Calibri"/>
        <family val="2"/>
        <scheme val="minor"/>
      </rPr>
      <t>Note this is just for CCM operation</t>
    </r>
  </si>
  <si>
    <t>General Loop Selections</t>
  </si>
  <si>
    <t>Rcomp_Calc_DCM</t>
  </si>
  <si>
    <t>Calcualted based on the desired Zero frequency. Set at the geometric mean between the crossover frequency and the load pole</t>
  </si>
  <si>
    <t>Calcualted based on the RHP zero frequency</t>
  </si>
  <si>
    <t>Ohm</t>
  </si>
  <si>
    <t>CCOMP_Calc_DCM</t>
  </si>
  <si>
    <t>CHF_Calc_DCM</t>
  </si>
  <si>
    <t>Rcomp_Calc_CCM</t>
  </si>
  <si>
    <t>CCOMP_calc_CCM</t>
  </si>
  <si>
    <t>CHF_Calc_CCM</t>
  </si>
  <si>
    <t>CHF_calc</t>
  </si>
  <si>
    <t>CCM Plan Parameters</t>
  </si>
  <si>
    <t>Variable output current (Can add this a different revision, not needed right now)</t>
  </si>
  <si>
    <t>RHP zero location</t>
  </si>
  <si>
    <t>Modulator gain of the PWM comparator</t>
  </si>
  <si>
    <t>DC_VIN_var_DCM</t>
  </si>
  <si>
    <t>Operating mode</t>
  </si>
  <si>
    <t>0 - DCM operation, 1- CCM opertaion</t>
  </si>
  <si>
    <t>wp_lf_DCM</t>
  </si>
  <si>
    <t>CCM Open Loop Response</t>
  </si>
  <si>
    <t>DCM Open Loop Response</t>
  </si>
  <si>
    <t>Displayed Loop Calclation</t>
  </si>
  <si>
    <t>Gain(dB)</t>
  </si>
  <si>
    <t>Phase (deg)</t>
  </si>
  <si>
    <t>RAD</t>
  </si>
  <si>
    <t>This sets the error amp zero at the geometric mean between the load pole and the crossover frequency</t>
  </si>
  <si>
    <t>Vsl</t>
  </si>
  <si>
    <r>
      <t xml:space="preserve">Current sense resistor without slope compensation </t>
    </r>
    <r>
      <rPr>
        <b/>
        <sz val="11"/>
        <color theme="1"/>
        <rFont val="Calibri"/>
        <family val="2"/>
        <scheme val="minor"/>
      </rPr>
      <t>(No variable slope compensation of the LM5127)</t>
    </r>
  </si>
  <si>
    <r>
      <t>External Slope Compensation Resistor</t>
    </r>
    <r>
      <rPr>
        <b/>
        <sz val="11"/>
        <color theme="1"/>
        <rFont val="Calibri"/>
        <family val="2"/>
        <scheme val="minor"/>
      </rPr>
      <t xml:space="preserve"> (No external Slope Comp for LM5127)</t>
    </r>
  </si>
  <si>
    <t>Kex</t>
  </si>
  <si>
    <t>Km</t>
  </si>
  <si>
    <t>Kd</t>
  </si>
  <si>
    <t>Slope compensation parameters. Will change pole and DC gain equation</t>
  </si>
  <si>
    <t>Sampling pole</t>
  </si>
  <si>
    <t>Q factor of the inductor sampling curve</t>
  </si>
  <si>
    <t>Always set to 1 right now for initial revision. Will only operate in CCM</t>
  </si>
  <si>
    <t>Kex_VINmin</t>
  </si>
  <si>
    <t>Km_VINmin</t>
  </si>
  <si>
    <t>Kd_VINmin</t>
  </si>
  <si>
    <t>Calculated at the minimum input voltage</t>
  </si>
  <si>
    <t>Slope compensation (VSL is refered to the current sense resistor)</t>
  </si>
  <si>
    <t>Uses the felxible equations used in my mathcad file.</t>
  </si>
  <si>
    <t>ae</t>
  </si>
  <si>
    <t>be</t>
  </si>
  <si>
    <t>Gfc</t>
  </si>
  <si>
    <r>
      <t>On-State Resistance, R</t>
    </r>
    <r>
      <rPr>
        <vertAlign val="subscript"/>
        <sz val="10"/>
        <color theme="2" tint="-0.89999084444715716"/>
        <rFont val="Arial"/>
        <family val="2"/>
      </rPr>
      <t>DS(on)</t>
    </r>
    <r>
      <rPr>
        <sz val="10"/>
        <color theme="2" tint="-0.89999084444715716"/>
        <rFont val="Arial"/>
        <family val="2"/>
      </rPr>
      <t xml:space="preserve"> </t>
    </r>
  </si>
  <si>
    <r>
      <t>Total Gate Charge, Q</t>
    </r>
    <r>
      <rPr>
        <vertAlign val="subscript"/>
        <sz val="10"/>
        <color theme="2" tint="-0.89999084444715716"/>
        <rFont val="Arial"/>
        <family val="2"/>
      </rPr>
      <t>G</t>
    </r>
    <r>
      <rPr>
        <sz val="10"/>
        <color theme="2" tint="-0.89999084444715716"/>
        <rFont val="Arial"/>
        <family val="2"/>
      </rPr>
      <t xml:space="preserve"> </t>
    </r>
  </si>
  <si>
    <r>
      <t>Gate-Drain Charge, Q</t>
    </r>
    <r>
      <rPr>
        <vertAlign val="subscript"/>
        <sz val="10"/>
        <color theme="2" tint="-0.89999084444715716"/>
        <rFont val="Arial"/>
        <family val="2"/>
      </rPr>
      <t>GD</t>
    </r>
    <r>
      <rPr>
        <sz val="10"/>
        <color theme="2" tint="-0.89999084444715716"/>
        <rFont val="Arial"/>
        <family val="2"/>
      </rPr>
      <t xml:space="preserve"> </t>
    </r>
  </si>
  <si>
    <r>
      <t>Gate-Source Charge, Q</t>
    </r>
    <r>
      <rPr>
        <vertAlign val="subscript"/>
        <sz val="10"/>
        <color theme="2" tint="-0.89999084444715716"/>
        <rFont val="Arial"/>
        <family val="2"/>
      </rPr>
      <t>GS</t>
    </r>
    <r>
      <rPr>
        <sz val="10"/>
        <color theme="2" tint="-0.89999084444715716"/>
        <rFont val="Arial"/>
        <family val="2"/>
      </rPr>
      <t xml:space="preserve"> </t>
    </r>
  </si>
  <si>
    <r>
      <t>Gate Resistance, R</t>
    </r>
    <r>
      <rPr>
        <vertAlign val="subscript"/>
        <sz val="10"/>
        <color theme="2" tint="-0.89999084444715716"/>
        <rFont val="Arial"/>
        <family val="2"/>
      </rPr>
      <t>G</t>
    </r>
    <r>
      <rPr>
        <sz val="10"/>
        <color theme="2" tint="-0.89999084444715716"/>
        <rFont val="Arial"/>
        <family val="2"/>
      </rPr>
      <t xml:space="preserve"> </t>
    </r>
  </si>
  <si>
    <r>
      <t>Gate-Source Threshold Voltage, V</t>
    </r>
    <r>
      <rPr>
        <vertAlign val="subscript"/>
        <sz val="10"/>
        <color theme="2" tint="-0.89999084444715716"/>
        <rFont val="Arial"/>
        <family val="2"/>
      </rPr>
      <t>TH</t>
    </r>
    <r>
      <rPr>
        <sz val="10"/>
        <color theme="2" tint="-0.89999084444715716"/>
        <rFont val="Arial"/>
        <family val="2"/>
      </rPr>
      <t xml:space="preserve"> </t>
    </r>
  </si>
  <si>
    <r>
      <t>Boost Converter Duty Cycle Limit of LM5123 at V</t>
    </r>
    <r>
      <rPr>
        <vertAlign val="subscript"/>
        <sz val="10"/>
        <color theme="1"/>
        <rFont val="Calibri"/>
        <family val="2"/>
        <scheme val="minor"/>
      </rPr>
      <t>SUPPLY(MIN)</t>
    </r>
  </si>
  <si>
    <t>LM5123 BOOST Controller Design Tool</t>
  </si>
  <si>
    <t>VOUT_range</t>
  </si>
  <si>
    <t>Suggested output voltage range</t>
  </si>
  <si>
    <t xml:space="preserve">Sets the feedback divider. Unique to the LM5123 topology (1 = low voltage &lt;=15V, 2 = high voltage &gt;15V) </t>
  </si>
  <si>
    <t>Light load operation switching mode</t>
  </si>
  <si>
    <t>SW_mode</t>
  </si>
  <si>
    <t>selected switching mode (1 = SKIP, 2 = DEM, 3 =FPWM) Will change the effieciency calculations accordingly</t>
  </si>
  <si>
    <r>
      <t>Switching mode at V</t>
    </r>
    <r>
      <rPr>
        <vertAlign val="subscript"/>
        <sz val="11"/>
        <color theme="1"/>
        <rFont val="Calibri"/>
        <family val="2"/>
        <scheme val="minor"/>
      </rPr>
      <t>SUPPLY(min)</t>
    </r>
  </si>
  <si>
    <t xml:space="preserve">Estimated efficiency. Assuming 100% simplify the calculations </t>
  </si>
  <si>
    <t xml:space="preserve">1: DCM operation required at VINmin to achieve the step-up ratio. 
</t>
  </si>
  <si>
    <t>2: CCM operation can achieve step-up ratio with out violating the maximum duty cycle</t>
  </si>
  <si>
    <t>Maximum IC duty cycle. Based on the forced off time and frequency. Give the equation about 2% margin to allow for losses in the controller</t>
  </si>
  <si>
    <t>DCM Operation calculations</t>
  </si>
  <si>
    <t>Indicates if the regulator is operating in CCM or DCM at full load (1 = CCM, 0 = DCM)</t>
  </si>
  <si>
    <t>Np</t>
  </si>
  <si>
    <t>number of phases in operation (For the LM5123 only one phase is possilbe with out external circuts)</t>
  </si>
  <si>
    <t>Normal</t>
  </si>
  <si>
    <t>Indicates if the regulator is operating in CCM or DCM at full load (1 = CCM, 0 = DCM). If FPWM mode is selected always picks CCM operation</t>
  </si>
  <si>
    <t>ratio of down slope to slope compensation. This helps to prevent sub-harmonic oscillation in conditions where the duty cycle is &gt; 50%</t>
  </si>
  <si>
    <r>
      <t>External slope compensation resistor, if DCM operation the external slope compensation is not needed. Should b 0 Ohm (</t>
    </r>
    <r>
      <rPr>
        <b/>
        <sz val="11"/>
        <color theme="1"/>
        <rFont val="Calibri"/>
        <family val="2"/>
        <scheme val="minor"/>
      </rPr>
      <t>No external slope comp in LM5123)</t>
    </r>
  </si>
  <si>
    <r>
      <t>Selected external slope compensation (</t>
    </r>
    <r>
      <rPr>
        <b/>
        <sz val="11"/>
        <color theme="1"/>
        <rFont val="Calibri"/>
        <family val="2"/>
        <scheme val="minor"/>
      </rPr>
      <t>No varialbe slope compenstiaon for the LM5123)</t>
    </r>
  </si>
  <si>
    <t>Can add this in later to make sure the dynamic range of the error amplifier is not violated</t>
  </si>
  <si>
    <t>HZ</t>
  </si>
  <si>
    <t>Estimate to be 1.5 the RHP zero frequency. Pick based on DCM or CCM operation.</t>
  </si>
  <si>
    <t>RMS current of the output capacitor at VIN min IOUT max. RMS current rating should be larger than this. Need to update for DCM</t>
  </si>
  <si>
    <r>
      <t>Desired voltage On (V</t>
    </r>
    <r>
      <rPr>
        <vertAlign val="subscript"/>
        <sz val="11"/>
        <color theme="1"/>
        <rFont val="Calibri"/>
        <family val="2"/>
        <scheme val="minor"/>
      </rPr>
      <t>UVLO_ON</t>
    </r>
    <r>
      <rPr>
        <sz val="11"/>
        <color theme="1"/>
        <rFont val="Calibri"/>
        <family val="2"/>
        <scheme val="minor"/>
      </rPr>
      <t>)</t>
    </r>
  </si>
  <si>
    <r>
      <t>Desired voltage OFF (V</t>
    </r>
    <r>
      <rPr>
        <vertAlign val="subscript"/>
        <sz val="11"/>
        <color theme="1"/>
        <rFont val="Calibri"/>
        <family val="2"/>
        <scheme val="minor"/>
      </rPr>
      <t>UVLO_OFF</t>
    </r>
    <r>
      <rPr>
        <sz val="11"/>
        <color theme="1"/>
        <rFont val="Calibri"/>
        <family val="2"/>
        <scheme val="minor"/>
      </rPr>
      <t>)</t>
    </r>
  </si>
  <si>
    <r>
      <t>Calculated top UVLO resistor value (R</t>
    </r>
    <r>
      <rPr>
        <vertAlign val="subscript"/>
        <sz val="11"/>
        <color theme="1"/>
        <rFont val="Calibri"/>
        <family val="2"/>
        <scheme val="minor"/>
      </rPr>
      <t>UVT_CALC</t>
    </r>
    <r>
      <rPr>
        <sz val="11"/>
        <color theme="1"/>
        <rFont val="Calibri"/>
        <family val="2"/>
        <scheme val="minor"/>
      </rPr>
      <t>)</t>
    </r>
  </si>
  <si>
    <r>
      <t>Selected top UVLO resistor value (R</t>
    </r>
    <r>
      <rPr>
        <vertAlign val="subscript"/>
        <sz val="11"/>
        <color theme="1"/>
        <rFont val="Calibri"/>
        <family val="2"/>
        <scheme val="minor"/>
      </rPr>
      <t>UVT</t>
    </r>
    <r>
      <rPr>
        <sz val="11"/>
        <color theme="1"/>
        <rFont val="Calibri"/>
        <family val="2"/>
        <scheme val="minor"/>
      </rPr>
      <t>)</t>
    </r>
  </si>
  <si>
    <r>
      <t>Bottom UVLO Resistor (R</t>
    </r>
    <r>
      <rPr>
        <vertAlign val="subscript"/>
        <sz val="11"/>
        <color theme="1"/>
        <rFont val="Calibri"/>
        <family val="2"/>
        <scheme val="minor"/>
      </rPr>
      <t>UVB</t>
    </r>
    <r>
      <rPr>
        <sz val="11"/>
        <color theme="1"/>
        <rFont val="Calibri"/>
        <family val="2"/>
        <scheme val="minor"/>
      </rPr>
      <t>)</t>
    </r>
  </si>
  <si>
    <t>Step 5: UVLO Resistor Divider Selection</t>
  </si>
  <si>
    <t>Step 6: Soft-Start Capacitor Selection</t>
  </si>
  <si>
    <t>*The output capcitance is based on the load transient specification. Similar to the fylback converter</t>
  </si>
  <si>
    <t>Vout_Range</t>
  </si>
  <si>
    <t>KFB</t>
  </si>
  <si>
    <t>Kfb_low</t>
  </si>
  <si>
    <t>Kfb_high</t>
  </si>
  <si>
    <t>Rmax_low</t>
  </si>
  <si>
    <t>Rmax_high</t>
  </si>
  <si>
    <t>Rmin_low</t>
  </si>
  <si>
    <t>Rmin_high</t>
  </si>
  <si>
    <t>Rmax</t>
  </si>
  <si>
    <t>Rmin</t>
  </si>
  <si>
    <t>RFBT_max</t>
  </si>
  <si>
    <t>RFBT_min</t>
  </si>
  <si>
    <t>VTRK</t>
  </si>
  <si>
    <t>TRK pin voltage to set the correct output voltage</t>
  </si>
  <si>
    <t>VREF Resistor Selection</t>
  </si>
  <si>
    <r>
      <t>Calculated bottom feedback resistor (R</t>
    </r>
    <r>
      <rPr>
        <vertAlign val="subscript"/>
        <sz val="11"/>
        <color theme="1"/>
        <rFont val="Calibri"/>
        <family val="2"/>
        <scheme val="minor"/>
      </rPr>
      <t>VREFB_calc</t>
    </r>
    <r>
      <rPr>
        <sz val="11"/>
        <color theme="1"/>
        <rFont val="Calibri"/>
        <family val="2"/>
        <scheme val="minor"/>
      </rPr>
      <t>)</t>
    </r>
  </si>
  <si>
    <r>
      <t>Track pin voltage to set the output voltage (V</t>
    </r>
    <r>
      <rPr>
        <vertAlign val="subscript"/>
        <sz val="11"/>
        <color theme="1"/>
        <rFont val="Calibri"/>
        <family val="2"/>
        <scheme val="minor"/>
      </rPr>
      <t>TRK</t>
    </r>
    <r>
      <rPr>
        <sz val="11"/>
        <color theme="1"/>
        <rFont val="Calibri"/>
        <family val="2"/>
        <scheme val="minor"/>
      </rPr>
      <t>)</t>
    </r>
  </si>
  <si>
    <r>
      <rPr>
        <b/>
        <sz val="11"/>
        <color theme="1"/>
        <rFont val="Calibri"/>
        <family val="2"/>
        <scheme val="minor"/>
      </rPr>
      <t xml:space="preserve">Not used for the LM5123 or the LM5152. </t>
    </r>
    <r>
      <rPr>
        <sz val="11"/>
        <color theme="1"/>
        <rFont val="Calibri"/>
        <family val="2"/>
        <scheme val="minor"/>
      </rPr>
      <t>Current Drawn from the feedback resistors (Typically higher than 100uA to help w/ noise)</t>
    </r>
  </si>
  <si>
    <t>This is the output to the user based on the mode of operation when VIN is the minimum. Changes based on DCM or CCM operation</t>
  </si>
  <si>
    <r>
      <t>Crossover frequnecy of the</t>
    </r>
    <r>
      <rPr>
        <b/>
        <sz val="11"/>
        <color theme="1"/>
        <rFont val="Calibri"/>
        <family val="2"/>
        <scheme val="minor"/>
      </rPr>
      <t xml:space="preserve"> DCM control loop</t>
    </r>
    <r>
      <rPr>
        <sz val="11"/>
        <color theme="1"/>
        <rFont val="Calibri"/>
        <family val="2"/>
        <scheme val="minor"/>
      </rPr>
      <t>. (1/5th the RHPzero frequency), or 10th the switching frequency which ever is lower</t>
    </r>
  </si>
  <si>
    <t>Selected crossover</t>
  </si>
  <si>
    <t>DCM Operation Loop Model</t>
  </si>
  <si>
    <t>Fcross (VINvar)</t>
  </si>
  <si>
    <t>Low-Side MOSFET</t>
  </si>
  <si>
    <t>High-Side MOSFET Losses</t>
  </si>
  <si>
    <t>LOW Side MOSFET Parameters</t>
  </si>
  <si>
    <t>High Side MOSFET Parameters</t>
  </si>
  <si>
    <t>Body Diode Reverse recovery charge</t>
  </si>
  <si>
    <t>Body Diode Forward drop</t>
  </si>
  <si>
    <r>
      <t>Body Diode Reverse Recovery Charge (Q</t>
    </r>
    <r>
      <rPr>
        <vertAlign val="subscript"/>
        <sz val="11"/>
        <color theme="2" tint="-0.89996032593768116"/>
        <rFont val="Calibri"/>
        <family val="2"/>
        <scheme val="minor"/>
      </rPr>
      <t>RR</t>
    </r>
    <r>
      <rPr>
        <sz val="11"/>
        <color theme="2" tint="-0.89999084444715716"/>
        <rFont val="Calibri"/>
        <family val="2"/>
        <scheme val="minor"/>
      </rPr>
      <t>)</t>
    </r>
  </si>
  <si>
    <r>
      <t>Body Diode Forward Voltage Drop (V</t>
    </r>
    <r>
      <rPr>
        <vertAlign val="subscript"/>
        <sz val="11"/>
        <color theme="2" tint="-0.89996032593768116"/>
        <rFont val="Calibri"/>
        <family val="2"/>
        <scheme val="minor"/>
      </rPr>
      <t>D_BD</t>
    </r>
    <r>
      <rPr>
        <sz val="11"/>
        <color theme="2" tint="-0.89999084444715716"/>
        <rFont val="Calibri"/>
        <family val="2"/>
        <scheme val="minor"/>
      </rPr>
      <t>)</t>
    </r>
  </si>
  <si>
    <r>
      <t>Gate-Source Threshold Voltage, (V</t>
    </r>
    <r>
      <rPr>
        <vertAlign val="subscript"/>
        <sz val="10"/>
        <color theme="2" tint="-0.89999084444715716"/>
        <rFont val="Arial"/>
        <family val="2"/>
      </rPr>
      <t>TH</t>
    </r>
    <r>
      <rPr>
        <sz val="10"/>
        <color theme="2" tint="-0.89999084444715716"/>
        <rFont val="Arial"/>
        <family val="2"/>
      </rPr>
      <t>)</t>
    </r>
  </si>
  <si>
    <r>
      <t>Gate Resistance, (R</t>
    </r>
    <r>
      <rPr>
        <vertAlign val="subscript"/>
        <sz val="10"/>
        <color theme="2" tint="-0.89999084444715716"/>
        <rFont val="Arial"/>
        <family val="2"/>
      </rPr>
      <t>G</t>
    </r>
    <r>
      <rPr>
        <sz val="10"/>
        <color theme="2" tint="-0.89999084444715716"/>
        <rFont val="Arial"/>
        <family val="2"/>
      </rPr>
      <t>)</t>
    </r>
  </si>
  <si>
    <r>
      <t>On-State Resistance, (R</t>
    </r>
    <r>
      <rPr>
        <vertAlign val="subscript"/>
        <sz val="10"/>
        <color theme="2" tint="-0.89999084444715716"/>
        <rFont val="Arial"/>
        <family val="2"/>
      </rPr>
      <t>DS(on)</t>
    </r>
    <r>
      <rPr>
        <sz val="10"/>
        <color theme="2" tint="-0.89999084444715716"/>
        <rFont val="Arial"/>
        <family val="2"/>
      </rPr>
      <t>)</t>
    </r>
  </si>
  <si>
    <r>
      <t>Total Gate Charge, (Q</t>
    </r>
    <r>
      <rPr>
        <vertAlign val="subscript"/>
        <sz val="10"/>
        <color theme="2" tint="-0.89999084444715716"/>
        <rFont val="Arial"/>
        <family val="2"/>
      </rPr>
      <t>G</t>
    </r>
    <r>
      <rPr>
        <sz val="10"/>
        <color theme="2" tint="-0.89999084444715716"/>
        <rFont val="Arial"/>
        <family val="2"/>
      </rPr>
      <t>)</t>
    </r>
  </si>
  <si>
    <r>
      <t>Gate-Drain Charge, (Q</t>
    </r>
    <r>
      <rPr>
        <vertAlign val="subscript"/>
        <sz val="10"/>
        <color theme="2" tint="-0.89999084444715716"/>
        <rFont val="Arial"/>
        <family val="2"/>
      </rPr>
      <t>GD</t>
    </r>
    <r>
      <rPr>
        <sz val="10"/>
        <color theme="2" tint="-0.89999084444715716"/>
        <rFont val="Arial"/>
        <family val="2"/>
      </rPr>
      <t>)</t>
    </r>
  </si>
  <si>
    <r>
      <t>Gate-Source Charge, (Q</t>
    </r>
    <r>
      <rPr>
        <vertAlign val="subscript"/>
        <sz val="10"/>
        <color theme="2" tint="-0.89999084444715716"/>
        <rFont val="Arial"/>
        <family val="2"/>
      </rPr>
      <t>GS</t>
    </r>
    <r>
      <rPr>
        <sz val="10"/>
        <color theme="2" tint="-0.89999084444715716"/>
        <rFont val="Arial"/>
        <family val="2"/>
      </rPr>
      <t>)</t>
    </r>
  </si>
  <si>
    <r>
      <t>IHS</t>
    </r>
    <r>
      <rPr>
        <vertAlign val="subscript"/>
        <sz val="11"/>
        <color theme="1"/>
        <rFont val="Calibri"/>
        <family val="2"/>
        <scheme val="minor"/>
      </rPr>
      <t>RMS</t>
    </r>
  </si>
  <si>
    <t>Dead Time losses</t>
  </si>
  <si>
    <t>Dead time losses (Sync Controller)</t>
  </si>
  <si>
    <t>t_dead</t>
  </si>
  <si>
    <r>
      <t>P</t>
    </r>
    <r>
      <rPr>
        <vertAlign val="subscript"/>
        <sz val="11"/>
        <color theme="1"/>
        <rFont val="Calibri"/>
        <family val="2"/>
        <scheme val="minor"/>
      </rPr>
      <t xml:space="preserve">HS_tot </t>
    </r>
    <r>
      <rPr>
        <sz val="11"/>
        <color theme="1"/>
        <rFont val="Calibri"/>
        <family val="2"/>
        <scheme val="minor"/>
      </rPr>
      <t>(W)</t>
    </r>
  </si>
  <si>
    <r>
      <t>Select a top VREF resistor between R</t>
    </r>
    <r>
      <rPr>
        <vertAlign val="subscript"/>
        <sz val="11"/>
        <color theme="1"/>
        <rFont val="Calibri"/>
        <family val="2"/>
        <scheme val="minor"/>
      </rPr>
      <t>VREFT_min</t>
    </r>
    <r>
      <rPr>
        <sz val="11"/>
        <color theme="1"/>
        <rFont val="Calibri"/>
        <family val="2"/>
        <scheme val="minor"/>
      </rPr>
      <t xml:space="preserve"> and R</t>
    </r>
    <r>
      <rPr>
        <vertAlign val="subscript"/>
        <sz val="11"/>
        <color theme="1"/>
        <rFont val="Calibri"/>
        <family val="2"/>
        <scheme val="minor"/>
      </rPr>
      <t>VREFT_max</t>
    </r>
    <r>
      <rPr>
        <sz val="11"/>
        <color theme="1"/>
        <rFont val="Calibri"/>
        <family val="2"/>
        <scheme val="minor"/>
      </rPr>
      <t xml:space="preserve"> (R</t>
    </r>
    <r>
      <rPr>
        <vertAlign val="subscript"/>
        <sz val="11"/>
        <color theme="1"/>
        <rFont val="Calibri"/>
        <family val="2"/>
        <scheme val="minor"/>
      </rPr>
      <t>VREFT</t>
    </r>
    <r>
      <rPr>
        <sz val="11"/>
        <color theme="1"/>
        <rFont val="Calibri"/>
        <family val="2"/>
        <scheme val="minor"/>
      </rPr>
      <t>)</t>
    </r>
  </si>
  <si>
    <r>
      <t>P</t>
    </r>
    <r>
      <rPr>
        <vertAlign val="subscript"/>
        <sz val="11"/>
        <color theme="1"/>
        <rFont val="Calibri"/>
        <family val="2"/>
        <scheme val="minor"/>
      </rPr>
      <t>L_CORE</t>
    </r>
    <r>
      <rPr>
        <sz val="11"/>
        <color theme="1"/>
        <rFont val="Calibri"/>
        <family val="2"/>
        <scheme val="minor"/>
      </rPr>
      <t xml:space="preserve"> (W)</t>
    </r>
  </si>
  <si>
    <r>
      <t>Low-Side MOSFET Parameters (Q</t>
    </r>
    <r>
      <rPr>
        <b/>
        <vertAlign val="subscript"/>
        <sz val="11"/>
        <color theme="2" tint="-0.89996032593768116"/>
        <rFont val="Calibri"/>
        <family val="2"/>
        <scheme val="minor"/>
      </rPr>
      <t>LS</t>
    </r>
    <r>
      <rPr>
        <b/>
        <sz val="11"/>
        <color theme="2" tint="-0.89999084444715716"/>
        <rFont val="Calibri"/>
        <family val="2"/>
        <scheme val="minor"/>
      </rPr>
      <t>)</t>
    </r>
  </si>
  <si>
    <r>
      <t>High-Side MOSFET Parameters (Q</t>
    </r>
    <r>
      <rPr>
        <b/>
        <vertAlign val="subscript"/>
        <sz val="11"/>
        <color theme="2" tint="-0.89996032593768116"/>
        <rFont val="Calibri"/>
        <family val="2"/>
        <scheme val="minor"/>
      </rPr>
      <t>HS</t>
    </r>
    <r>
      <rPr>
        <b/>
        <sz val="11"/>
        <color theme="2" tint="-0.89999084444715716"/>
        <rFont val="Calibri"/>
        <family val="2"/>
        <scheme val="minor"/>
      </rPr>
      <t>)</t>
    </r>
  </si>
  <si>
    <r>
      <t>Select a bottomresistor based on calculated balue(R</t>
    </r>
    <r>
      <rPr>
        <vertAlign val="subscript"/>
        <sz val="11"/>
        <color theme="1"/>
        <rFont val="Calibri"/>
        <family val="2"/>
        <scheme val="minor"/>
      </rPr>
      <t>VREFB</t>
    </r>
    <r>
      <rPr>
        <sz val="11"/>
        <color theme="1"/>
        <rFont val="Calibri"/>
        <family val="2"/>
        <scheme val="minor"/>
      </rPr>
      <t>)</t>
    </r>
  </si>
  <si>
    <r>
      <t>Selected bandwidth (F</t>
    </r>
    <r>
      <rPr>
        <vertAlign val="subscript"/>
        <sz val="11"/>
        <color theme="1"/>
        <rFont val="Calibri"/>
        <family val="2"/>
        <scheme val="minor"/>
      </rPr>
      <t>CO</t>
    </r>
    <r>
      <rPr>
        <sz val="11"/>
        <color theme="1"/>
        <rFont val="Calibri"/>
        <family val="2"/>
        <scheme val="minor"/>
      </rPr>
      <t>)</t>
    </r>
  </si>
  <si>
    <r>
      <t>Suggested bandwidth (F</t>
    </r>
    <r>
      <rPr>
        <vertAlign val="subscript"/>
        <sz val="11"/>
        <color theme="1"/>
        <rFont val="Calibri"/>
        <family val="2"/>
        <scheme val="minor"/>
      </rPr>
      <t>CO_calc</t>
    </r>
    <r>
      <rPr>
        <sz val="11"/>
        <color theme="1"/>
        <rFont val="Calibri"/>
        <family val="2"/>
        <scheme val="minor"/>
      </rPr>
      <t>)</t>
    </r>
  </si>
  <si>
    <r>
      <t>Minimum value for (R</t>
    </r>
    <r>
      <rPr>
        <vertAlign val="subscript"/>
        <sz val="11"/>
        <color theme="1"/>
        <rFont val="Calibri"/>
        <family val="2"/>
        <scheme val="minor"/>
      </rPr>
      <t>VREFT_min</t>
    </r>
    <r>
      <rPr>
        <sz val="11"/>
        <color theme="1"/>
        <rFont val="Calibri"/>
        <family val="2"/>
        <scheme val="minor"/>
      </rPr>
      <t>)</t>
    </r>
  </si>
  <si>
    <r>
      <t>Maximum value for (R</t>
    </r>
    <r>
      <rPr>
        <vertAlign val="subscript"/>
        <sz val="11"/>
        <color theme="1"/>
        <rFont val="Calibri"/>
        <family val="2"/>
        <scheme val="minor"/>
      </rPr>
      <t>VREFT_max</t>
    </r>
    <r>
      <rPr>
        <sz val="11"/>
        <color theme="1"/>
        <rFont val="Calibri"/>
        <family val="2"/>
        <scheme val="minor"/>
      </rPr>
      <t>)</t>
    </r>
  </si>
  <si>
    <t>nest</t>
  </si>
  <si>
    <t>estimated efficiency at the peak current limit. Keep at ~95% for SYNC boost controllers</t>
  </si>
  <si>
    <t xml:space="preserve"> </t>
  </si>
  <si>
    <t>SCH_1 = SKIP</t>
  </si>
  <si>
    <t>SCH_2 = DEM</t>
  </si>
  <si>
    <t>SCH_3 = FPWM</t>
  </si>
  <si>
    <t>Rev 0.2</t>
  </si>
  <si>
    <t>December-2021</t>
  </si>
  <si>
    <t>FPWM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</si>
</sst>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_);_(* \(#,##0.00\);_(* &quot;-&quot;??_);_(@_)"/>
    <numFmt numFmtId="165" formatCode="0.000"/>
    <numFmt numFmtId="166" formatCode="0.000E+00"/>
    <numFmt numFmtId="167" formatCode="0.0000"/>
    <numFmt numFmtId="168" formatCode="0.0"/>
    <numFmt numFmtId="169" formatCode="0.0E+00"/>
    <numFmt numFmtId="170" formatCode="0.00000"/>
  </numFmts>
  <fonts count="40" x14ac:knownFonts="1">
    <font>
      <sz val="11"/>
      <color theme="1"/>
      <name val="Calibri"/>
      <family val="2"/>
      <scheme val="minor"/>
    </font>
    <font>
      <sz val="11"/>
      <color theme="1"/>
      <name val="Calibri"/>
      <family val="2"/>
      <scheme val="minor"/>
    </font>
    <font>
      <b/>
      <sz val="11"/>
      <color theme="0"/>
      <name val="Calibri"/>
      <family val="2"/>
      <scheme val="minor"/>
    </font>
    <font>
      <sz val="10"/>
      <name val="Arial"/>
      <family val="2"/>
    </font>
    <font>
      <sz val="10"/>
      <name val="Arial"/>
      <family val="2"/>
    </font>
    <font>
      <b/>
      <sz val="10"/>
      <name val="Arial"/>
      <family val="2"/>
    </font>
    <font>
      <b/>
      <sz val="22"/>
      <color indexed="44"/>
      <name val="Arial"/>
      <family val="2"/>
    </font>
    <font>
      <b/>
      <sz val="9"/>
      <color indexed="81"/>
      <name val="Tahoma"/>
      <family val="2"/>
    </font>
    <font>
      <sz val="9"/>
      <color indexed="81"/>
      <name val="Tahoma"/>
      <family val="2"/>
    </font>
    <font>
      <b/>
      <sz val="12"/>
      <color rgb="FF0000FF"/>
      <name val="Arial"/>
      <family val="2"/>
    </font>
    <font>
      <sz val="28"/>
      <color theme="0"/>
      <name val="Calibri"/>
      <family val="2"/>
      <scheme val="minor"/>
    </font>
    <font>
      <b/>
      <sz val="11"/>
      <color indexed="10"/>
      <name val="Tahoma"/>
      <family val="2"/>
    </font>
    <font>
      <sz val="12"/>
      <color indexed="10"/>
      <name val="Tahoma"/>
      <family val="2"/>
    </font>
    <font>
      <sz val="10"/>
      <color theme="1"/>
      <name val="Calibri"/>
      <family val="2"/>
      <scheme val="minor"/>
    </font>
    <font>
      <vertAlign val="subscript"/>
      <sz val="10"/>
      <color theme="1"/>
      <name val="Calibri"/>
      <family val="2"/>
      <scheme val="minor"/>
    </font>
    <font>
      <sz val="11"/>
      <name val="Calibri"/>
      <family val="2"/>
      <scheme val="minor"/>
    </font>
    <font>
      <b/>
      <sz val="11"/>
      <color rgb="FF0070C0"/>
      <name val="Calibri"/>
      <family val="2"/>
      <scheme val="minor"/>
    </font>
    <font>
      <sz val="11"/>
      <color theme="1"/>
      <name val="Calibri"/>
      <family val="2"/>
    </font>
    <font>
      <u/>
      <sz val="11"/>
      <color theme="1"/>
      <name val="Calibri"/>
      <family val="2"/>
      <scheme val="minor"/>
    </font>
    <font>
      <vertAlign val="subscript"/>
      <sz val="11"/>
      <color theme="1"/>
      <name val="Calibri"/>
      <family val="2"/>
      <scheme val="minor"/>
    </font>
    <font>
      <b/>
      <sz val="12"/>
      <color theme="1"/>
      <name val="Calibri"/>
      <family val="2"/>
      <scheme val="minor"/>
    </font>
    <font>
      <vertAlign val="subscript"/>
      <sz val="11"/>
      <color theme="1"/>
      <name val="Calibri"/>
      <family val="2"/>
    </font>
    <font>
      <b/>
      <sz val="11"/>
      <color theme="3" tint="0.39997558519241921"/>
      <name val="Calibri"/>
      <family val="2"/>
      <scheme val="minor"/>
    </font>
    <font>
      <b/>
      <sz val="11"/>
      <color theme="1"/>
      <name val="Calibri"/>
      <family val="2"/>
      <scheme val="minor"/>
    </font>
    <font>
      <sz val="10"/>
      <name val="Calibri"/>
      <family val="2"/>
      <scheme val="minor"/>
    </font>
    <font>
      <b/>
      <sz val="12"/>
      <color rgb="FF00B0F0"/>
      <name val="Calibri"/>
      <family val="2"/>
      <scheme val="minor"/>
    </font>
    <font>
      <b/>
      <sz val="11"/>
      <color rgb="FF00B0F0"/>
      <name val="Calibri"/>
      <family val="2"/>
      <scheme val="minor"/>
    </font>
    <font>
      <b/>
      <sz val="10"/>
      <color rgb="FF00B0F0"/>
      <name val="Arial"/>
      <family val="2"/>
    </font>
    <font>
      <vertAlign val="subscript"/>
      <sz val="10"/>
      <name val="Arial"/>
      <family val="2"/>
    </font>
    <font>
      <vertAlign val="subscript"/>
      <sz val="11"/>
      <name val="Calibri"/>
      <family val="2"/>
      <scheme val="minor"/>
    </font>
    <font>
      <sz val="11"/>
      <color rgb="FF0070C0"/>
      <name val="Calibri"/>
      <family val="2"/>
      <scheme val="minor"/>
    </font>
    <font>
      <b/>
      <u/>
      <sz val="11"/>
      <color theme="1"/>
      <name val="Calibri"/>
      <family val="2"/>
      <scheme val="minor"/>
    </font>
    <font>
      <sz val="18"/>
      <color theme="2" tint="-0.89999084444715716"/>
      <name val="Calibri"/>
      <family val="2"/>
      <scheme val="minor"/>
    </font>
    <font>
      <sz val="11"/>
      <color theme="2" tint="-0.89999084444715716"/>
      <name val="Calibri"/>
      <family val="2"/>
      <scheme val="minor"/>
    </font>
    <font>
      <b/>
      <sz val="11"/>
      <color theme="2" tint="-0.89999084444715716"/>
      <name val="Calibri"/>
      <family val="2"/>
      <scheme val="minor"/>
    </font>
    <font>
      <sz val="10"/>
      <color theme="2" tint="-0.89999084444715716"/>
      <name val="Arial"/>
      <family val="2"/>
    </font>
    <font>
      <vertAlign val="subscript"/>
      <sz val="10"/>
      <color theme="2" tint="-0.89999084444715716"/>
      <name val="Arial"/>
      <family val="2"/>
    </font>
    <font>
      <sz val="11"/>
      <color theme="1" tint="0.14999847407452621"/>
      <name val="Calibri"/>
      <family val="2"/>
      <scheme val="minor"/>
    </font>
    <font>
      <vertAlign val="subscript"/>
      <sz val="11"/>
      <color theme="2" tint="-0.89996032593768116"/>
      <name val="Calibri"/>
      <family val="2"/>
      <scheme val="minor"/>
    </font>
    <font>
      <b/>
      <vertAlign val="subscript"/>
      <sz val="11"/>
      <color theme="2" tint="-0.89996032593768116"/>
      <name val="Calibri"/>
      <family val="2"/>
      <scheme val="minor"/>
    </font>
  </fonts>
  <fills count="17">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52"/>
        <bgColor indexed="64"/>
      </patternFill>
    </fill>
    <fill>
      <patternFill patternType="solid">
        <fgColor indexed="50"/>
        <bgColor indexed="64"/>
      </patternFill>
    </fill>
    <fill>
      <patternFill patternType="solid">
        <fgColor rgb="FFFF0000"/>
        <bgColor indexed="64"/>
      </patternFill>
    </fill>
    <fill>
      <patternFill patternType="solid">
        <fgColor rgb="FFFFFF00"/>
        <bgColor indexed="64"/>
      </patternFill>
    </fill>
    <fill>
      <patternFill patternType="solid">
        <fgColor theme="0" tint="-0.499984740745262"/>
        <bgColor indexed="64"/>
      </patternFill>
    </fill>
    <fill>
      <patternFill patternType="solid">
        <fgColor rgb="FFFFC000"/>
        <bgColor indexed="64"/>
      </patternFill>
    </fill>
    <fill>
      <patternFill patternType="solid">
        <fgColor theme="0" tint="-0.249977111117893"/>
        <bgColor indexed="64"/>
      </patternFill>
    </fill>
    <fill>
      <patternFill patternType="solid">
        <fgColor rgb="FF92D050"/>
        <bgColor indexed="64"/>
      </patternFill>
    </fill>
    <fill>
      <patternFill patternType="solid">
        <fgColor theme="0" tint="-0.34998626667073579"/>
        <bgColor indexed="64"/>
      </patternFill>
    </fill>
    <fill>
      <patternFill patternType="solid">
        <fgColor theme="5" tint="0.79998168889431442"/>
        <bgColor indexed="64"/>
      </patternFill>
    </fill>
    <fill>
      <patternFill patternType="solid">
        <fgColor theme="2" tint="-0.89999084444715716"/>
        <bgColor indexed="64"/>
      </patternFill>
    </fill>
    <fill>
      <patternFill patternType="solid">
        <fgColor theme="0"/>
        <bgColor indexed="64"/>
      </patternFill>
    </fill>
    <fill>
      <patternFill patternType="solid">
        <fgColor rgb="FF00B050"/>
        <bgColor indexed="64"/>
      </patternFill>
    </fill>
  </fills>
  <borders count="31">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s>
  <cellStyleXfs count="12">
    <xf numFmtId="0" fontId="0" fillId="0" borderId="0"/>
    <xf numFmtId="0" fontId="3" fillId="0" borderId="0"/>
    <xf numFmtId="164" fontId="4" fillId="0" borderId="0" applyFont="0" applyFill="0" applyBorder="0" applyAlignment="0" applyProtection="0"/>
    <xf numFmtId="0" fontId="4" fillId="0" borderId="0"/>
    <xf numFmtId="0" fontId="1" fillId="0" borderId="0"/>
    <xf numFmtId="164" fontId="1" fillId="0" borderId="0" applyFont="0" applyFill="0" applyBorder="0" applyAlignment="0" applyProtection="0"/>
    <xf numFmtId="0" fontId="4" fillId="0" borderId="0"/>
    <xf numFmtId="0" fontId="4" fillId="0" borderId="0"/>
    <xf numFmtId="164" fontId="3" fillId="0" borderId="0" applyFont="0" applyFill="0" applyBorder="0" applyAlignment="0" applyProtection="0"/>
    <xf numFmtId="0" fontId="3" fillId="0" borderId="0"/>
    <xf numFmtId="0" fontId="3" fillId="0" borderId="0"/>
    <xf numFmtId="0" fontId="3" fillId="0" borderId="0"/>
  </cellStyleXfs>
  <cellXfs count="235">
    <xf numFmtId="0" fontId="0" fillId="0" borderId="0" xfId="0"/>
    <xf numFmtId="0" fontId="0" fillId="9" borderId="0" xfId="0" applyFill="1"/>
    <xf numFmtId="0" fontId="17" fillId="0" borderId="0" xfId="0" applyFont="1"/>
    <xf numFmtId="0" fontId="0" fillId="10" borderId="0" xfId="0" applyFill="1"/>
    <xf numFmtId="0" fontId="4" fillId="0" borderId="0" xfId="3"/>
    <xf numFmtId="0" fontId="5" fillId="0" borderId="0" xfId="3" applyFont="1" applyAlignment="1">
      <alignment horizontal="center"/>
    </xf>
    <xf numFmtId="0" fontId="5" fillId="3" borderId="0" xfId="3" applyFont="1" applyFill="1" applyAlignment="1">
      <alignment horizontal="center"/>
    </xf>
    <xf numFmtId="0" fontId="5" fillId="4" borderId="0" xfId="3" applyFont="1" applyFill="1" applyAlignment="1">
      <alignment horizontal="center"/>
    </xf>
    <xf numFmtId="0" fontId="5" fillId="5" borderId="0" xfId="3" applyFont="1" applyFill="1" applyAlignment="1">
      <alignment horizontal="center"/>
    </xf>
    <xf numFmtId="0" fontId="5" fillId="0" borderId="0" xfId="3" applyFont="1"/>
    <xf numFmtId="0" fontId="9" fillId="0" borderId="0" xfId="3" applyFont="1"/>
    <xf numFmtId="2" fontId="0" fillId="10" borderId="0" xfId="0" applyNumberFormat="1" applyFill="1"/>
    <xf numFmtId="0" fontId="0" fillId="11" borderId="0" xfId="0" applyFill="1"/>
    <xf numFmtId="166" fontId="0" fillId="9" borderId="0" xfId="0" applyNumberFormat="1" applyFill="1"/>
    <xf numFmtId="0" fontId="5" fillId="0" borderId="0" xfId="3" applyFont="1" applyAlignment="1">
      <alignment horizontal="right"/>
    </xf>
    <xf numFmtId="0" fontId="4" fillId="0" borderId="0" xfId="3" applyAlignment="1">
      <alignment horizontal="center"/>
    </xf>
    <xf numFmtId="165" fontId="0" fillId="9" borderId="0" xfId="0" applyNumberFormat="1" applyFill="1"/>
    <xf numFmtId="2" fontId="0" fillId="9" borderId="0" xfId="0" applyNumberFormat="1" applyFill="1"/>
    <xf numFmtId="1" fontId="0" fillId="9" borderId="0" xfId="0" applyNumberFormat="1" applyFill="1"/>
    <xf numFmtId="0" fontId="16" fillId="0" borderId="0" xfId="0" applyFont="1"/>
    <xf numFmtId="165" fontId="0" fillId="0" borderId="0" xfId="0" applyNumberFormat="1"/>
    <xf numFmtId="11" fontId="15" fillId="10" borderId="0" xfId="0" applyNumberFormat="1" applyFont="1" applyFill="1"/>
    <xf numFmtId="0" fontId="18" fillId="0" borderId="0" xfId="0" applyFont="1"/>
    <xf numFmtId="11" fontId="0" fillId="9" borderId="0" xfId="0" applyNumberFormat="1" applyFill="1"/>
    <xf numFmtId="0" fontId="5" fillId="0" borderId="0" xfId="3" applyFont="1" applyAlignment="1">
      <alignment horizontal="left"/>
    </xf>
    <xf numFmtId="167" fontId="0" fillId="9" borderId="0" xfId="0" applyNumberFormat="1" applyFill="1"/>
    <xf numFmtId="0" fontId="15" fillId="10" borderId="0" xfId="0" applyFont="1" applyFill="1"/>
    <xf numFmtId="0" fontId="20" fillId="0" borderId="0" xfId="0" applyFont="1"/>
    <xf numFmtId="0" fontId="22" fillId="0" borderId="0" xfId="0" applyFont="1"/>
    <xf numFmtId="0" fontId="0" fillId="12" borderId="0" xfId="0" applyFill="1"/>
    <xf numFmtId="1" fontId="0" fillId="0" borderId="0" xfId="0" applyNumberFormat="1"/>
    <xf numFmtId="0" fontId="23" fillId="0" borderId="0" xfId="0" applyFont="1"/>
    <xf numFmtId="0" fontId="24" fillId="0" borderId="0" xfId="0" applyFont="1"/>
    <xf numFmtId="165" fontId="4" fillId="0" borderId="0" xfId="3" applyNumberFormat="1"/>
    <xf numFmtId="2" fontId="0" fillId="0" borderId="0" xfId="0" applyNumberFormat="1"/>
    <xf numFmtId="0" fontId="25" fillId="0" borderId="0" xfId="0" applyFont="1"/>
    <xf numFmtId="2" fontId="0" fillId="0" borderId="5" xfId="0" applyNumberFormat="1" applyBorder="1"/>
    <xf numFmtId="2" fontId="0" fillId="0" borderId="7" xfId="0" applyNumberFormat="1" applyBorder="1"/>
    <xf numFmtId="0" fontId="4" fillId="0" borderId="8" xfId="3" applyBorder="1"/>
    <xf numFmtId="0" fontId="0" fillId="0" borderId="8" xfId="0" applyBorder="1"/>
    <xf numFmtId="0" fontId="4" fillId="0" borderId="9" xfId="3" applyBorder="1"/>
    <xf numFmtId="0" fontId="0" fillId="0" borderId="5" xfId="0" applyBorder="1"/>
    <xf numFmtId="0" fontId="4" fillId="0" borderId="7" xfId="3" applyBorder="1"/>
    <xf numFmtId="0" fontId="0" fillId="0" borderId="6" xfId="0" applyBorder="1"/>
    <xf numFmtId="0" fontId="0" fillId="0" borderId="7" xfId="0" applyBorder="1"/>
    <xf numFmtId="0" fontId="0" fillId="0" borderId="9" xfId="0" applyBorder="1"/>
    <xf numFmtId="165" fontId="0" fillId="0" borderId="8" xfId="0" applyNumberFormat="1" applyBorder="1"/>
    <xf numFmtId="0" fontId="4" fillId="0" borderId="5" xfId="3" applyBorder="1"/>
    <xf numFmtId="2" fontId="0" fillId="0" borderId="10" xfId="0" applyNumberFormat="1" applyBorder="1"/>
    <xf numFmtId="0" fontId="26" fillId="0" borderId="0" xfId="0" applyFont="1"/>
    <xf numFmtId="0" fontId="27" fillId="0" borderId="0" xfId="3" applyFont="1"/>
    <xf numFmtId="168" fontId="0" fillId="0" borderId="0" xfId="0" applyNumberFormat="1"/>
    <xf numFmtId="0" fontId="0" fillId="0" borderId="2" xfId="0" applyBorder="1"/>
    <xf numFmtId="165" fontId="4" fillId="0" borderId="3" xfId="3" applyNumberFormat="1" applyBorder="1"/>
    <xf numFmtId="0" fontId="4" fillId="0" borderId="3" xfId="3" applyBorder="1"/>
    <xf numFmtId="0" fontId="0" fillId="0" borderId="3" xfId="0" applyBorder="1"/>
    <xf numFmtId="0" fontId="4" fillId="0" borderId="2" xfId="3" applyBorder="1"/>
    <xf numFmtId="165" fontId="0" fillId="0" borderId="3" xfId="0" applyNumberFormat="1" applyBorder="1"/>
    <xf numFmtId="0" fontId="0" fillId="0" borderId="4" xfId="0" applyBorder="1"/>
    <xf numFmtId="165" fontId="4" fillId="0" borderId="8" xfId="3" applyNumberFormat="1" applyBorder="1"/>
    <xf numFmtId="0" fontId="4" fillId="0" borderId="6" xfId="3" applyBorder="1"/>
    <xf numFmtId="0" fontId="0" fillId="0" borderId="10" xfId="0" applyBorder="1"/>
    <xf numFmtId="0" fontId="0" fillId="0" borderId="11" xfId="0" applyBorder="1"/>
    <xf numFmtId="165" fontId="4" fillId="0" borderId="11" xfId="3" applyNumberFormat="1" applyBorder="1"/>
    <xf numFmtId="0" fontId="4" fillId="0" borderId="11" xfId="3" applyBorder="1"/>
    <xf numFmtId="0" fontId="4" fillId="0" borderId="10" xfId="3" applyBorder="1"/>
    <xf numFmtId="165" fontId="0" fillId="0" borderId="11" xfId="0" applyNumberFormat="1" applyBorder="1"/>
    <xf numFmtId="0" fontId="0" fillId="0" borderId="12" xfId="0" applyBorder="1"/>
    <xf numFmtId="1" fontId="0" fillId="0" borderId="4" xfId="0" applyNumberFormat="1" applyBorder="1"/>
    <xf numFmtId="1" fontId="0" fillId="0" borderId="6" xfId="0" applyNumberFormat="1" applyBorder="1"/>
    <xf numFmtId="1" fontId="0" fillId="0" borderId="9" xfId="0" applyNumberFormat="1" applyBorder="1"/>
    <xf numFmtId="0" fontId="0" fillId="0" borderId="13" xfId="0" applyBorder="1"/>
    <xf numFmtId="0" fontId="0" fillId="13" borderId="0" xfId="0" applyFill="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4" fillId="0" borderId="0" xfId="3" applyAlignment="1">
      <alignment horizontal="left"/>
    </xf>
    <xf numFmtId="0" fontId="4" fillId="0" borderId="8" xfId="3" applyBorder="1" applyAlignment="1">
      <alignment horizontal="left"/>
    </xf>
    <xf numFmtId="0" fontId="0" fillId="13" borderId="13" xfId="0" applyFill="1" applyBorder="1"/>
    <xf numFmtId="0" fontId="0" fillId="0" borderId="19" xfId="0" applyBorder="1"/>
    <xf numFmtId="0" fontId="0" fillId="13" borderId="15" xfId="0" applyFill="1" applyBorder="1"/>
    <xf numFmtId="0" fontId="0" fillId="0" borderId="20" xfId="0" applyBorder="1" applyAlignment="1">
      <alignment horizontal="center" wrapText="1"/>
    </xf>
    <xf numFmtId="0" fontId="0" fillId="0" borderId="21" xfId="0" applyBorder="1"/>
    <xf numFmtId="0" fontId="0" fillId="0" borderId="22" xfId="0" applyBorder="1"/>
    <xf numFmtId="0" fontId="15" fillId="0" borderId="0" xfId="0" applyFont="1"/>
    <xf numFmtId="0" fontId="0" fillId="6" borderId="0" xfId="0" applyFill="1" applyProtection="1">
      <protection hidden="1"/>
    </xf>
    <xf numFmtId="0" fontId="10" fillId="6" borderId="0" xfId="0" applyFont="1" applyFill="1" applyAlignment="1" applyProtection="1">
      <alignment horizontal="left" vertical="center"/>
      <protection hidden="1"/>
    </xf>
    <xf numFmtId="0" fontId="0" fillId="6" borderId="0" xfId="0" applyFill="1" applyAlignment="1" applyProtection="1">
      <alignment horizontal="right"/>
      <protection hidden="1"/>
    </xf>
    <xf numFmtId="0" fontId="15" fillId="8" borderId="0" xfId="0" applyFont="1" applyFill="1" applyProtection="1">
      <protection hidden="1"/>
    </xf>
    <xf numFmtId="0" fontId="0" fillId="14" borderId="0" xfId="0" applyFill="1" applyProtection="1">
      <protection hidden="1"/>
    </xf>
    <xf numFmtId="0" fontId="0" fillId="8" borderId="0" xfId="0" applyFill="1" applyProtection="1">
      <protection hidden="1"/>
    </xf>
    <xf numFmtId="0" fontId="0" fillId="8" borderId="0" xfId="0" applyFill="1" applyAlignment="1" applyProtection="1">
      <alignment horizontal="right"/>
      <protection hidden="1"/>
    </xf>
    <xf numFmtId="0" fontId="2" fillId="8" borderId="0" xfId="0" applyFont="1" applyFill="1" applyProtection="1">
      <protection hidden="1"/>
    </xf>
    <xf numFmtId="0" fontId="0" fillId="7" borderId="0" xfId="0" applyFill="1" applyProtection="1">
      <protection hidden="1"/>
    </xf>
    <xf numFmtId="0" fontId="2" fillId="8" borderId="0" xfId="0" quotePrefix="1" applyFont="1" applyFill="1" applyProtection="1">
      <protection hidden="1"/>
    </xf>
    <xf numFmtId="0" fontId="2" fillId="8" borderId="0" xfId="0" applyFont="1" applyFill="1" applyAlignment="1" applyProtection="1">
      <alignment horizontal="right"/>
      <protection hidden="1"/>
    </xf>
    <xf numFmtId="0" fontId="0" fillId="8" borderId="1" xfId="0" applyFill="1" applyBorder="1" applyProtection="1">
      <protection hidden="1"/>
    </xf>
    <xf numFmtId="0" fontId="0" fillId="8" borderId="1" xfId="0" applyFill="1" applyBorder="1" applyAlignment="1" applyProtection="1">
      <alignment horizontal="right"/>
      <protection hidden="1"/>
    </xf>
    <xf numFmtId="0" fontId="15" fillId="8" borderId="1" xfId="0" applyFont="1" applyFill="1" applyBorder="1" applyProtection="1">
      <protection hidden="1"/>
    </xf>
    <xf numFmtId="0" fontId="0" fillId="14" borderId="1" xfId="0" applyFill="1" applyBorder="1" applyProtection="1">
      <protection hidden="1"/>
    </xf>
    <xf numFmtId="0" fontId="0" fillId="15" borderId="0" xfId="0" applyFill="1" applyProtection="1">
      <protection hidden="1"/>
    </xf>
    <xf numFmtId="0" fontId="0" fillId="15" borderId="0" xfId="0" applyFill="1" applyAlignment="1" applyProtection="1">
      <alignment horizontal="right"/>
      <protection hidden="1"/>
    </xf>
    <xf numFmtId="49" fontId="0" fillId="15" borderId="0" xfId="0" applyNumberFormat="1" applyFill="1" applyProtection="1">
      <protection hidden="1"/>
    </xf>
    <xf numFmtId="0" fontId="0" fillId="15" borderId="2" xfId="0" applyFill="1" applyBorder="1" applyProtection="1">
      <protection hidden="1"/>
    </xf>
    <xf numFmtId="0" fontId="0" fillId="15" borderId="3" xfId="0" applyFill="1" applyBorder="1" applyProtection="1">
      <protection hidden="1"/>
    </xf>
    <xf numFmtId="0" fontId="13" fillId="15" borderId="3" xfId="3" applyFont="1" applyFill="1" applyBorder="1" applyAlignment="1" applyProtection="1">
      <alignment horizontal="right"/>
      <protection hidden="1"/>
    </xf>
    <xf numFmtId="0" fontId="0" fillId="15" borderId="4" xfId="0" applyFill="1" applyBorder="1" applyProtection="1">
      <protection hidden="1"/>
    </xf>
    <xf numFmtId="0" fontId="0" fillId="15" borderId="5" xfId="0" applyFill="1" applyBorder="1" applyProtection="1">
      <protection hidden="1"/>
    </xf>
    <xf numFmtId="0" fontId="13" fillId="15" borderId="0" xfId="3" applyFont="1" applyFill="1" applyAlignment="1" applyProtection="1">
      <alignment horizontal="right"/>
      <protection hidden="1"/>
    </xf>
    <xf numFmtId="0" fontId="0" fillId="15" borderId="6" xfId="0" applyFill="1" applyBorder="1" applyProtection="1">
      <protection hidden="1"/>
    </xf>
    <xf numFmtId="0" fontId="13" fillId="15" borderId="5" xfId="0" applyFont="1" applyFill="1" applyBorder="1" applyProtection="1">
      <protection hidden="1"/>
    </xf>
    <xf numFmtId="0" fontId="13" fillId="15" borderId="0" xfId="0" applyFont="1" applyFill="1" applyProtection="1">
      <protection hidden="1"/>
    </xf>
    <xf numFmtId="0" fontId="13" fillId="15" borderId="0" xfId="0" applyFont="1" applyFill="1" applyAlignment="1" applyProtection="1">
      <alignment horizontal="right"/>
      <protection hidden="1"/>
    </xf>
    <xf numFmtId="0" fontId="0" fillId="15" borderId="8" xfId="0" applyFill="1" applyBorder="1" applyProtection="1">
      <protection hidden="1"/>
    </xf>
    <xf numFmtId="0" fontId="0" fillId="15" borderId="9" xfId="0" applyFill="1" applyBorder="1" applyProtection="1">
      <protection hidden="1"/>
    </xf>
    <xf numFmtId="0" fontId="16" fillId="15" borderId="0" xfId="0" applyFont="1" applyFill="1" applyProtection="1">
      <protection hidden="1"/>
    </xf>
    <xf numFmtId="0" fontId="13" fillId="15" borderId="3" xfId="0" applyFont="1" applyFill="1" applyBorder="1" applyProtection="1">
      <protection hidden="1"/>
    </xf>
    <xf numFmtId="0" fontId="0" fillId="15" borderId="7" xfId="0" applyFill="1" applyBorder="1" applyProtection="1">
      <protection hidden="1"/>
    </xf>
    <xf numFmtId="0" fontId="13" fillId="15" borderId="8" xfId="3" applyFont="1" applyFill="1" applyBorder="1" applyAlignment="1" applyProtection="1">
      <alignment horizontal="right"/>
      <protection hidden="1"/>
    </xf>
    <xf numFmtId="0" fontId="17" fillId="15" borderId="6" xfId="0" applyFont="1" applyFill="1" applyBorder="1" applyProtection="1">
      <protection hidden="1"/>
    </xf>
    <xf numFmtId="0" fontId="0" fillId="15" borderId="8" xfId="0" applyFill="1" applyBorder="1" applyAlignment="1" applyProtection="1">
      <alignment horizontal="right"/>
      <protection hidden="1"/>
    </xf>
    <xf numFmtId="0" fontId="17" fillId="15" borderId="9" xfId="0" applyFont="1" applyFill="1" applyBorder="1" applyProtection="1">
      <protection hidden="1"/>
    </xf>
    <xf numFmtId="0" fontId="0" fillId="15" borderId="3" xfId="0" applyFill="1" applyBorder="1" applyAlignment="1" applyProtection="1">
      <alignment horizontal="right"/>
      <protection hidden="1"/>
    </xf>
    <xf numFmtId="0" fontId="16" fillId="15" borderId="2" xfId="0" applyFont="1" applyFill="1" applyBorder="1" applyProtection="1">
      <protection hidden="1"/>
    </xf>
    <xf numFmtId="0" fontId="15" fillId="15" borderId="3" xfId="0" applyFont="1" applyFill="1" applyBorder="1" applyAlignment="1" applyProtection="1">
      <alignment horizontal="right"/>
      <protection hidden="1"/>
    </xf>
    <xf numFmtId="0" fontId="16" fillId="15" borderId="5" xfId="0" applyFont="1" applyFill="1" applyBorder="1" applyProtection="1">
      <protection hidden="1"/>
    </xf>
    <xf numFmtId="0" fontId="23" fillId="15" borderId="0" xfId="0" applyFont="1" applyFill="1" applyAlignment="1" applyProtection="1">
      <alignment horizontal="right"/>
      <protection hidden="1"/>
    </xf>
    <xf numFmtId="0" fontId="0" fillId="15" borderId="0" xfId="0" applyFill="1" applyAlignment="1" applyProtection="1">
      <alignment horizontal="center"/>
      <protection hidden="1"/>
    </xf>
    <xf numFmtId="0" fontId="0" fillId="15" borderId="6" xfId="0" applyFill="1" applyBorder="1" applyAlignment="1" applyProtection="1">
      <alignment horizontal="center"/>
      <protection hidden="1"/>
    </xf>
    <xf numFmtId="0" fontId="0" fillId="14" borderId="0" xfId="0" applyFill="1" applyAlignment="1" applyProtection="1">
      <alignment horizontal="right"/>
      <protection hidden="1"/>
    </xf>
    <xf numFmtId="0" fontId="15" fillId="14" borderId="0" xfId="0" applyFont="1" applyFill="1" applyProtection="1">
      <protection hidden="1"/>
    </xf>
    <xf numFmtId="0" fontId="0" fillId="7" borderId="24" xfId="0" applyFill="1" applyBorder="1" applyProtection="1">
      <protection locked="0" hidden="1"/>
    </xf>
    <xf numFmtId="0" fontId="0" fillId="7" borderId="25" xfId="0" applyFill="1" applyBorder="1" applyProtection="1">
      <protection locked="0" hidden="1"/>
    </xf>
    <xf numFmtId="2" fontId="0" fillId="15" borderId="25" xfId="0" applyNumberFormat="1" applyFill="1" applyBorder="1" applyProtection="1">
      <protection hidden="1"/>
    </xf>
    <xf numFmtId="0" fontId="0" fillId="15" borderId="25" xfId="0" applyFill="1" applyBorder="1" applyProtection="1">
      <protection hidden="1"/>
    </xf>
    <xf numFmtId="165" fontId="0" fillId="0" borderId="25" xfId="0" applyNumberFormat="1" applyBorder="1" applyProtection="1">
      <protection hidden="1"/>
    </xf>
    <xf numFmtId="2" fontId="0" fillId="0" borderId="26" xfId="0" applyNumberFormat="1" applyBorder="1" applyProtection="1">
      <protection hidden="1"/>
    </xf>
    <xf numFmtId="2" fontId="0" fillId="15" borderId="26" xfId="0" applyNumberFormat="1" applyFill="1" applyBorder="1" applyProtection="1">
      <protection hidden="1"/>
    </xf>
    <xf numFmtId="0" fontId="0" fillId="7" borderId="26" xfId="0" applyFill="1" applyBorder="1" applyProtection="1">
      <protection locked="0" hidden="1"/>
    </xf>
    <xf numFmtId="2" fontId="0" fillId="0" borderId="25" xfId="0" applyNumberFormat="1" applyBorder="1" applyProtection="1">
      <protection hidden="1"/>
    </xf>
    <xf numFmtId="2" fontId="0" fillId="0" borderId="24" xfId="0" applyNumberFormat="1" applyBorder="1" applyProtection="1">
      <protection hidden="1"/>
    </xf>
    <xf numFmtId="1" fontId="0" fillId="0" borderId="26" xfId="0" applyNumberFormat="1" applyBorder="1" applyProtection="1">
      <protection hidden="1"/>
    </xf>
    <xf numFmtId="0" fontId="0" fillId="7" borderId="24" xfId="0" applyFill="1" applyBorder="1" applyAlignment="1" applyProtection="1">
      <alignment vertical="top"/>
      <protection hidden="1"/>
    </xf>
    <xf numFmtId="0" fontId="0" fillId="0" borderId="25" xfId="0" applyBorder="1" applyAlignment="1" applyProtection="1">
      <alignment vertical="top"/>
      <protection hidden="1"/>
    </xf>
    <xf numFmtId="165" fontId="0" fillId="15" borderId="25" xfId="0" applyNumberFormat="1" applyFill="1" applyBorder="1" applyProtection="1">
      <protection hidden="1"/>
    </xf>
    <xf numFmtId="0" fontId="0" fillId="15" borderId="25" xfId="0" applyFill="1" applyBorder="1" applyAlignment="1" applyProtection="1">
      <alignment horizontal="center"/>
      <protection hidden="1"/>
    </xf>
    <xf numFmtId="1" fontId="0" fillId="15" borderId="7" xfId="0" applyNumberFormat="1" applyFill="1" applyBorder="1" applyProtection="1">
      <protection hidden="1"/>
    </xf>
    <xf numFmtId="0" fontId="0" fillId="7" borderId="23" xfId="0" applyFill="1" applyBorder="1" applyProtection="1">
      <protection locked="0" hidden="1"/>
    </xf>
    <xf numFmtId="0" fontId="0" fillId="7" borderId="0" xfId="0" applyFill="1"/>
    <xf numFmtId="0" fontId="30" fillId="0" borderId="0" xfId="0" applyFont="1"/>
    <xf numFmtId="0" fontId="31" fillId="0" borderId="0" xfId="0" applyFont="1"/>
    <xf numFmtId="0" fontId="0" fillId="0" borderId="0" xfId="0" applyAlignment="1">
      <alignment horizontal="center"/>
    </xf>
    <xf numFmtId="11" fontId="0" fillId="0" borderId="0" xfId="0" applyNumberFormat="1"/>
    <xf numFmtId="169" fontId="0" fillId="9" borderId="0" xfId="0" applyNumberFormat="1" applyFill="1"/>
    <xf numFmtId="0" fontId="3" fillId="0" borderId="8" xfId="3" applyFont="1" applyBorder="1"/>
    <xf numFmtId="0" fontId="23" fillId="15" borderId="24" xfId="0" applyFont="1" applyFill="1" applyBorder="1" applyAlignment="1" applyProtection="1">
      <alignment horizontal="center"/>
      <protection hidden="1"/>
    </xf>
    <xf numFmtId="0" fontId="23" fillId="0" borderId="0" xfId="0" quotePrefix="1" applyFont="1"/>
    <xf numFmtId="0" fontId="37" fillId="14" borderId="0" xfId="0" applyFont="1" applyFill="1" applyProtection="1">
      <protection hidden="1"/>
    </xf>
    <xf numFmtId="0" fontId="0" fillId="15" borderId="0" xfId="0" applyFill="1"/>
    <xf numFmtId="0" fontId="13" fillId="15" borderId="7" xfId="0" applyFont="1" applyFill="1" applyBorder="1" applyProtection="1">
      <protection hidden="1"/>
    </xf>
    <xf numFmtId="0" fontId="13" fillId="15" borderId="8" xfId="0" applyFont="1" applyFill="1" applyBorder="1" applyProtection="1">
      <protection hidden="1"/>
    </xf>
    <xf numFmtId="168" fontId="0" fillId="15" borderId="25" xfId="0" applyNumberFormat="1" applyFill="1" applyBorder="1" applyProtection="1">
      <protection hidden="1"/>
    </xf>
    <xf numFmtId="0" fontId="23" fillId="13" borderId="0" xfId="0" applyFont="1" applyFill="1"/>
    <xf numFmtId="165" fontId="0" fillId="6" borderId="0" xfId="0" applyNumberFormat="1" applyFill="1"/>
    <xf numFmtId="0" fontId="0" fillId="6" borderId="0" xfId="0" applyFill="1"/>
    <xf numFmtId="165" fontId="0" fillId="0" borderId="26" xfId="0" applyNumberFormat="1" applyBorder="1" applyProtection="1">
      <protection hidden="1"/>
    </xf>
    <xf numFmtId="170" fontId="0" fillId="0" borderId="0" xfId="0" applyNumberFormat="1"/>
    <xf numFmtId="0" fontId="17" fillId="15" borderId="10" xfId="0" applyFont="1" applyFill="1" applyBorder="1" applyAlignment="1" applyProtection="1">
      <alignment horizontal="left"/>
      <protection hidden="1"/>
    </xf>
    <xf numFmtId="0" fontId="0" fillId="15" borderId="7" xfId="0" applyFill="1" applyBorder="1" applyAlignment="1" applyProtection="1">
      <alignment horizontal="left"/>
      <protection hidden="1"/>
    </xf>
    <xf numFmtId="0" fontId="32" fillId="15" borderId="0" xfId="0" applyFont="1" applyFill="1" applyProtection="1">
      <protection hidden="1"/>
    </xf>
    <xf numFmtId="0" fontId="33" fillId="15" borderId="0" xfId="0" applyFont="1" applyFill="1" applyProtection="1">
      <protection hidden="1"/>
    </xf>
    <xf numFmtId="0" fontId="33" fillId="15" borderId="0" xfId="0" applyFont="1" applyFill="1" applyAlignment="1" applyProtection="1">
      <alignment horizontal="right"/>
      <protection hidden="1"/>
    </xf>
    <xf numFmtId="0" fontId="37" fillId="15" borderId="0" xfId="0" applyFont="1" applyFill="1" applyProtection="1">
      <protection hidden="1"/>
    </xf>
    <xf numFmtId="0" fontId="34" fillId="15" borderId="0" xfId="0" applyFont="1" applyFill="1" applyAlignment="1" applyProtection="1">
      <alignment horizontal="left"/>
      <protection hidden="1"/>
    </xf>
    <xf numFmtId="0" fontId="35" fillId="15" borderId="0" xfId="3" applyFont="1" applyFill="1" applyAlignment="1" applyProtection="1">
      <alignment horizontal="right"/>
      <protection hidden="1"/>
    </xf>
    <xf numFmtId="0" fontId="0" fillId="0" borderId="23" xfId="0" applyBorder="1"/>
    <xf numFmtId="0" fontId="0" fillId="0" borderId="25" xfId="0" applyBorder="1"/>
    <xf numFmtId="0" fontId="0" fillId="0" borderId="24" xfId="0" applyBorder="1"/>
    <xf numFmtId="0" fontId="0" fillId="0" borderId="26" xfId="0" applyBorder="1"/>
    <xf numFmtId="0" fontId="4" fillId="0" borderId="12" xfId="3" applyBorder="1"/>
    <xf numFmtId="0" fontId="3" fillId="0" borderId="10" xfId="3" applyFont="1" applyBorder="1"/>
    <xf numFmtId="0" fontId="3" fillId="0" borderId="11" xfId="3" applyFont="1" applyBorder="1"/>
    <xf numFmtId="1" fontId="0" fillId="8" borderId="0" xfId="0" applyNumberFormat="1" applyFill="1" applyProtection="1">
      <protection hidden="1"/>
    </xf>
    <xf numFmtId="168" fontId="0" fillId="0" borderId="25" xfId="0" applyNumberFormat="1" applyBorder="1" applyProtection="1">
      <protection hidden="1"/>
    </xf>
    <xf numFmtId="168" fontId="0" fillId="15" borderId="10" xfId="0" applyNumberFormat="1" applyFill="1" applyBorder="1" applyProtection="1">
      <protection hidden="1"/>
    </xf>
    <xf numFmtId="0" fontId="0" fillId="16" borderId="0" xfId="0" applyFill="1"/>
    <xf numFmtId="0" fontId="0" fillId="0" borderId="28" xfId="0" applyBorder="1"/>
    <xf numFmtId="0" fontId="37" fillId="8" borderId="0" xfId="0" applyFont="1" applyFill="1" applyProtection="1">
      <protection hidden="1"/>
    </xf>
    <xf numFmtId="0" fontId="33" fillId="15" borderId="2" xfId="0" applyFont="1" applyFill="1" applyBorder="1" applyProtection="1">
      <protection hidden="1"/>
    </xf>
    <xf numFmtId="0" fontId="33" fillId="15" borderId="3" xfId="0" applyFont="1" applyFill="1" applyBorder="1" applyProtection="1">
      <protection hidden="1"/>
    </xf>
    <xf numFmtId="0" fontId="35" fillId="15" borderId="3" xfId="3" applyFont="1" applyFill="1" applyBorder="1" applyAlignment="1" applyProtection="1">
      <alignment horizontal="right"/>
      <protection hidden="1"/>
    </xf>
    <xf numFmtId="0" fontId="35" fillId="15" borderId="4" xfId="3" applyFont="1" applyFill="1" applyBorder="1" applyProtection="1">
      <protection hidden="1"/>
    </xf>
    <xf numFmtId="0" fontId="34" fillId="15" borderId="5" xfId="0" applyFont="1" applyFill="1" applyBorder="1" applyProtection="1">
      <protection hidden="1"/>
    </xf>
    <xf numFmtId="0" fontId="35" fillId="15" borderId="6" xfId="3" applyFont="1" applyFill="1" applyBorder="1" applyProtection="1">
      <protection hidden="1"/>
    </xf>
    <xf numFmtId="0" fontId="33" fillId="15" borderId="5" xfId="0" applyFont="1" applyFill="1" applyBorder="1" applyProtection="1">
      <protection hidden="1"/>
    </xf>
    <xf numFmtId="0" fontId="33" fillId="15" borderId="7" xfId="0" applyFont="1" applyFill="1" applyBorder="1" applyProtection="1">
      <protection hidden="1"/>
    </xf>
    <xf numFmtId="0" fontId="33" fillId="15" borderId="8" xfId="0" applyFont="1" applyFill="1" applyBorder="1" applyProtection="1">
      <protection hidden="1"/>
    </xf>
    <xf numFmtId="0" fontId="35" fillId="15" borderId="8" xfId="3" applyFont="1" applyFill="1" applyBorder="1" applyAlignment="1" applyProtection="1">
      <alignment horizontal="right"/>
      <protection hidden="1"/>
    </xf>
    <xf numFmtId="0" fontId="35" fillId="15" borderId="9" xfId="3" applyFont="1" applyFill="1" applyBorder="1" applyProtection="1">
      <protection hidden="1"/>
    </xf>
    <xf numFmtId="0" fontId="33" fillId="15" borderId="6" xfId="0" applyFont="1" applyFill="1" applyBorder="1" applyProtection="1">
      <protection hidden="1"/>
    </xf>
    <xf numFmtId="0" fontId="33" fillId="15" borderId="8" xfId="0" applyFont="1" applyFill="1" applyBorder="1" applyAlignment="1" applyProtection="1">
      <alignment horizontal="right"/>
      <protection hidden="1"/>
    </xf>
    <xf numFmtId="0" fontId="33" fillId="15" borderId="9" xfId="0" applyFont="1" applyFill="1" applyBorder="1" applyProtection="1">
      <protection hidden="1"/>
    </xf>
    <xf numFmtId="0" fontId="13" fillId="15" borderId="8" xfId="0" applyFont="1" applyFill="1" applyBorder="1" applyAlignment="1" applyProtection="1">
      <alignment horizontal="right"/>
      <protection hidden="1"/>
    </xf>
    <xf numFmtId="168" fontId="0" fillId="15" borderId="26" xfId="0" applyNumberFormat="1" applyFill="1" applyBorder="1" applyProtection="1">
      <protection hidden="1"/>
    </xf>
    <xf numFmtId="0" fontId="0" fillId="0" borderId="30" xfId="0" applyBorder="1"/>
    <xf numFmtId="0" fontId="33" fillId="7" borderId="24" xfId="0" applyFont="1" applyFill="1" applyBorder="1" applyProtection="1">
      <protection locked="0" hidden="1"/>
    </xf>
    <xf numFmtId="0" fontId="33" fillId="7" borderId="25" xfId="0" applyFont="1" applyFill="1" applyBorder="1" applyProtection="1">
      <protection locked="0" hidden="1"/>
    </xf>
    <xf numFmtId="0" fontId="33" fillId="7" borderId="26" xfId="0" applyFont="1" applyFill="1" applyBorder="1" applyProtection="1">
      <protection locked="0" hidden="1"/>
    </xf>
    <xf numFmtId="2" fontId="0" fillId="7" borderId="25" xfId="0" applyNumberFormat="1" applyFill="1" applyBorder="1" applyProtection="1">
      <protection locked="0" hidden="1"/>
    </xf>
    <xf numFmtId="0" fontId="0" fillId="7" borderId="5" xfId="0" applyFill="1" applyBorder="1" applyAlignment="1" applyProtection="1">
      <alignment horizontal="center"/>
      <protection locked="0" hidden="1"/>
    </xf>
    <xf numFmtId="0" fontId="0" fillId="0" borderId="25" xfId="0" applyBorder="1" applyProtection="1">
      <protection hidden="1"/>
    </xf>
    <xf numFmtId="0" fontId="6" fillId="2" borderId="0" xfId="3" applyFont="1" applyFill="1" applyAlignment="1">
      <alignment horizontal="center"/>
    </xf>
    <xf numFmtId="0" fontId="5" fillId="0" borderId="0" xfId="3" applyFont="1" applyAlignment="1">
      <alignment horizontal="center"/>
    </xf>
    <xf numFmtId="0" fontId="0" fillId="0" borderId="20" xfId="0" applyBorder="1" applyAlignment="1">
      <alignment horizontal="center" wrapText="1"/>
    </xf>
    <xf numFmtId="0" fontId="0" fillId="0" borderId="29" xfId="0" applyBorder="1" applyAlignment="1">
      <alignment horizontal="center" wrapText="1"/>
    </xf>
    <xf numFmtId="0" fontId="0" fillId="0" borderId="21" xfId="0" applyBorder="1" applyAlignment="1">
      <alignment horizontal="center" wrapText="1"/>
    </xf>
    <xf numFmtId="0" fontId="0" fillId="0" borderId="22" xfId="0" applyBorder="1" applyAlignment="1">
      <alignment horizontal="center" wrapText="1"/>
    </xf>
    <xf numFmtId="0" fontId="0" fillId="0" borderId="20"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27" xfId="0" applyBorder="1" applyAlignment="1">
      <alignment horizontal="center"/>
    </xf>
    <xf numFmtId="0" fontId="23" fillId="0" borderId="10" xfId="0" applyFont="1" applyBorder="1" applyAlignment="1">
      <alignment horizontal="center"/>
    </xf>
    <xf numFmtId="0" fontId="23" fillId="0" borderId="11" xfId="0" applyFont="1" applyBorder="1" applyAlignment="1">
      <alignment horizontal="center"/>
    </xf>
    <xf numFmtId="0" fontId="23" fillId="0" borderId="12" xfId="0" applyFont="1" applyBorder="1" applyAlignment="1">
      <alignment horizontal="center"/>
    </xf>
    <xf numFmtId="0" fontId="0" fillId="0" borderId="5" xfId="0" applyBorder="1" applyAlignment="1">
      <alignment horizontal="center"/>
    </xf>
    <xf numFmtId="0" fontId="0" fillId="0" borderId="0" xfId="0" applyAlignment="1">
      <alignment horizontal="center"/>
    </xf>
    <xf numFmtId="0" fontId="0" fillId="0" borderId="6" xfId="0" applyBorder="1" applyAlignment="1">
      <alignment horizontal="center"/>
    </xf>
    <xf numFmtId="0" fontId="4" fillId="0" borderId="0" xfId="3" applyAlignment="1">
      <alignment horizontal="center"/>
    </xf>
    <xf numFmtId="0" fontId="0" fillId="0" borderId="3"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23" fillId="0" borderId="2" xfId="0" applyFont="1" applyBorder="1" applyAlignment="1">
      <alignment horizontal="center"/>
    </xf>
    <xf numFmtId="0" fontId="23" fillId="0" borderId="4" xfId="0" applyFont="1" applyBorder="1" applyAlignment="1">
      <alignment horizontal="center"/>
    </xf>
  </cellXfs>
  <cellStyles count="12">
    <cellStyle name="Comma 2" xfId="5" xr:uid="{00000000-0005-0000-0000-000000000000}"/>
    <cellStyle name="Comma 3" xfId="2" xr:uid="{00000000-0005-0000-0000-000001000000}"/>
    <cellStyle name="Comma 3 2" xfId="8" xr:uid="{00000000-0005-0000-0000-000001000000}"/>
    <cellStyle name="Normal 2" xfId="3" xr:uid="{00000000-0005-0000-0000-000003000000}"/>
    <cellStyle name="Normal 2 2" xfId="9" xr:uid="{00000000-0005-0000-0000-000003000000}"/>
    <cellStyle name="Normal 3" xfId="4" xr:uid="{00000000-0005-0000-0000-000004000000}"/>
    <cellStyle name="Normal 4" xfId="1" xr:uid="{00000000-0005-0000-0000-000005000000}"/>
    <cellStyle name="Normal 4 2" xfId="7" xr:uid="{00000000-0005-0000-0000-000006000000}"/>
    <cellStyle name="Normal 4 2 2" xfId="11" xr:uid="{00000000-0005-0000-0000-000006000000}"/>
    <cellStyle name="Normal 4 3" xfId="6" xr:uid="{00000000-0005-0000-0000-000007000000}"/>
    <cellStyle name="Normal 4 3 2" xfId="10" xr:uid="{00000000-0005-0000-0000-000007000000}"/>
    <cellStyle name="Standard" xfId="0" builtinId="0"/>
  </cellStyles>
  <dxfs count="0"/>
  <tableStyles count="0" defaultTableStyle="TableStyleMedium2" defaultPivotStyle="PivotStyleLight16"/>
  <colors>
    <mruColors>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aseline="0"/>
              <a:t>Bode Plot</a:t>
            </a:r>
          </a:p>
        </c:rich>
      </c:tx>
      <c:layout>
        <c:manualLayout>
          <c:xMode val="edge"/>
          <c:yMode val="edge"/>
          <c:x val="9.4354157174953393E-2"/>
          <c:y val="3.9916010498687662E-3"/>
        </c:manualLayout>
      </c:layout>
      <c:overlay val="0"/>
    </c:title>
    <c:autoTitleDeleted val="0"/>
    <c:plotArea>
      <c:layout>
        <c:manualLayout>
          <c:layoutTarget val="inner"/>
          <c:xMode val="edge"/>
          <c:yMode val="edge"/>
          <c:x val="9.0594052720499751E-2"/>
          <c:y val="8.9158108013693851E-2"/>
          <c:w val="0.80965876742891785"/>
          <c:h val="0.76159168715027026"/>
        </c:manualLayout>
      </c:layout>
      <c:scatterChart>
        <c:scatterStyle val="smoothMarker"/>
        <c:varyColors val="0"/>
        <c:ser>
          <c:idx val="0"/>
          <c:order val="0"/>
          <c:tx>
            <c:v>Gain (dB)</c:v>
          </c:tx>
          <c:spPr>
            <a:ln w="28575">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Loop_Modeling!$BL$19:$BL$560</c:f>
              <c:numCache>
                <c:formatCode>General</c:formatCode>
                <c:ptCount val="542"/>
                <c:pt idx="0">
                  <c:v>84.476415445167618</c:v>
                </c:pt>
                <c:pt idx="1">
                  <c:v>84.264380267956142</c:v>
                </c:pt>
                <c:pt idx="2">
                  <c:v>84.051813777348642</c:v>
                </c:pt>
                <c:pt idx="3">
                  <c:v>83.838694167660833</c:v>
                </c:pt>
                <c:pt idx="4">
                  <c:v>83.62499888612858</c:v>
                </c:pt>
                <c:pt idx="5">
                  <c:v>83.410704620546383</c:v>
                </c:pt>
                <c:pt idx="6">
                  <c:v>83.195787287981432</c:v>
                </c:pt>
                <c:pt idx="7">
                  <c:v>82.980222024707743</c:v>
                </c:pt>
                <c:pt idx="8">
                  <c:v>82.763983177513083</c:v>
                </c:pt>
                <c:pt idx="9">
                  <c:v>82.547044296539482</c:v>
                </c:pt>
                <c:pt idx="10">
                  <c:v>82.32937812982567</c:v>
                </c:pt>
                <c:pt idx="11">
                  <c:v>82.110956619729365</c:v>
                </c:pt>
                <c:pt idx="12">
                  <c:v>81.891750901411399</c:v>
                </c:pt>
                <c:pt idx="13">
                  <c:v>81.671731303573253</c:v>
                </c:pt>
                <c:pt idx="14">
                  <c:v>81.450867351642785</c:v>
                </c:pt>
                <c:pt idx="15">
                  <c:v>81.229127773610173</c:v>
                </c:pt>
                <c:pt idx="16">
                  <c:v>81.006480508717686</c:v>
                </c:pt>
                <c:pt idx="17">
                  <c:v>80.782892719210366</c:v>
                </c:pt>
                <c:pt idx="18">
                  <c:v>80.558330805355155</c:v>
                </c:pt>
                <c:pt idx="19">
                  <c:v>80.332760423935113</c:v>
                </c:pt>
                <c:pt idx="20">
                  <c:v>80.106146510423528</c:v>
                </c:pt>
                <c:pt idx="21">
                  <c:v>79.878453305034611</c:v>
                </c:pt>
                <c:pt idx="22">
                  <c:v>79.649644382845935</c:v>
                </c:pt>
                <c:pt idx="23">
                  <c:v>79.419682688170667</c:v>
                </c:pt>
                <c:pt idx="24">
                  <c:v>79.18853057335096</c:v>
                </c:pt>
                <c:pt idx="25">
                  <c:v>78.956149842124944</c:v>
                </c:pt>
                <c:pt idx="26">
                  <c:v>78.722501797702591</c:v>
                </c:pt>
                <c:pt idx="27">
                  <c:v>78.487547295662026</c:v>
                </c:pt>
                <c:pt idx="28">
                  <c:v>78.251246801755315</c:v>
                </c:pt>
                <c:pt idx="29">
                  <c:v>78.013560454680473</c:v>
                </c:pt>
                <c:pt idx="30">
                  <c:v>77.774448133847258</c:v>
                </c:pt>
                <c:pt idx="31">
                  <c:v>77.533869532127127</c:v>
                </c:pt>
                <c:pt idx="32">
                  <c:v>77.291784233540014</c:v>
                </c:pt>
                <c:pt idx="33">
                  <c:v>77.048151795786339</c:v>
                </c:pt>
                <c:pt idx="34">
                  <c:v>76.802931837491016</c:v>
                </c:pt>
                <c:pt idx="35">
                  <c:v>76.556084129976682</c:v>
                </c:pt>
                <c:pt idx="36">
                  <c:v>76.307568693333153</c:v>
                </c:pt>
                <c:pt idx="37">
                  <c:v>76.05734589650163</c:v>
                </c:pt>
                <c:pt idx="38">
                  <c:v>75.805376561036539</c:v>
                </c:pt>
                <c:pt idx="39">
                  <c:v>75.551622068156689</c:v>
                </c:pt>
                <c:pt idx="40">
                  <c:v>75.296044468644951</c:v>
                </c:pt>
                <c:pt idx="41">
                  <c:v>75.038606595102166</c:v>
                </c:pt>
                <c:pt idx="42">
                  <c:v>74.779272176012782</c:v>
                </c:pt>
                <c:pt idx="43">
                  <c:v>74.518005951030972</c:v>
                </c:pt>
                <c:pt idx="44">
                  <c:v>74.254773786853434</c:v>
                </c:pt>
                <c:pt idx="45">
                  <c:v>73.989542793004702</c:v>
                </c:pt>
                <c:pt idx="46">
                  <c:v>73.722281436827217</c:v>
                </c:pt>
                <c:pt idx="47">
                  <c:v>73.45295965694109</c:v>
                </c:pt>
                <c:pt idx="48">
                  <c:v>73.181548974416927</c:v>
                </c:pt>
                <c:pt idx="49">
                  <c:v>72.908022600893304</c:v>
                </c:pt>
                <c:pt idx="50">
                  <c:v>72.632355542865184</c:v>
                </c:pt>
                <c:pt idx="51">
                  <c:v>72.354524701374061</c:v>
                </c:pt>
                <c:pt idx="52">
                  <c:v>72.074508966345405</c:v>
                </c:pt>
                <c:pt idx="53">
                  <c:v>71.79228930484112</c:v>
                </c:pt>
                <c:pt idx="54">
                  <c:v>71.50784884252846</c:v>
                </c:pt>
                <c:pt idx="55">
                  <c:v>71.221172937709142</c:v>
                </c:pt>
                <c:pt idx="56">
                  <c:v>70.932249247304114</c:v>
                </c:pt>
                <c:pt idx="57">
                  <c:v>70.641067784249302</c:v>
                </c:pt>
                <c:pt idx="58">
                  <c:v>70.347620965825939</c:v>
                </c:pt>
                <c:pt idx="59">
                  <c:v>70.051903652525198</c:v>
                </c:pt>
                <c:pt idx="60">
                  <c:v>69.753913177126762</c:v>
                </c:pt>
                <c:pt idx="61">
                  <c:v>69.453649363758302</c:v>
                </c:pt>
                <c:pt idx="62">
                  <c:v>69.151114536792505</c:v>
                </c:pt>
                <c:pt idx="63">
                  <c:v>68.846313519529843</c:v>
                </c:pt>
                <c:pt idx="64">
                  <c:v>68.539253622709481</c:v>
                </c:pt>
                <c:pt idx="65">
                  <c:v>68.229944622981748</c:v>
                </c:pt>
                <c:pt idx="66">
                  <c:v>67.918398731567194</c:v>
                </c:pt>
                <c:pt idx="67">
                  <c:v>67.604630553414424</c:v>
                </c:pt>
                <c:pt idx="68">
                  <c:v>67.288657037250047</c:v>
                </c:pt>
                <c:pt idx="69">
                  <c:v>66.970497416992274</c:v>
                </c:pt>
                <c:pt idx="70">
                  <c:v>66.650173145068862</c:v>
                </c:pt>
                <c:pt idx="71">
                  <c:v>66.327707818242274</c:v>
                </c:pt>
                <c:pt idx="72">
                  <c:v>66.003127096597623</c:v>
                </c:pt>
                <c:pt idx="73">
                  <c:v>65.676458616394612</c:v>
                </c:pt>
                <c:pt idx="74">
                  <c:v>65.347731897519864</c:v>
                </c:pt>
                <c:pt idx="75">
                  <c:v>65.016978246298294</c:v>
                </c:pt>
                <c:pt idx="76">
                  <c:v>64.684230654443951</c:v>
                </c:pt>
                <c:pt idx="77">
                  <c:v>64.349523694930639</c:v>
                </c:pt>
                <c:pt idx="78">
                  <c:v>64.012893415565713</c:v>
                </c:pt>
                <c:pt idx="79">
                  <c:v>63.674377231034441</c:v>
                </c:pt>
                <c:pt idx="80">
                  <c:v>63.334013814168131</c:v>
                </c:pt>
                <c:pt idx="81">
                  <c:v>62.991842987157852</c:v>
                </c:pt>
                <c:pt idx="82">
                  <c:v>62.647905613407644</c:v>
                </c:pt>
                <c:pt idx="83">
                  <c:v>62.302243490679203</c:v>
                </c:pt>
                <c:pt idx="84">
                  <c:v>61.954899246138908</c:v>
                </c:pt>
                <c:pt idx="85">
                  <c:v>61.605916233871376</c:v>
                </c:pt>
                <c:pt idx="86">
                  <c:v>61.255338435372693</c:v>
                </c:pt>
                <c:pt idx="87">
                  <c:v>60.903210363487055</c:v>
                </c:pt>
                <c:pt idx="88">
                  <c:v>60.549576970195467</c:v>
                </c:pt>
                <c:pt idx="89">
                  <c:v>60.194483558614053</c:v>
                </c:pt>
                <c:pt idx="90">
                  <c:v>59.837975699505151</c:v>
                </c:pt>
                <c:pt idx="91">
                  <c:v>59.480099152553841</c:v>
                </c:pt>
                <c:pt idx="92">
                  <c:v>59.120899792610757</c:v>
                </c:pt>
                <c:pt idx="93">
                  <c:v>58.760423541056056</c:v>
                </c:pt>
                <c:pt idx="94">
                  <c:v>58.398716302389929</c:v>
                </c:pt>
                <c:pt idx="95">
                  <c:v>58.035823906116903</c:v>
                </c:pt>
                <c:pt idx="96">
                  <c:v>57.671792053946255</c:v>
                </c:pt>
                <c:pt idx="97">
                  <c:v>57.30666627229725</c:v>
                </c:pt>
                <c:pt idx="98">
                  <c:v>56.940491870062715</c:v>
                </c:pt>
                <c:pt idx="99">
                  <c:v>56.573313901554918</c:v>
                </c:pt>
                <c:pt idx="100">
                  <c:v>56.205177134530828</c:v>
                </c:pt>
                <c:pt idx="101">
                  <c:v>55.836126023168326</c:v>
                </c:pt>
                <c:pt idx="102">
                  <c:v>55.466204685848098</c:v>
                </c:pt>
                <c:pt idx="103">
                  <c:v>55.095456887573668</c:v>
                </c:pt>
                <c:pt idx="104">
                  <c:v>54.723926026851906</c:v>
                </c:pt>
                <c:pt idx="105">
                  <c:v>54.351655126840043</c:v>
                </c:pt>
                <c:pt idx="106">
                  <c:v>53.978686830558978</c:v>
                </c:pt>
                <c:pt idx="107">
                  <c:v>53.605063399963328</c:v>
                </c:pt>
                <c:pt idx="108">
                  <c:v>53.230826718653844</c:v>
                </c:pt>
                <c:pt idx="109">
                  <c:v>52.856018298013439</c:v>
                </c:pt>
                <c:pt idx="110">
                  <c:v>52.480679286547286</c:v>
                </c:pt>
                <c:pt idx="111">
                  <c:v>52.104850482205535</c:v>
                </c:pt>
                <c:pt idx="112">
                  <c:v>51.72857234746759</c:v>
                </c:pt>
                <c:pt idx="113">
                  <c:v>51.351885026968262</c:v>
                </c:pt>
                <c:pt idx="114">
                  <c:v>50.974828367448524</c:v>
                </c:pt>
                <c:pt idx="115">
                  <c:v>50.597441939814203</c:v>
                </c:pt>
                <c:pt idx="116">
                  <c:v>50.219765063092197</c:v>
                </c:pt>
                <c:pt idx="117">
                  <c:v>49.841836830071514</c:v>
                </c:pt>
                <c:pt idx="118">
                  <c:v>49.463696134424957</c:v>
                </c:pt>
                <c:pt idx="119">
                  <c:v>49.085381699107131</c:v>
                </c:pt>
                <c:pt idx="120">
                  <c:v>48.706932105826937</c:v>
                </c:pt>
                <c:pt idx="121">
                  <c:v>48.328385825396829</c:v>
                </c:pt>
                <c:pt idx="122">
                  <c:v>47.949781248763358</c:v>
                </c:pt>
                <c:pt idx="123">
                  <c:v>47.571156718522836</c:v>
                </c:pt>
                <c:pt idx="124">
                  <c:v>47.192550560730702</c:v>
                </c:pt>
                <c:pt idx="125">
                  <c:v>46.814001116810964</c:v>
                </c:pt>
                <c:pt idx="126">
                  <c:v>46.435546775373773</c:v>
                </c:pt>
                <c:pt idx="127">
                  <c:v>46.057226003749953</c:v>
                </c:pt>
                <c:pt idx="128">
                  <c:v>45.679077379048387</c:v>
                </c:pt>
                <c:pt idx="129">
                  <c:v>45.30113961854088</c:v>
                </c:pt>
                <c:pt idx="130">
                  <c:v>44.923451609180731</c:v>
                </c:pt>
                <c:pt idx="131">
                  <c:v>44.546052436055284</c:v>
                </c:pt>
                <c:pt idx="132">
                  <c:v>44.168981409571231</c:v>
                </c:pt>
                <c:pt idx="133">
                  <c:v>43.792278091170303</c:v>
                </c:pt>
                <c:pt idx="134">
                  <c:v>43.415982317368282</c:v>
                </c:pt>
                <c:pt idx="135">
                  <c:v>43.040134221907095</c:v>
                </c:pt>
                <c:pt idx="136">
                  <c:v>42.664774255809554</c:v>
                </c:pt>
                <c:pt idx="137">
                  <c:v>42.289943205117751</c:v>
                </c:pt>
                <c:pt idx="138">
                  <c:v>41.915682206102439</c:v>
                </c:pt>
                <c:pt idx="139">
                  <c:v>41.542032757718836</c:v>
                </c:pt>
                <c:pt idx="140">
                  <c:v>41.169036731091722</c:v>
                </c:pt>
                <c:pt idx="141">
                  <c:v>40.796736375805864</c:v>
                </c:pt>
                <c:pt idx="142">
                  <c:v>40.425174322783768</c:v>
                </c:pt>
                <c:pt idx="143">
                  <c:v>40.054393583531521</c:v>
                </c:pt>
                <c:pt idx="144">
                  <c:v>39.684437545536703</c:v>
                </c:pt>
                <c:pt idx="145">
                  <c:v>39.315349963611588</c:v>
                </c:pt>
                <c:pt idx="146">
                  <c:v>38.947174946977668</c:v>
                </c:pt>
                <c:pt idx="147">
                  <c:v>38.579956941899994</c:v>
                </c:pt>
                <c:pt idx="148">
                  <c:v>38.213740709690555</c:v>
                </c:pt>
                <c:pt idx="149">
                  <c:v>37.848571299915072</c:v>
                </c:pt>
                <c:pt idx="150">
                  <c:v>37.484494018654949</c:v>
                </c:pt>
                <c:pt idx="151">
                  <c:v>37.121554391695547</c:v>
                </c:pt>
                <c:pt idx="152">
                  <c:v>36.759798122538513</c:v>
                </c:pt>
                <c:pt idx="153">
                  <c:v>36.399271045157704</c:v>
                </c:pt>
                <c:pt idx="154">
                  <c:v>36.040019071454054</c:v>
                </c:pt>
                <c:pt idx="155">
                  <c:v>35.682088133394039</c:v>
                </c:pt>
                <c:pt idx="156">
                  <c:v>35.325524119854748</c:v>
                </c:pt>
                <c:pt idx="157">
                  <c:v>34.970372808238572</c:v>
                </c:pt>
                <c:pt idx="158">
                  <c:v>34.616679790962905</c:v>
                </c:pt>
                <c:pt idx="159">
                  <c:v>34.26449039697691</c:v>
                </c:pt>
                <c:pt idx="160">
                  <c:v>33.913849608504073</c:v>
                </c:pt>
                <c:pt idx="161">
                  <c:v>33.564801973260955</c:v>
                </c:pt>
                <c:pt idx="162">
                  <c:v>33.217391512454022</c:v>
                </c:pt>
                <c:pt idx="163">
                  <c:v>32.871661624907176</c:v>
                </c:pt>
                <c:pt idx="164">
                  <c:v>32.527654987730507</c:v>
                </c:pt>
                <c:pt idx="165">
                  <c:v>32.185413453987685</c:v>
                </c:pt>
                <c:pt idx="166">
                  <c:v>31.844977947875019</c:v>
                </c:pt>
                <c:pt idx="167">
                  <c:v>31.506388357975098</c:v>
                </c:pt>
                <c:pt idx="168">
                  <c:v>31.169683429190851</c:v>
                </c:pt>
                <c:pt idx="169">
                  <c:v>30.834900654015019</c:v>
                </c:pt>
                <c:pt idx="170">
                  <c:v>30.502076163821389</c:v>
                </c:pt>
                <c:pt idx="171">
                  <c:v>30.171244620905249</c:v>
                </c:pt>
                <c:pt idx="172">
                  <c:v>29.842439112018834</c:v>
                </c:pt>
                <c:pt idx="173">
                  <c:v>29.515691044173693</c:v>
                </c:pt>
                <c:pt idx="174">
                  <c:v>29.191030043489384</c:v>
                </c:pt>
                <c:pt idx="175">
                  <c:v>28.868483857872175</c:v>
                </c:pt>
                <c:pt idx="176">
                  <c:v>28.548078264302326</c:v>
                </c:pt>
                <c:pt idx="177">
                  <c:v>28.22983698149028</c:v>
                </c:pt>
                <c:pt idx="178">
                  <c:v>27.913781588640859</c:v>
                </c:pt>
                <c:pt idx="179">
                  <c:v>27.599931451026535</c:v>
                </c:pt>
                <c:pt idx="180">
                  <c:v>27.288303653029409</c:v>
                </c:pt>
                <c:pt idx="181">
                  <c:v>26.97891293925629</c:v>
                </c:pt>
                <c:pt idx="182">
                  <c:v>26.671771664271269</c:v>
                </c:pt>
                <c:pt idx="183">
                  <c:v>26.366889751420377</c:v>
                </c:pt>
                <c:pt idx="184">
                  <c:v>26.064274661145102</c:v>
                </c:pt>
                <c:pt idx="185">
                  <c:v>25.763931369102458</c:v>
                </c:pt>
                <c:pt idx="186">
                  <c:v>25.465862354317707</c:v>
                </c:pt>
                <c:pt idx="187">
                  <c:v>25.170067597510783</c:v>
                </c:pt>
                <c:pt idx="188">
                  <c:v>24.876544589640758</c:v>
                </c:pt>
                <c:pt idx="189">
                  <c:v>24.585288350621639</c:v>
                </c:pt>
                <c:pt idx="190">
                  <c:v>24.296291458070719</c:v>
                </c:pt>
                <c:pt idx="191">
                  <c:v>24.009544085859787</c:v>
                </c:pt>
                <c:pt idx="192">
                  <c:v>23.72503405215372</c:v>
                </c:pt>
                <c:pt idx="193">
                  <c:v>23.442746876539037</c:v>
                </c:pt>
                <c:pt idx="194">
                  <c:v>23.162665845769965</c:v>
                </c:pt>
                <c:pt idx="195">
                  <c:v>22.884772087590282</c:v>
                </c:pt>
                <c:pt idx="196">
                  <c:v>22.609044652029361</c:v>
                </c:pt>
                <c:pt idx="197">
                  <c:v>22.335460599518015</c:v>
                </c:pt>
                <c:pt idx="198">
                  <c:v>22.063995095128547</c:v>
                </c:pt>
                <c:pt idx="199">
                  <c:v>21.794621508207182</c:v>
                </c:pt>
                <c:pt idx="200">
                  <c:v>21.527311516646282</c:v>
                </c:pt>
                <c:pt idx="201">
                  <c:v>21.262035215027943</c:v>
                </c:pt>
                <c:pt idx="202">
                  <c:v>20.998761225865383</c:v>
                </c:pt>
                <c:pt idx="203">
                  <c:v>20.737456813173672</c:v>
                </c:pt>
                <c:pt idx="204">
                  <c:v>20.47808799761302</c:v>
                </c:pt>
                <c:pt idx="205">
                  <c:v>20.220619672469237</c:v>
                </c:pt>
                <c:pt idx="206">
                  <c:v>19.965015719761887</c:v>
                </c:pt>
                <c:pt idx="207">
                  <c:v>19.711239125805445</c:v>
                </c:pt>
                <c:pt idx="208">
                  <c:v>19.459252095588404</c:v>
                </c:pt>
                <c:pt idx="209">
                  <c:v>19.209016165377136</c:v>
                </c:pt>
                <c:pt idx="210">
                  <c:v>18.960492313000273</c:v>
                </c:pt>
                <c:pt idx="211">
                  <c:v>18.713641065318409</c:v>
                </c:pt>
                <c:pt idx="212">
                  <c:v>18.468422602436476</c:v>
                </c:pt>
                <c:pt idx="213">
                  <c:v>18.224796858267098</c:v>
                </c:pt>
                <c:pt idx="214">
                  <c:v>17.982723617109226</c:v>
                </c:pt>
                <c:pt idx="215">
                  <c:v>17.742162605955624</c:v>
                </c:pt>
                <c:pt idx="216">
                  <c:v>17.503073582296999</c:v>
                </c:pt>
                <c:pt idx="217">
                  <c:v>17.26541641723848</c:v>
                </c:pt>
                <c:pt idx="218">
                  <c:v>17.02915117379149</c:v>
                </c:pt>
                <c:pt idx="219">
                  <c:v>16.794238180252279</c:v>
                </c:pt>
                <c:pt idx="220">
                  <c:v>16.560638098614511</c:v>
                </c:pt>
                <c:pt idx="221">
                  <c:v>16.328311988010213</c:v>
                </c:pt>
                <c:pt idx="222">
                  <c:v>16.097221363201129</c:v>
                </c:pt>
                <c:pt idx="223">
                  <c:v>15.867328248180845</c:v>
                </c:pt>
                <c:pt idx="224">
                  <c:v>15.638595224974344</c:v>
                </c:pt>
                <c:pt idx="225">
                  <c:v>15.41098547774741</c:v>
                </c:pt>
                <c:pt idx="226">
                  <c:v>15.184462832361092</c:v>
                </c:pt>
                <c:pt idx="227">
                  <c:v>14.958991791524518</c:v>
                </c:pt>
                <c:pt idx="228">
                  <c:v>14.734537565716622</c:v>
                </c:pt>
                <c:pt idx="229">
                  <c:v>14.511066100058052</c:v>
                </c:pt>
                <c:pt idx="230">
                  <c:v>14.288544097326403</c:v>
                </c:pt>
                <c:pt idx="231">
                  <c:v>14.066939037315443</c:v>
                </c:pt>
                <c:pt idx="232">
                  <c:v>13.846219192742687</c:v>
                </c:pt>
                <c:pt idx="233">
                  <c:v>13.626353641912743</c:v>
                </c:pt>
                <c:pt idx="234">
                  <c:v>13.407312278348344</c:v>
                </c:pt>
                <c:pt idx="235">
                  <c:v>13.189065817594638</c:v>
                </c:pt>
                <c:pt idx="236">
                  <c:v>12.971585801404469</c:v>
                </c:pt>
                <c:pt idx="237">
                  <c:v>12.754844599507864</c:v>
                </c:pt>
                <c:pt idx="238">
                  <c:v>12.538815409162126</c:v>
                </c:pt>
                <c:pt idx="239">
                  <c:v>12.32347225267706</c:v>
                </c:pt>
                <c:pt idx="240">
                  <c:v>12.108789973099922</c:v>
                </c:pt>
                <c:pt idx="241">
                  <c:v>11.894744228239437</c:v>
                </c:pt>
                <c:pt idx="242">
                  <c:v>11.681311483200567</c:v>
                </c:pt>
                <c:pt idx="243">
                  <c:v>11.468469001593412</c:v>
                </c:pt>
                <c:pt idx="244">
                  <c:v>11.256194835572089</c:v>
                </c:pt>
                <c:pt idx="245">
                  <c:v>11.044467814849071</c:v>
                </c:pt>
                <c:pt idx="246">
                  <c:v>10.833267534826426</c:v>
                </c:pt>
                <c:pt idx="247">
                  <c:v>10.622574343971554</c:v>
                </c:pt>
                <c:pt idx="248">
                  <c:v>10.412369330561589</c:v>
                </c:pt>
                <c:pt idx="249">
                  <c:v>10.202634308909326</c:v>
                </c:pt>
                <c:pt idx="250">
                  <c:v>9.9933518051780919</c:v>
                </c:pt>
                <c:pt idx="251">
                  <c:v>9.7845050428822624</c:v>
                </c:pt>
                <c:pt idx="252">
                  <c:v>9.5760779281667148</c:v>
                </c:pt>
                <c:pt idx="253">
                  <c:v>9.3680550349479592</c:v>
                </c:pt>
                <c:pt idx="254">
                  <c:v>9.1604215899946269</c:v>
                </c:pt>
                <c:pt idx="255">
                  <c:v>8.9531634580181496</c:v>
                </c:pt>
                <c:pt idx="256">
                  <c:v>8.746267126839518</c:v>
                </c:pt>
                <c:pt idx="257">
                  <c:v>8.5397196926891787</c:v>
                </c:pt>
                <c:pt idx="258">
                  <c:v>8.3335088456962954</c:v>
                </c:pt>
                <c:pt idx="259">
                  <c:v>8.1276228556136161</c:v>
                </c:pt>
                <c:pt idx="260">
                  <c:v>7.9220505578244671</c:v>
                </c:pt>
                <c:pt idx="261">
                  <c:v>7.716781339668942</c:v>
                </c:pt>
                <c:pt idx="262">
                  <c:v>7.5118051271272188</c:v>
                </c:pt>
                <c:pt idx="263">
                  <c:v>7.3071123718899464</c:v>
                </c:pt>
                <c:pt idx="264">
                  <c:v>7.1026940388453728</c:v>
                </c:pt>
                <c:pt idx="265">
                  <c:v>6.8985415940083081</c:v>
                </c:pt>
                <c:pt idx="266">
                  <c:v>6.6946469929114478</c:v>
                </c:pt>
                <c:pt idx="267">
                  <c:v>6.4910026694827492</c:v>
                </c:pt>
                <c:pt idx="268">
                  <c:v>6.2876015254215698</c:v>
                </c:pt>
                <c:pt idx="269">
                  <c:v>6.0844369200924131</c:v>
                </c:pt>
                <c:pt idx="270">
                  <c:v>5.8815026609477759</c:v>
                </c:pt>
                <c:pt idx="271">
                  <c:v>5.6787929944915767</c:v>
                </c:pt>
                <c:pt idx="272">
                  <c:v>5.4763025977951081</c:v>
                </c:pt>
                <c:pt idx="273">
                  <c:v>5.2740265705713076</c:v>
                </c:pt>
                <c:pt idx="274">
                  <c:v>5.0719604278173946</c:v>
                </c:pt>
                <c:pt idx="275">
                  <c:v>4.8701000930306488</c:v>
                </c:pt>
                <c:pt idx="276">
                  <c:v>4.6684418920039734</c:v>
                </c:pt>
                <c:pt idx="277">
                  <c:v>4.4669825472057987</c:v>
                </c:pt>
                <c:pt idx="278">
                  <c:v>4.2657191727468664</c:v>
                </c:pt>
                <c:pt idx="279">
                  <c:v>4.0646492699405092</c:v>
                </c:pt>
                <c:pt idx="280">
                  <c:v>3.8637707234566472</c:v>
                </c:pt>
                <c:pt idx="281">
                  <c:v>3.6630817980732044</c:v>
                </c:pt>
                <c:pt idx="282">
                  <c:v>3.4625811360282519</c:v>
                </c:pt>
                <c:pt idx="283">
                  <c:v>3.2622677549735495</c:v>
                </c:pt>
                <c:pt idx="284">
                  <c:v>3.062141046531202</c:v>
                </c:pt>
                <c:pt idx="285">
                  <c:v>2.862200775458112</c:v>
                </c:pt>
                <c:pt idx="286">
                  <c:v>2.6624470794151378</c:v>
                </c:pt>
                <c:pt idx="287">
                  <c:v>2.4628804693469246</c:v>
                </c:pt>
                <c:pt idx="288">
                  <c:v>2.263501830471002</c:v>
                </c:pt>
                <c:pt idx="289">
                  <c:v>2.064312423878842</c:v>
                </c:pt>
                <c:pt idx="290">
                  <c:v>1.8653138887492784</c:v>
                </c:pt>
                <c:pt idx="291">
                  <c:v>1.6665082451769835</c:v>
                </c:pt>
                <c:pt idx="292">
                  <c:v>1.4678978976143899</c:v>
                </c:pt>
                <c:pt idx="293">
                  <c:v>1.2694856389316003</c:v>
                </c:pt>
                <c:pt idx="294">
                  <c:v>1.0712746550911607</c:v>
                </c:pt>
                <c:pt idx="295">
                  <c:v>0.87326853044159369</c:v>
                </c:pt>
                <c:pt idx="296">
                  <c:v>0.6754712536269627</c:v>
                </c:pt>
                <c:pt idx="297">
                  <c:v>0.47788722411577772</c:v>
                </c:pt>
                <c:pt idx="298">
                  <c:v>0.28052125934415989</c:v>
                </c:pt>
                <c:pt idx="299">
                  <c:v>8.3378602477004127E-2</c:v>
                </c:pt>
                <c:pt idx="300">
                  <c:v>-0.11353506921862608</c:v>
                </c:pt>
                <c:pt idx="301">
                  <c:v>-0.31021363538753977</c:v>
                </c:pt>
                <c:pt idx="302">
                  <c:v>-0.50665052299257829</c:v>
                </c:pt>
                <c:pt idx="303">
                  <c:v>-0.70283869611737948</c:v>
                </c:pt>
                <c:pt idx="304">
                  <c:v>-0.89877064517011807</c:v>
                </c:pt>
                <c:pt idx="305">
                  <c:v>-1.0944383754959195</c:v>
                </c:pt>
                <c:pt idx="306">
                  <c:v>-1.2898333954058572</c:v>
                </c:pt>
                <c:pt idx="307">
                  <c:v>-1.4849467036324135</c:v>
                </c:pt>
                <c:pt idx="308">
                  <c:v>-1.6797687762238058</c:v>
                </c:pt>
                <c:pt idx="309">
                  <c:v>-1.8742895528897758</c:v>
                </c:pt>
                <c:pt idx="310">
                  <c:v>-2.0684984228168481</c:v>
                </c:pt>
                <c:pt idx="311">
                  <c:v>-2.2623842099701656</c:v>
                </c:pt>
                <c:pt idx="312">
                  <c:v>-2.4559351579050452</c:v>
                </c:pt>
                <c:pt idx="313">
                  <c:v>-2.6491389141121422</c:v>
                </c:pt>
                <c:pt idx="314">
                  <c:v>-2.841982513925239</c:v>
                </c:pt>
                <c:pt idx="315">
                  <c:v>-3.0344523640223011</c:v>
                </c:pt>
                <c:pt idx="316">
                  <c:v>-3.2265342255582175</c:v>
                </c:pt>
                <c:pt idx="317">
                  <c:v>-3.4182131969673071</c:v>
                </c:pt>
                <c:pt idx="318">
                  <c:v>-3.6094736964820875</c:v>
                </c:pt>
                <c:pt idx="319">
                  <c:v>-3.8002994444193683</c:v>
                </c:pt>
                <c:pt idx="320">
                  <c:v>-3.9906734452873751</c:v>
                </c:pt>
                <c:pt idx="321">
                  <c:v>-4.1805779697784908</c:v>
                </c:pt>
                <c:pt idx="322">
                  <c:v>-4.3699945367126061</c:v>
                </c:pt>
                <c:pt idx="323">
                  <c:v>-4.5589038950092133</c:v>
                </c:pt>
                <c:pt idx="324">
                  <c:v>-4.7472860057661119</c:v>
                </c:pt>
                <c:pt idx="325">
                  <c:v>-4.935120024537393</c:v>
                </c:pt>
                <c:pt idx="326">
                  <c:v>-5.122384283904621</c:v>
                </c:pt>
                <c:pt idx="327">
                  <c:v>-5.3090562764484979</c:v>
                </c:pt>
                <c:pt idx="328">
                  <c:v>-5.495112638232329</c:v>
                </c:pt>
                <c:pt idx="329">
                  <c:v>-5.6805291329207366</c:v>
                </c:pt>
                <c:pt idx="330">
                  <c:v>-5.8652806366641306</c:v>
                </c:pt>
                <c:pt idx="331">
                  <c:v>-6.0493411238884782</c:v>
                </c:pt>
                <c:pt idx="332">
                  <c:v>-6.2326836541403523</c:v>
                </c:pt>
                <c:pt idx="333">
                  <c:v>-6.4152803601462978</c:v>
                </c:pt>
                <c:pt idx="334">
                  <c:v>-6.5971024372529783</c:v>
                </c:pt>
                <c:pt idx="335">
                  <c:v>-6.7781201344268585</c:v>
                </c:pt>
                <c:pt idx="336">
                  <c:v>-6.9583027469989087</c:v>
                </c:pt>
                <c:pt idx="337">
                  <c:v>-7.1376186113491649</c:v>
                </c:pt>
                <c:pt idx="338">
                  <c:v>-7.3160351017351335</c:v>
                </c:pt>
                <c:pt idx="339">
                  <c:v>-7.4935186294727982</c:v>
                </c:pt>
                <c:pt idx="340">
                  <c:v>-7.6700346446901637</c:v>
                </c:pt>
                <c:pt idx="341">
                  <c:v>-7.845547640876446</c:v>
                </c:pt>
                <c:pt idx="342">
                  <c:v>-8.020021162453391</c:v>
                </c:pt>
                <c:pt idx="343">
                  <c:v>-8.1934178156040041</c:v>
                </c:pt>
                <c:pt idx="344">
                  <c:v>-8.3656992825905192</c:v>
                </c:pt>
                <c:pt idx="345">
                  <c:v>-8.5368263397980026</c:v>
                </c:pt>
                <c:pt idx="346">
                  <c:v>-8.7067588797354993</c:v>
                </c:pt>
                <c:pt idx="347">
                  <c:v>-8.8754559372252917</c:v>
                </c:pt>
                <c:pt idx="348">
                  <c:v>-9.0428757200044725</c:v>
                </c:pt>
                <c:pt idx="349">
                  <c:v>-9.2089756439545081</c:v>
                </c:pt>
                <c:pt idx="350">
                  <c:v>-9.3737123731620358</c:v>
                </c:pt>
                <c:pt idx="351">
                  <c:v>-9.5370418650044382</c:v>
                </c:pt>
                <c:pt idx="352">
                  <c:v>-9.6989194204319755</c:v>
                </c:pt>
                <c:pt idx="353">
                  <c:v>-9.8592997396017257</c:v>
                </c:pt>
                <c:pt idx="354">
                  <c:v>-10.018136982994033</c:v>
                </c:pt>
                <c:pt idx="355">
                  <c:v>-10.175384838116987</c:v>
                </c:pt>
                <c:pt idx="356">
                  <c:v>-10.330996591872328</c:v>
                </c:pt>
                <c:pt idx="357">
                  <c:v>-10.484925208627212</c:v>
                </c:pt>
                <c:pt idx="358">
                  <c:v>-10.637123413997502</c:v>
                </c:pt>
                <c:pt idx="359">
                  <c:v>-10.787543784310339</c:v>
                </c:pt>
                <c:pt idx="360">
                  <c:v>-10.93613884167377</c:v>
                </c:pt>
                <c:pt idx="361">
                  <c:v>-11.082861154536232</c:v>
                </c:pt>
                <c:pt idx="362">
                  <c:v>-11.227663443574041</c:v>
                </c:pt>
                <c:pt idx="363">
                  <c:v>-11.370498692698705</c:v>
                </c:pt>
                <c:pt idx="364">
                  <c:v>-11.511320264926868</c:v>
                </c:pt>
                <c:pt idx="365">
                  <c:v>-11.650082022809784</c:v>
                </c:pt>
                <c:pt idx="366">
                  <c:v>-11.786738453070736</c:v>
                </c:pt>
                <c:pt idx="367">
                  <c:v>-11.92124479505247</c:v>
                </c:pt>
                <c:pt idx="368">
                  <c:v>-12.053557172532196</c:v>
                </c:pt>
                <c:pt idx="369">
                  <c:v>-12.183632728422181</c:v>
                </c:pt>
                <c:pt idx="370">
                  <c:v>-12.311429761832546</c:v>
                </c:pt>
                <c:pt idx="371">
                  <c:v>-12.436907866940089</c:v>
                </c:pt>
                <c:pt idx="372">
                  <c:v>-12.560028073080518</c:v>
                </c:pt>
                <c:pt idx="373">
                  <c:v>-12.680752985452727</c:v>
                </c:pt>
                <c:pt idx="374">
                  <c:v>-12.799046925812199</c:v>
                </c:pt>
                <c:pt idx="375">
                  <c:v>-12.914876072515408</c:v>
                </c:pt>
                <c:pt idx="376">
                  <c:v>-13.028208599276866</c:v>
                </c:pt>
                <c:pt idx="377">
                  <c:v>-13.139014812002806</c:v>
                </c:pt>
                <c:pt idx="378">
                  <c:v>-13.24726728307656</c:v>
                </c:pt>
                <c:pt idx="379">
                  <c:v>-13.352940982490182</c:v>
                </c:pt>
                <c:pt idx="380">
                  <c:v>-13.456013405242134</c:v>
                </c:pt>
                <c:pt idx="381">
                  <c:v>-13.556464694451787</c:v>
                </c:pt>
                <c:pt idx="382">
                  <c:v>-13.654277759681978</c:v>
                </c:pt>
                <c:pt idx="383">
                  <c:v>-13.749438390001449</c:v>
                </c:pt>
                <c:pt idx="384">
                  <c:v>-13.841935361368801</c:v>
                </c:pt>
                <c:pt idx="385">
                  <c:v>-13.931760537969204</c:v>
                </c:pt>
                <c:pt idx="386">
                  <c:v>-14.018908967187418</c:v>
                </c:pt>
                <c:pt idx="387">
                  <c:v>-14.103378967954974</c:v>
                </c:pt>
                <c:pt idx="388">
                  <c:v>-14.185172212262209</c:v>
                </c:pt>
                <c:pt idx="389">
                  <c:v>-14.264293799675656</c:v>
                </c:pt>
                <c:pt idx="390">
                  <c:v>-14.340752324750357</c:v>
                </c:pt>
                <c:pt idx="391">
                  <c:v>-14.414559937269498</c:v>
                </c:pt>
                <c:pt idx="392">
                  <c:v>-14.485732395282621</c:v>
                </c:pt>
                <c:pt idx="393">
                  <c:v>-14.55428911094276</c:v>
                </c:pt>
                <c:pt idx="394">
                  <c:v>-14.620253189173338</c:v>
                </c:pt>
                <c:pt idx="395">
                  <c:v>-14.683651459204068</c:v>
                </c:pt>
                <c:pt idx="396">
                  <c:v>-14.744514499033656</c:v>
                </c:pt>
                <c:pt idx="397">
                  <c:v>-14.802876652870278</c:v>
                </c:pt>
                <c:pt idx="398">
                  <c:v>-14.858776041599633</c:v>
                </c:pt>
                <c:pt idx="399">
                  <c:v>-14.912254566314655</c:v>
                </c:pt>
                <c:pt idx="400">
                  <c:v>-14.963357904921185</c:v>
                </c:pt>
                <c:pt idx="401">
                  <c:v>-15.012135501806338</c:v>
                </c:pt>
                <c:pt idx="402">
                  <c:v>-15.058640550531504</c:v>
                </c:pt>
                <c:pt idx="403">
                  <c:v>-15.102929969472726</c:v>
                </c:pt>
                <c:pt idx="404">
                  <c:v>-15.145064370301117</c:v>
                </c:pt>
                <c:pt idx="405">
                  <c:v>-15.185108019161987</c:v>
                </c:pt>
                <c:pt idx="406">
                  <c:v>-15.223128790374819</c:v>
                </c:pt>
                <c:pt idx="407">
                  <c:v>-15.259198112454399</c:v>
                </c:pt>
                <c:pt idx="408">
                  <c:v>-15.293390906222895</c:v>
                </c:pt>
                <c:pt idx="409">
                  <c:v>-15.325785514770754</c:v>
                </c:pt>
                <c:pt idx="410">
                  <c:v>-15.356463625013493</c:v>
                </c:pt>
                <c:pt idx="411">
                  <c:v>-15.385510180589449</c:v>
                </c:pt>
                <c:pt idx="412">
                  <c:v>-15.413013285859032</c:v>
                </c:pt>
                <c:pt idx="413">
                  <c:v>-15.439064100780557</c:v>
                </c:pt>
                <c:pt idx="414">
                  <c:v>-15.463756726474562</c:v>
                </c:pt>
                <c:pt idx="415">
                  <c:v>-15.487188081327846</c:v>
                </c:pt>
                <c:pt idx="416">
                  <c:v>-15.509457767544252</c:v>
                </c:pt>
                <c:pt idx="417">
                  <c:v>-15.530667928111626</c:v>
                </c:pt>
                <c:pt idx="418">
                  <c:v>-15.550923094226272</c:v>
                </c:pt>
                <c:pt idx="419">
                  <c:v>-15.570330023299853</c:v>
                </c:pt>
                <c:pt idx="420">
                  <c:v>-15.588997527756415</c:v>
                </c:pt>
                <c:pt idx="421">
                  <c:v>-15.607036294923047</c:v>
                </c:pt>
                <c:pt idx="422">
                  <c:v>-15.624558698409384</c:v>
                </c:pt>
                <c:pt idx="423">
                  <c:v>-15.64167860146928</c:v>
                </c:pt>
                <c:pt idx="424">
                  <c:v>-15.658511152929446</c:v>
                </c:pt>
                <c:pt idx="425">
                  <c:v>-15.675172576365458</c:v>
                </c:pt>
                <c:pt idx="426">
                  <c:v>-15.691779953286765</c:v>
                </c:pt>
                <c:pt idx="427">
                  <c:v>-15.708451001177847</c:v>
                </c:pt>
                <c:pt idx="428">
                  <c:v>-15.725303847306533</c:v>
                </c:pt>
                <c:pt idx="429">
                  <c:v>-15.742456799277138</c:v>
                </c:pt>
                <c:pt idx="430">
                  <c:v>-15.760028113354061</c:v>
                </c:pt>
                <c:pt idx="431">
                  <c:v>-15.778135761615255</c:v>
                </c:pt>
                <c:pt idx="432">
                  <c:v>-15.796897199025878</c:v>
                </c:pt>
                <c:pt idx="433">
                  <c:v>-15.816429131529974</c:v>
                </c:pt>
                <c:pt idx="434">
                  <c:v>-15.836847286256289</c:v>
                </c:pt>
                <c:pt idx="435">
                  <c:v>-15.858266184925125</c:v>
                </c:pt>
                <c:pt idx="436">
                  <c:v>-15.880798921512341</c:v>
                </c:pt>
                <c:pt idx="437">
                  <c:v>-15.904556945194358</c:v>
                </c:pt>
                <c:pt idx="438">
                  <c:v>-15.929649849548451</c:v>
                </c:pt>
                <c:pt idx="439">
                  <c:v>-15.956185168931514</c:v>
                </c:pt>
                <c:pt idx="440">
                  <c:v>-15.984268182894548</c:v>
                </c:pt>
                <c:pt idx="441">
                  <c:v>-16.014001729428649</c:v>
                </c:pt>
                <c:pt idx="442">
                  <c:v>-16.04548602776179</c:v>
                </c:pt>
                <c:pt idx="443">
                  <c:v>-16.078818511357255</c:v>
                </c:pt>
                <c:pt idx="444">
                  <c:v>-16.114093671687627</c:v>
                </c:pt>
                <c:pt idx="445">
                  <c:v>-16.151402913286322</c:v>
                </c:pt>
                <c:pt idx="446">
                  <c:v>-16.190834420506441</c:v>
                </c:pt>
                <c:pt idx="447">
                  <c:v>-16.232473036346125</c:v>
                </c:pt>
                <c:pt idx="448">
                  <c:v>-16.276400153637379</c:v>
                </c:pt>
                <c:pt idx="449">
                  <c:v>-16.322693618827813</c:v>
                </c:pt>
                <c:pt idx="450">
                  <c:v>-16.371427648531277</c:v>
                </c:pt>
                <c:pt idx="451">
                  <c:v>-16.422672758968179</c:v>
                </c:pt>
                <c:pt idx="452">
                  <c:v>-16.476495708365132</c:v>
                </c:pt>
                <c:pt idx="453">
                  <c:v>-16.532959452340204</c:v>
                </c:pt>
                <c:pt idx="454">
                  <c:v>-16.5921231122554</c:v>
                </c:pt>
                <c:pt idx="455">
                  <c:v>-16.654041956478135</c:v>
                </c:pt>
                <c:pt idx="456">
                  <c:v>-16.718767394458453</c:v>
                </c:pt>
                <c:pt idx="457">
                  <c:v>-16.786346983485963</c:v>
                </c:pt>
                <c:pt idx="458">
                  <c:v>-16.856824447962936</c:v>
                </c:pt>
                <c:pt idx="459">
                  <c:v>-16.930239710985905</c:v>
                </c:pt>
                <c:pt idx="460">
                  <c:v>-17.0066289379984</c:v>
                </c:pt>
                <c:pt idx="461">
                  <c:v>-17.08602459223496</c:v>
                </c:pt>
                <c:pt idx="462">
                  <c:v>-17.168455501642864</c:v>
                </c:pt>
                <c:pt idx="463">
                  <c:v>-17.253946936923231</c:v>
                </c:pt>
                <c:pt idx="464">
                  <c:v>-17.342520700293292</c:v>
                </c:pt>
                <c:pt idx="465">
                  <c:v>-17.434195224532075</c:v>
                </c:pt>
                <c:pt idx="466">
                  <c:v>-17.528985681820782</c:v>
                </c:pt>
                <c:pt idx="467">
                  <c:v>-17.62690410185067</c:v>
                </c:pt>
                <c:pt idx="468">
                  <c:v>-17.727959498623896</c:v>
                </c:pt>
                <c:pt idx="469">
                  <c:v>-17.832158005326175</c:v>
                </c:pt>
                <c:pt idx="470">
                  <c:v>-17.939503016612719</c:v>
                </c:pt>
                <c:pt idx="471">
                  <c:v>-18.049995337601988</c:v>
                </c:pt>
                <c:pt idx="472">
                  <c:v>-18.163633338835648</c:v>
                </c:pt>
                <c:pt idx="473">
                  <c:v>-18.280413116429944</c:v>
                </c:pt>
                <c:pt idx="474">
                  <c:v>-18.400328656608657</c:v>
                </c:pt>
                <c:pt idx="475">
                  <c:v>-18.523372003785823</c:v>
                </c:pt>
                <c:pt idx="476">
                  <c:v>-18.649533431342334</c:v>
                </c:pt>
                <c:pt idx="477">
                  <c:v>-18.778801614228456</c:v>
                </c:pt>
                <c:pt idx="478">
                  <c:v>-18.91116380251097</c:v>
                </c:pt>
                <c:pt idx="479">
                  <c:v>-19.046605994986493</c:v>
                </c:pt>
                <c:pt idx="480">
                  <c:v>-19.185113111979664</c:v>
                </c:pt>
                <c:pt idx="481">
                  <c:v>-19.326669166459144</c:v>
                </c:pt>
                <c:pt idx="482">
                  <c:v>-19.471257432618337</c:v>
                </c:pt>
                <c:pt idx="483">
                  <c:v>-19.618860611087868</c:v>
                </c:pt>
                <c:pt idx="484">
                  <c:v>-19.769460989975656</c:v>
                </c:pt>
                <c:pt idx="485">
                  <c:v>-19.923040600960924</c:v>
                </c:pt>
                <c:pt idx="486">
                  <c:v>-20.079581369704286</c:v>
                </c:pt>
                <c:pt idx="487">
                  <c:v>-20.239065259877194</c:v>
                </c:pt>
                <c:pt idx="488">
                  <c:v>-20.401474410155696</c:v>
                </c:pt>
                <c:pt idx="489">
                  <c:v>-20.5667912635721</c:v>
                </c:pt>
                <c:pt idx="490">
                  <c:v>-20.734998688663211</c:v>
                </c:pt>
                <c:pt idx="491">
                  <c:v>-20.906080091908468</c:v>
                </c:pt>
                <c:pt idx="492">
                  <c:v>-21.080019520997645</c:v>
                </c:pt>
                <c:pt idx="493">
                  <c:v>-21.256801758524478</c:v>
                </c:pt>
                <c:pt idx="494">
                  <c:v>-21.436412405754602</c:v>
                </c:pt>
                <c:pt idx="495">
                  <c:v>-21.618837956168356</c:v>
                </c:pt>
                <c:pt idx="496">
                  <c:v>-21.8040658585331</c:v>
                </c:pt>
                <c:pt idx="497">
                  <c:v>-21.992084569313413</c:v>
                </c:pt>
                <c:pt idx="498">
                  <c:v>-22.182883594281186</c:v>
                </c:pt>
                <c:pt idx="499">
                  <c:v>-22.376453519238954</c:v>
                </c:pt>
                <c:pt idx="500">
                  <c:v>-22.572786029824581</c:v>
                </c:pt>
                <c:pt idx="501">
                  <c:v>-22.771873920415921</c:v>
                </c:pt>
                <c:pt idx="502">
                  <c:v>-22.973711092209285</c:v>
                </c:pt>
                <c:pt idx="503">
                  <c:v>-23.178292540594754</c:v>
                </c:pt>
                <c:pt idx="504">
                  <c:v>-23.385614332008259</c:v>
                </c:pt>
                <c:pt idx="505">
                  <c:v>-23.5956735704873</c:v>
                </c:pt>
                <c:pt idx="506">
                  <c:v>-23.808468354215737</c:v>
                </c:pt>
                <c:pt idx="507">
                  <c:v>-24.023997722392323</c:v>
                </c:pt>
                <c:pt idx="508">
                  <c:v>-24.242261592811936</c:v>
                </c:pt>
                <c:pt idx="509">
                  <c:v>-24.463260690600215</c:v>
                </c:pt>
                <c:pt idx="510">
                  <c:v>-24.686996468597986</c:v>
                </c:pt>
                <c:pt idx="511">
                  <c:v>-24.913471019939625</c:v>
                </c:pt>
                <c:pt idx="512">
                  <c:v>-25.14268698342519</c:v>
                </c:pt>
                <c:pt idx="513">
                  <c:v>-25.374647442332133</c:v>
                </c:pt>
                <c:pt idx="514">
                  <c:v>-25.609355817365461</c:v>
                </c:pt>
                <c:pt idx="515">
                  <c:v>-25.846815754484638</c:v>
                </c:pt>
                <c:pt idx="516">
                  <c:v>-26.087031008396725</c:v>
                </c:pt>
                <c:pt idx="517">
                  <c:v>-26.330005322535847</c:v>
                </c:pt>
                <c:pt idx="518">
                  <c:v>-26.575742306391874</c:v>
                </c:pt>
                <c:pt idx="519">
                  <c:v>-26.824245311074186</c:v>
                </c:pt>
                <c:pt idx="520">
                  <c:v>-27.075517304026036</c:v>
                </c:pt>
                <c:pt idx="521">
                  <c:v>-27.329560743818181</c:v>
                </c:pt>
                <c:pt idx="522">
                  <c:v>-27.586377455962317</c:v>
                </c:pt>
                <c:pt idx="523">
                  <c:v>-27.845968510687307</c:v>
                </c:pt>
                <c:pt idx="524">
                  <c:v>-28.108334103612695</c:v>
                </c:pt>
                <c:pt idx="525">
                  <c:v>-28.373473440241824</c:v>
                </c:pt>
                <c:pt idx="526">
                  <c:v>-28.641384625168293</c:v>
                </c:pt>
                <c:pt idx="527">
                  <c:v>-28.912064556861022</c:v>
                </c:pt>
                <c:pt idx="528">
                  <c:v>-29.185508828843332</c:v>
                </c:pt>
                <c:pt idx="529">
                  <c:v>-29.461711638037286</c:v>
                </c:pt>
                <c:pt idx="530">
                  <c:v>-29.740665700974517</c:v>
                </c:pt>
                <c:pt idx="531">
                  <c:v>-30.022362178513408</c:v>
                </c:pt>
                <c:pt idx="532">
                  <c:v>-30.306790609620194</c:v>
                </c:pt>
                <c:pt idx="533">
                  <c:v>-30.593938854693086</c:v>
                </c:pt>
                <c:pt idx="534">
                  <c:v>-30.883793048812755</c:v>
                </c:pt>
                <c:pt idx="535">
                  <c:v>-31.176337565217345</c:v>
                </c:pt>
                <c:pt idx="536">
                  <c:v>-31.471554989196846</c:v>
                </c:pt>
                <c:pt idx="537">
                  <c:v>-31.769426102508369</c:v>
                </c:pt>
                <c:pt idx="538">
                  <c:v>-32.069929878310909</c:v>
                </c:pt>
                <c:pt idx="539">
                  <c:v>-32.373043486525496</c:v>
                </c:pt>
                <c:pt idx="540">
                  <c:v>-32.678742309426532</c:v>
                </c:pt>
                <c:pt idx="541">
                  <c:v>-32.986999967184033</c:v>
                </c:pt>
              </c:numCache>
            </c:numRef>
          </c:yVal>
          <c:smooth val="1"/>
          <c:extLst>
            <c:ext xmlns:c16="http://schemas.microsoft.com/office/drawing/2014/chart" uri="{C3380CC4-5D6E-409C-BE32-E72D297353CC}">
              <c16:uniqueId val="{00000000-ECAC-4E20-B866-0DB1B3DE6FE8}"/>
            </c:ext>
          </c:extLst>
        </c:ser>
        <c:ser>
          <c:idx val="2"/>
          <c:order val="2"/>
          <c:tx>
            <c:v>f_LP</c:v>
          </c:tx>
          <c:spPr>
            <a:ln w="38100" cmpd="sng"/>
          </c:spPr>
          <c:marker>
            <c:symbol val="x"/>
            <c:size val="7"/>
            <c:spPr>
              <a:noFill/>
            </c:spPr>
          </c:marker>
          <c:dPt>
            <c:idx val="0"/>
            <c:marker>
              <c:spPr>
                <a:noFill/>
                <a:ln w="19050">
                  <a:solidFill>
                    <a:schemeClr val="tx1"/>
                  </a:solidFill>
                </a:ln>
              </c:spPr>
            </c:marker>
            <c:bubble3D val="0"/>
            <c:extLst>
              <c:ext xmlns:c16="http://schemas.microsoft.com/office/drawing/2014/chart" uri="{C3380CC4-5D6E-409C-BE32-E72D297353CC}">
                <c16:uniqueId val="{00000001-ECAC-4E20-B866-0DB1B3DE6FE8}"/>
              </c:ext>
            </c:extLst>
          </c:dPt>
          <c:dLbls>
            <c:dLbl>
              <c:idx val="0"/>
              <c:tx>
                <c:rich>
                  <a:bodyPr/>
                  <a:lstStyle/>
                  <a:p>
                    <a:r>
                      <a:rPr lang="en-US" sz="1100" b="1"/>
                      <a:t>f</a:t>
                    </a:r>
                    <a:r>
                      <a:rPr lang="en-US" sz="1100" b="1" baseline="-25000"/>
                      <a:t>LP</a:t>
                    </a:r>
                    <a:endParaRPr lang="en-US" b="1" baseline="-25000"/>
                  </a:p>
                </c:rich>
              </c:tx>
              <c:dLblPos val="b"/>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ECAC-4E20-B866-0DB1B3DE6FE8}"/>
                </c:ext>
              </c:extLst>
            </c:dLbl>
            <c:spPr>
              <a:noFill/>
              <a:ln>
                <a:noFill/>
              </a:ln>
              <a:effectLst/>
            </c:spPr>
            <c:dLblPos val="b"/>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Loop_Modeling!$O$11</c:f>
              <c:numCache>
                <c:formatCode>0</c:formatCode>
                <c:ptCount val="1"/>
                <c:pt idx="0">
                  <c:v>40.836080340135858</c:v>
                </c:pt>
              </c:numCache>
            </c:numRef>
          </c:xVal>
          <c:yVal>
            <c:numRef>
              <c:f>Loop_Modeling!$BL$11</c:f>
              <c:numCache>
                <c:formatCode>General</c:formatCode>
                <c:ptCount val="1"/>
                <c:pt idx="0">
                  <c:v>69.722670410826893</c:v>
                </c:pt>
              </c:numCache>
            </c:numRef>
          </c:yVal>
          <c:smooth val="0"/>
          <c:extLst>
            <c:ext xmlns:c16="http://schemas.microsoft.com/office/drawing/2014/chart" uri="{C3380CC4-5D6E-409C-BE32-E72D297353CC}">
              <c16:uniqueId val="{00000002-ECAC-4E20-B866-0DB1B3DE6FE8}"/>
            </c:ext>
          </c:extLst>
        </c:ser>
        <c:ser>
          <c:idx val="3"/>
          <c:order val="3"/>
          <c:tx>
            <c:v>fz_rhp</c:v>
          </c:tx>
          <c:spPr>
            <a:ln>
              <a:solidFill>
                <a:schemeClr val="tx1"/>
              </a:solidFill>
            </a:ln>
          </c:spPr>
          <c:marker>
            <c:symbol val="circle"/>
            <c:size val="7"/>
            <c:spPr>
              <a:noFill/>
              <a:ln w="19050">
                <a:solidFill>
                  <a:schemeClr val="tx1"/>
                </a:solidFill>
              </a:ln>
            </c:spPr>
          </c:marker>
          <c:dLbls>
            <c:dLbl>
              <c:idx val="0"/>
              <c:layout>
                <c:manualLayout>
                  <c:x val="8.0501209561423519E-3"/>
                  <c:y val="-1.5493667278504181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ECAC-4E20-B866-0DB1B3DE6FE8}"/>
                </c:ext>
              </c:extLst>
            </c:dLbl>
            <c:spPr>
              <a:noFill/>
              <a:ln>
                <a:noFill/>
              </a:ln>
              <a:effectLst/>
            </c:spPr>
            <c:txPr>
              <a:bodyPr/>
              <a:lstStyle/>
              <a:p>
                <a:pPr>
                  <a:defRPr b="1"/>
                </a:pPr>
                <a:endParaRPr lang="en-DE"/>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Loop_Modeling!$O$9</c:f>
              <c:numCache>
                <c:formatCode>0</c:formatCode>
                <c:ptCount val="1"/>
                <c:pt idx="0">
                  <c:v>73162.176559985339</c:v>
                </c:pt>
              </c:numCache>
            </c:numRef>
          </c:xVal>
          <c:yVal>
            <c:numRef>
              <c:f>Loop_Modeling!$BL$9</c:f>
              <c:numCache>
                <c:formatCode>General</c:formatCode>
                <c:ptCount val="1"/>
                <c:pt idx="0">
                  <c:v>-13.969445689425971</c:v>
                </c:pt>
              </c:numCache>
            </c:numRef>
          </c:yVal>
          <c:smooth val="1"/>
          <c:extLst>
            <c:ext xmlns:c16="http://schemas.microsoft.com/office/drawing/2014/chart" uri="{C3380CC4-5D6E-409C-BE32-E72D297353CC}">
              <c16:uniqueId val="{00000004-ECAC-4E20-B866-0DB1B3DE6FE8}"/>
            </c:ext>
          </c:extLst>
        </c:ser>
        <c:ser>
          <c:idx val="4"/>
          <c:order val="4"/>
          <c:tx>
            <c:v>f_esr</c:v>
          </c:tx>
          <c:spPr>
            <a:ln>
              <a:noFill/>
            </a:ln>
          </c:spPr>
          <c:marker>
            <c:symbol val="circle"/>
            <c:size val="5"/>
            <c:spPr>
              <a:noFill/>
              <a:ln w="19050">
                <a:solidFill>
                  <a:schemeClr val="tx1"/>
                </a:solidFill>
              </a:ln>
            </c:spPr>
          </c:marker>
          <c:dPt>
            <c:idx val="0"/>
            <c:marker>
              <c:symbol val="circle"/>
              <c:size val="7"/>
            </c:marker>
            <c:bubble3D val="0"/>
            <c:extLst>
              <c:ext xmlns:c16="http://schemas.microsoft.com/office/drawing/2014/chart" uri="{C3380CC4-5D6E-409C-BE32-E72D297353CC}">
                <c16:uniqueId val="{00000005-ECAC-4E20-B866-0DB1B3DE6FE8}"/>
              </c:ext>
            </c:extLst>
          </c:dPt>
          <c:dLbls>
            <c:dLbl>
              <c:idx val="0"/>
              <c:layout>
                <c:manualLayout>
                  <c:x val="-5.990474489899654E-2"/>
                  <c:y val="-1.2457193490087108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ECAC-4E20-B866-0DB1B3DE6FE8}"/>
                </c:ext>
              </c:extLst>
            </c:dLbl>
            <c:spPr>
              <a:noFill/>
              <a:ln>
                <a:noFill/>
              </a:ln>
              <a:effectLst/>
            </c:spPr>
            <c:txPr>
              <a:bodyPr/>
              <a:lstStyle/>
              <a:p>
                <a:pPr>
                  <a:defRPr b="1"/>
                </a:pPr>
                <a:endParaRPr lang="en-DE"/>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Loop_Modeling!$O$10</c:f>
              <c:numCache>
                <c:formatCode>0</c:formatCode>
                <c:ptCount val="1"/>
                <c:pt idx="0">
                  <c:v>159154.94309189534</c:v>
                </c:pt>
              </c:numCache>
            </c:numRef>
          </c:xVal>
          <c:yVal>
            <c:numRef>
              <c:f>Loop_Modeling!$BL$10</c:f>
              <c:numCache>
                <c:formatCode>General</c:formatCode>
                <c:ptCount val="1"/>
                <c:pt idx="0">
                  <c:v>-15.5737795766375</c:v>
                </c:pt>
              </c:numCache>
            </c:numRef>
          </c:yVal>
          <c:smooth val="1"/>
          <c:extLst>
            <c:ext xmlns:c16="http://schemas.microsoft.com/office/drawing/2014/chart" uri="{C3380CC4-5D6E-409C-BE32-E72D297353CC}">
              <c16:uniqueId val="{00000006-ECAC-4E20-B866-0DB1B3DE6FE8}"/>
            </c:ext>
          </c:extLst>
        </c:ser>
        <c:ser>
          <c:idx val="5"/>
          <c:order val="5"/>
          <c:tx>
            <c:v>fz_ea</c:v>
          </c:tx>
          <c:marker>
            <c:symbol val="circle"/>
            <c:size val="8"/>
            <c:spPr>
              <a:noFill/>
              <a:ln w="25400">
                <a:solidFill>
                  <a:srgbClr val="00B0F0"/>
                </a:solidFill>
              </a:ln>
            </c:spPr>
          </c:marker>
          <c:dLbls>
            <c:dLbl>
              <c:idx val="0"/>
              <c:spPr/>
              <c:txPr>
                <a:bodyPr/>
                <a:lstStyle/>
                <a:p>
                  <a:pPr>
                    <a:defRPr b="1"/>
                  </a:pPr>
                  <a:endParaRPr lang="en-DE"/>
                </a:p>
              </c:txPr>
              <c:dLblPos val="b"/>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7-ECAC-4E20-B866-0DB1B3DE6FE8}"/>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Loop_Modeling!$O$12</c:f>
              <c:numCache>
                <c:formatCode>General</c:formatCode>
                <c:ptCount val="1"/>
                <c:pt idx="0">
                  <c:v>723.43155950861512</c:v>
                </c:pt>
              </c:numCache>
            </c:numRef>
          </c:xVal>
          <c:yVal>
            <c:numRef>
              <c:f>Loop_Modeling!$BL$12</c:f>
              <c:numCache>
                <c:formatCode>General</c:formatCode>
                <c:ptCount val="1"/>
                <c:pt idx="0">
                  <c:v>25.781964152585402</c:v>
                </c:pt>
              </c:numCache>
            </c:numRef>
          </c:yVal>
          <c:smooth val="1"/>
          <c:extLst>
            <c:ext xmlns:c16="http://schemas.microsoft.com/office/drawing/2014/chart" uri="{C3380CC4-5D6E-409C-BE32-E72D297353CC}">
              <c16:uniqueId val="{00000008-ECAC-4E20-B866-0DB1B3DE6FE8}"/>
            </c:ext>
          </c:extLst>
        </c:ser>
        <c:ser>
          <c:idx val="6"/>
          <c:order val="6"/>
          <c:tx>
            <c:v>fp_ea</c:v>
          </c:tx>
          <c:marker>
            <c:symbol val="x"/>
            <c:size val="7"/>
            <c:spPr>
              <a:noFill/>
              <a:ln w="25400">
                <a:solidFill>
                  <a:srgbClr val="00B0F0"/>
                </a:solidFill>
              </a:ln>
            </c:spPr>
          </c:marker>
          <c:dLbls>
            <c:dLbl>
              <c:idx val="0"/>
              <c:layout>
                <c:manualLayout>
                  <c:x val="-5.3995739911983948E-2"/>
                  <c:y val="3.3712510009006609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9-ECAC-4E20-B866-0DB1B3DE6FE8}"/>
                </c:ext>
              </c:extLst>
            </c:dLbl>
            <c:spPr>
              <a:noFill/>
              <a:ln>
                <a:noFill/>
              </a:ln>
              <a:effectLst/>
            </c:spPr>
            <c:txPr>
              <a:bodyPr/>
              <a:lstStyle/>
              <a:p>
                <a:pPr>
                  <a:defRPr b="1"/>
                </a:pPr>
                <a:endParaRPr lang="en-DE"/>
              </a:p>
            </c:txPr>
            <c:dLblPos val="b"/>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Loop_Modeling!$O$13</c:f>
              <c:numCache>
                <c:formatCode>General</c:formatCode>
                <c:ptCount val="1"/>
                <c:pt idx="0">
                  <c:v>241867.28472904701</c:v>
                </c:pt>
              </c:numCache>
            </c:numRef>
          </c:xVal>
          <c:yVal>
            <c:numRef>
              <c:f>Loop_Modeling!$BL$13</c:f>
              <c:numCache>
                <c:formatCode>General</c:formatCode>
                <c:ptCount val="1"/>
                <c:pt idx="0">
                  <c:v>-15.913374017057382</c:v>
                </c:pt>
              </c:numCache>
            </c:numRef>
          </c:yVal>
          <c:smooth val="1"/>
          <c:extLst>
            <c:ext xmlns:c16="http://schemas.microsoft.com/office/drawing/2014/chart" uri="{C3380CC4-5D6E-409C-BE32-E72D297353CC}">
              <c16:uniqueId val="{0000000A-ECAC-4E20-B866-0DB1B3DE6FE8}"/>
            </c:ext>
          </c:extLst>
        </c:ser>
        <c:dLbls>
          <c:showLegendKey val="0"/>
          <c:showVal val="0"/>
          <c:showCatName val="0"/>
          <c:showSerName val="0"/>
          <c:showPercent val="0"/>
          <c:showBubbleSize val="0"/>
        </c:dLbls>
        <c:axId val="357835904"/>
        <c:axId val="364477056"/>
      </c:scatterChart>
      <c:scatterChart>
        <c:scatterStyle val="smoothMarker"/>
        <c:varyColors val="0"/>
        <c:ser>
          <c:idx val="1"/>
          <c:order val="1"/>
          <c:tx>
            <c:v>Phase (deg)</c:v>
          </c:tx>
          <c:spPr>
            <a:ln w="28575">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Loop_Modeling!$BM$19:$BM$560</c:f>
              <c:numCache>
                <c:formatCode>General</c:formatCode>
                <c:ptCount val="542"/>
                <c:pt idx="0">
                  <c:v>76.734252053962663</c:v>
                </c:pt>
                <c:pt idx="1">
                  <c:v>76.438697695497339</c:v>
                </c:pt>
                <c:pt idx="2">
                  <c:v>76.137171304511725</c:v>
                </c:pt>
                <c:pt idx="3">
                  <c:v>75.829593358332062</c:v>
                </c:pt>
                <c:pt idx="4">
                  <c:v>75.515886108596305</c:v>
                </c:pt>
                <c:pt idx="5">
                  <c:v>75.195973813564464</c:v>
                </c:pt>
                <c:pt idx="6">
                  <c:v>74.869782982568339</c:v>
                </c:pt>
                <c:pt idx="7">
                  <c:v>74.537242632733708</c:v>
                </c:pt>
                <c:pt idx="8">
                  <c:v>74.198284558049849</c:v>
                </c:pt>
                <c:pt idx="9">
                  <c:v>73.852843610800718</c:v>
                </c:pt>
                <c:pt idx="10">
                  <c:v>73.500857995303335</c:v>
                </c:pt>
                <c:pt idx="11">
                  <c:v>73.142269573819775</c:v>
                </c:pt>
                <c:pt idx="12">
                  <c:v>72.777024184424249</c:v>
                </c:pt>
                <c:pt idx="13">
                  <c:v>72.405071970512338</c:v>
                </c:pt>
                <c:pt idx="14">
                  <c:v>72.026367721535237</c:v>
                </c:pt>
                <c:pt idx="15">
                  <c:v>71.640871224435102</c:v>
                </c:pt>
                <c:pt idx="16">
                  <c:v>71.248547625130087</c:v>
                </c:pt>
                <c:pt idx="17">
                  <c:v>70.849367799276351</c:v>
                </c:pt>
                <c:pt idx="18">
                  <c:v>70.443308731394097</c:v>
                </c:pt>
                <c:pt idx="19">
                  <c:v>70.030353901299591</c:v>
                </c:pt>
                <c:pt idx="20">
                  <c:v>69.610493676639706</c:v>
                </c:pt>
                <c:pt idx="21">
                  <c:v>69.18372571015999</c:v>
                </c:pt>
                <c:pt idx="22">
                  <c:v>68.750055340186321</c:v>
                </c:pt>
                <c:pt idx="23">
                  <c:v>68.30949599262027</c:v>
                </c:pt>
                <c:pt idx="24">
                  <c:v>67.862069582598991</c:v>
                </c:pt>
                <c:pt idx="25">
                  <c:v>67.40780691378103</c:v>
                </c:pt>
                <c:pt idx="26">
                  <c:v>66.946748073074659</c:v>
                </c:pt>
                <c:pt idx="27">
                  <c:v>66.478942818445532</c:v>
                </c:pt>
                <c:pt idx="28">
                  <c:v>66.004450957293926</c:v>
                </c:pt>
                <c:pt idx="29">
                  <c:v>65.523342712743997</c:v>
                </c:pt>
                <c:pt idx="30">
                  <c:v>65.035699075050559</c:v>
                </c:pt>
                <c:pt idx="31">
                  <c:v>64.541612135208752</c:v>
                </c:pt>
                <c:pt idx="32">
                  <c:v>64.041185397758539</c:v>
                </c:pt>
                <c:pt idx="33">
                  <c:v>63.534534069683453</c:v>
                </c:pt>
                <c:pt idx="34">
                  <c:v>63.021785322264904</c:v>
                </c:pt>
                <c:pt idx="35">
                  <c:v>62.503078522712343</c:v>
                </c:pt>
                <c:pt idx="36">
                  <c:v>61.978565432407095</c:v>
                </c:pt>
                <c:pt idx="37">
                  <c:v>61.448410368631954</c:v>
                </c:pt>
                <c:pt idx="38">
                  <c:v>60.912790326737458</c:v>
                </c:pt>
                <c:pt idx="39">
                  <c:v>60.371895059812985</c:v>
                </c:pt>
                <c:pt idx="40">
                  <c:v>59.825927113091971</c:v>
                </c:pt>
                <c:pt idx="41">
                  <c:v>59.275101810515245</c:v>
                </c:pt>
                <c:pt idx="42">
                  <c:v>58.719647191128644</c:v>
                </c:pt>
                <c:pt idx="43">
                  <c:v>58.159803893273761</c:v>
                </c:pt>
                <c:pt idx="44">
                  <c:v>57.595824984864016</c:v>
                </c:pt>
                <c:pt idx="45">
                  <c:v>57.027975738405345</c:v>
                </c:pt>
                <c:pt idx="46">
                  <c:v>56.456533349834913</c:v>
                </c:pt>
                <c:pt idx="47">
                  <c:v>55.881786600689367</c:v>
                </c:pt>
                <c:pt idx="48">
                  <c:v>55.30403546359247</c:v>
                </c:pt>
                <c:pt idx="49">
                  <c:v>54.723590651546864</c:v>
                </c:pt>
                <c:pt idx="50">
                  <c:v>54.140773112032498</c:v>
                </c:pt>
                <c:pt idx="51">
                  <c:v>53.555913467444775</c:v>
                </c:pt>
                <c:pt idx="52">
                  <c:v>52.969351403936741</c:v>
                </c:pt>
                <c:pt idx="53">
                  <c:v>52.381435011257793</c:v>
                </c:pt>
                <c:pt idx="54">
                  <c:v>51.792520076705372</c:v>
                </c:pt>
                <c:pt idx="55">
                  <c:v>51.202969336793593</c:v>
                </c:pt>
                <c:pt idx="56">
                  <c:v>50.613151690721359</c:v>
                </c:pt>
                <c:pt idx="57">
                  <c:v>50.023441380145762</c:v>
                </c:pt>
                <c:pt idx="58">
                  <c:v>49.434217140161437</c:v>
                </c:pt>
                <c:pt idx="59">
                  <c:v>48.845861326714633</c:v>
                </c:pt>
                <c:pt idx="60">
                  <c:v>48.258759025966214</c:v>
                </c:pt>
                <c:pt idx="61">
                  <c:v>47.673297151325173</c:v>
                </c:pt>
                <c:pt idx="62">
                  <c:v>47.08986353402809</c:v>
                </c:pt>
                <c:pt idx="63">
                  <c:v>46.508846013215155</c:v>
                </c:pt>
                <c:pt idx="64">
                  <c:v>45.930631531456598</c:v>
                </c:pt>
                <c:pt idx="65">
                  <c:v>45.355605241624197</c:v>
                </c:pt>
                <c:pt idx="66">
                  <c:v>44.784149630861187</c:v>
                </c:pt>
                <c:pt idx="67">
                  <c:v>44.216643667203613</c:v>
                </c:pt>
                <c:pt idx="68">
                  <c:v>43.653461974133862</c:v>
                </c:pt>
                <c:pt idx="69">
                  <c:v>43.09497403802694</c:v>
                </c:pt>
                <c:pt idx="70">
                  <c:v>42.541543453062509</c:v>
                </c:pt>
                <c:pt idx="71">
                  <c:v>41.993527207758106</c:v>
                </c:pt>
                <c:pt idx="72">
                  <c:v>41.451275016806434</c:v>
                </c:pt>
                <c:pt idx="73">
                  <c:v>40.915128701403923</c:v>
                </c:pt>
                <c:pt idx="74">
                  <c:v>40.385421620759757</c:v>
                </c:pt>
                <c:pt idx="75">
                  <c:v>39.862478156904409</c:v>
                </c:pt>
                <c:pt idx="76">
                  <c:v>39.346613254427957</c:v>
                </c:pt>
                <c:pt idx="77">
                  <c:v>38.838132016200667</c:v>
                </c:pt>
                <c:pt idx="78">
                  <c:v>38.337329355639419</c:v>
                </c:pt>
                <c:pt idx="79">
                  <c:v>37.844489705548796</c:v>
                </c:pt>
                <c:pt idx="80">
                  <c:v>37.359886783105324</c:v>
                </c:pt>
                <c:pt idx="81">
                  <c:v>36.883783410081662</c:v>
                </c:pt>
                <c:pt idx="82">
                  <c:v>36.416431386995576</c:v>
                </c:pt>
                <c:pt idx="83">
                  <c:v>35.958071419484597</c:v>
                </c:pt>
                <c:pt idx="84">
                  <c:v>35.508933094855514</c:v>
                </c:pt>
                <c:pt idx="85">
                  <c:v>35.069234906467919</c:v>
                </c:pt>
                <c:pt idx="86">
                  <c:v>34.639184323338718</c:v>
                </c:pt>
                <c:pt idx="87">
                  <c:v>34.218977902150968</c:v>
                </c:pt>
                <c:pt idx="88">
                  <c:v>33.808801438664567</c:v>
                </c:pt>
                <c:pt idx="89">
                  <c:v>33.408830155405433</c:v>
                </c:pt>
                <c:pt idx="90">
                  <c:v>33.019228922408686</c:v>
                </c:pt>
                <c:pt idx="91">
                  <c:v>32.640152507743899</c:v>
                </c:pt>
                <c:pt idx="92">
                  <c:v>32.271745854520205</c:v>
                </c:pt>
                <c:pt idx="93">
                  <c:v>31.914144381093724</c:v>
                </c:pt>
                <c:pt idx="94">
                  <c:v>31.567474301228241</c:v>
                </c:pt>
                <c:pt idx="95">
                  <c:v>31.231852961032097</c:v>
                </c:pt>
                <c:pt idx="96">
                  <c:v>30.907389189582926</c:v>
                </c:pt>
                <c:pt idx="97">
                  <c:v>30.594183660251691</c:v>
                </c:pt>
                <c:pt idx="98">
                  <c:v>30.292329259870396</c:v>
                </c:pt>
                <c:pt idx="99">
                  <c:v>30.0019114630113</c:v>
                </c:pt>
                <c:pt idx="100">
                  <c:v>29.723008708797508</c:v>
                </c:pt>
                <c:pt idx="101">
                  <c:v>29.45569277781426</c:v>
                </c:pt>
                <c:pt idx="102">
                  <c:v>29.200029166839236</c:v>
                </c:pt>
                <c:pt idx="103">
                  <c:v>28.956077459278092</c:v>
                </c:pt>
                <c:pt idx="104">
                  <c:v>28.723891689336423</c:v>
                </c:pt>
                <c:pt idx="105">
                  <c:v>28.503520698124166</c:v>
                </c:pt>
                <c:pt idx="106">
                  <c:v>28.295008480033818</c:v>
                </c:pt>
                <c:pt idx="107">
                  <c:v>28.098394517880319</c:v>
                </c:pt>
                <c:pt idx="108">
                  <c:v>27.913714105437563</c:v>
                </c:pt>
                <c:pt idx="109">
                  <c:v>27.740998656131421</c:v>
                </c:pt>
                <c:pt idx="110">
                  <c:v>27.580275996783431</c:v>
                </c:pt>
                <c:pt idx="111">
                  <c:v>27.431570645416564</c:v>
                </c:pt>
                <c:pt idx="112">
                  <c:v>27.294904072241383</c:v>
                </c:pt>
                <c:pt idx="113">
                  <c:v>27.170294943051246</c:v>
                </c:pt>
                <c:pt idx="114">
                  <c:v>27.057759344344753</c:v>
                </c:pt>
                <c:pt idx="115">
                  <c:v>26.957310989583583</c:v>
                </c:pt>
                <c:pt idx="116">
                  <c:v>26.86896140607352</c:v>
                </c:pt>
                <c:pt idx="117">
                  <c:v>26.792720102028628</c:v>
                </c:pt>
                <c:pt idx="118">
                  <c:v>26.728594713445258</c:v>
                </c:pt>
                <c:pt idx="119">
                  <c:v>26.676591130473732</c:v>
                </c:pt>
                <c:pt idx="120">
                  <c:v>26.63671360302817</c:v>
                </c:pt>
                <c:pt idx="121">
                  <c:v>26.608964825427392</c:v>
                </c:pt>
                <c:pt idx="122">
                  <c:v>26.593345999907669</c:v>
                </c:pt>
                <c:pt idx="123">
                  <c:v>26.589856878881008</c:v>
                </c:pt>
                <c:pt idx="124">
                  <c:v>26.5984957858707</c:v>
                </c:pt>
                <c:pt idx="125">
                  <c:v>26.619259615077418</c:v>
                </c:pt>
                <c:pt idx="126">
                  <c:v>26.652143809577257</c:v>
                </c:pt>
                <c:pt idx="127">
                  <c:v>26.697142318188575</c:v>
                </c:pt>
                <c:pt idx="128">
                  <c:v>26.754247531082637</c:v>
                </c:pt>
                <c:pt idx="129">
                  <c:v>26.823450194253716</c:v>
                </c:pt>
                <c:pt idx="130">
                  <c:v>26.904739303008874</c:v>
                </c:pt>
                <c:pt idx="131">
                  <c:v>26.998101974679763</c:v>
                </c:pt>
                <c:pt idx="132">
                  <c:v>27.103523300814267</c:v>
                </c:pt>
                <c:pt idx="133">
                  <c:v>27.220986179154938</c:v>
                </c:pt>
                <c:pt idx="134">
                  <c:v>27.350471125774746</c:v>
                </c:pt>
                <c:pt idx="135">
                  <c:v>27.491956067807166</c:v>
                </c:pt>
                <c:pt idx="136">
                  <c:v>27.645416117274497</c:v>
                </c:pt>
                <c:pt idx="137">
                  <c:v>27.810823326608492</c:v>
                </c:pt>
                <c:pt idx="138">
                  <c:v>27.988146426531273</c:v>
                </c:pt>
                <c:pt idx="139">
                  <c:v>28.177350547070628</c:v>
                </c:pt>
                <c:pt idx="140">
                  <c:v>28.378396922581477</c:v>
                </c:pt>
                <c:pt idx="141">
                  <c:v>28.591242581755832</c:v>
                </c:pt>
                <c:pt idx="142">
                  <c:v>28.815840023722991</c:v>
                </c:pt>
                <c:pt idx="143">
                  <c:v>29.05213688146922</c:v>
                </c:pt>
                <c:pt idx="144">
                  <c:v>29.30007557394115</c:v>
                </c:pt>
                <c:pt idx="145">
                  <c:v>29.559592948331932</c:v>
                </c:pt>
                <c:pt idx="146">
                  <c:v>29.830619914202508</c:v>
                </c:pt>
                <c:pt idx="147">
                  <c:v>30.113081071237012</c:v>
                </c:pt>
                <c:pt idx="148">
                  <c:v>30.406894332588639</c:v>
                </c:pt>
                <c:pt idx="149">
                  <c:v>30.711970545925737</c:v>
                </c:pt>
                <c:pt idx="150">
                  <c:v>31.028213114450192</c:v>
                </c:pt>
                <c:pt idx="151">
                  <c:v>31.355517620309278</c:v>
                </c:pt>
                <c:pt idx="152">
                  <c:v>31.69377145297668</c:v>
                </c:pt>
                <c:pt idx="153">
                  <c:v>32.042853445324923</c:v>
                </c:pt>
                <c:pt idx="154">
                  <c:v>32.402633520239128</c:v>
                </c:pt>
                <c:pt idx="155">
                  <c:v>32.772972350754607</c:v>
                </c:pt>
                <c:pt idx="156">
                  <c:v>33.153721036798878</c:v>
                </c:pt>
                <c:pt idx="157">
                  <c:v>33.544720801716466</c:v>
                </c:pt>
                <c:pt idx="158">
                  <c:v>33.945802711812121</c:v>
                </c:pt>
                <c:pt idx="159">
                  <c:v>34.356787422197556</c:v>
                </c:pt>
                <c:pt idx="160">
                  <c:v>34.77748495223733</c:v>
                </c:pt>
                <c:pt idx="161">
                  <c:v>35.207694493866583</c:v>
                </c:pt>
                <c:pt idx="162">
                  <c:v>35.64720425600818</c:v>
                </c:pt>
                <c:pt idx="163">
                  <c:v>36.09579134821611</c:v>
                </c:pt>
                <c:pt idx="164">
                  <c:v>36.55322170655198</c:v>
                </c:pt>
                <c:pt idx="165">
                  <c:v>37.019250064520357</c:v>
                </c:pt>
                <c:pt idx="166">
                  <c:v>37.493619971681696</c:v>
                </c:pt>
                <c:pt idx="167">
                  <c:v>37.976063862299512</c:v>
                </c:pt>
                <c:pt idx="168">
                  <c:v>38.466303176080551</c:v>
                </c:pt>
                <c:pt idx="169">
                  <c:v>38.964048532724256</c:v>
                </c:pt>
                <c:pt idx="170">
                  <c:v>39.468999961615502</c:v>
                </c:pt>
                <c:pt idx="171">
                  <c:v>39.980847187571875</c:v>
                </c:pt>
                <c:pt idx="172">
                  <c:v>40.49926997311276</c:v>
                </c:pt>
                <c:pt idx="173">
                  <c:v>41.023938517221495</c:v>
                </c:pt>
                <c:pt idx="174">
                  <c:v>41.554513910080303</c:v>
                </c:pt>
                <c:pt idx="175">
                  <c:v>42.09064864272159</c:v>
                </c:pt>
                <c:pt idx="176">
                  <c:v>42.631987170018391</c:v>
                </c:pt>
                <c:pt idx="177">
                  <c:v>43.178166524886038</c:v>
                </c:pt>
                <c:pt idx="178">
                  <c:v>43.72881698104753</c:v>
                </c:pt>
                <c:pt idx="179">
                  <c:v>44.283562761191725</c:v>
                </c:pt>
                <c:pt idx="180">
                  <c:v>44.842022786856262</c:v>
                </c:pt>
                <c:pt idx="181">
                  <c:v>45.403811465902741</c:v>
                </c:pt>
                <c:pt idx="182">
                  <c:v>45.968539513023337</c:v>
                </c:pt>
                <c:pt idx="183">
                  <c:v>46.535814798336972</c:v>
                </c:pt>
                <c:pt idx="184">
                  <c:v>47.105243218802457</c:v>
                </c:pt>
                <c:pt idx="185">
                  <c:v>47.676429586902998</c:v>
                </c:pt>
                <c:pt idx="186">
                  <c:v>48.248978530857045</c:v>
                </c:pt>
                <c:pt idx="187">
                  <c:v>48.8224954004639</c:v>
                </c:pt>
                <c:pt idx="188">
                  <c:v>49.396587172626717</c:v>
                </c:pt>
                <c:pt idx="189">
                  <c:v>49.970863350599132</c:v>
                </c:pt>
                <c:pt idx="190">
                  <c:v>50.544936851075725</c:v>
                </c:pt>
                <c:pt idx="191">
                  <c:v>51.118424873393153</c:v>
                </c:pt>
                <c:pt idx="192">
                  <c:v>51.690949745312039</c:v>
                </c:pt>
                <c:pt idx="193">
                  <c:v>52.26213974013973</c:v>
                </c:pt>
                <c:pt idx="194">
                  <c:v>52.831629860273424</c:v>
                </c:pt>
                <c:pt idx="195">
                  <c:v>53.399062582633533</c:v>
                </c:pt>
                <c:pt idx="196">
                  <c:v>53.964088561891451</c:v>
                </c:pt>
                <c:pt idx="197">
                  <c:v>54.526367287852793</c:v>
                </c:pt>
                <c:pt idx="198">
                  <c:v>55.085567693867056</c:v>
                </c:pt>
                <c:pt idx="199">
                  <c:v>55.641368713633902</c:v>
                </c:pt>
                <c:pt idx="200">
                  <c:v>56.193459784324347</c:v>
                </c:pt>
                <c:pt idx="201">
                  <c:v>56.741541294453036</c:v>
                </c:pt>
                <c:pt idx="202">
                  <c:v>57.285324975478275</c:v>
                </c:pt>
                <c:pt idx="203">
                  <c:v>57.824534236612294</c:v>
                </c:pt>
                <c:pt idx="204">
                  <c:v>58.35890444283546</c:v>
                </c:pt>
                <c:pt idx="205">
                  <c:v>58.888183136576409</c:v>
                </c:pt>
                <c:pt idx="206">
                  <c:v>59.412130203962938</c:v>
                </c:pt>
                <c:pt idx="207">
                  <c:v>59.930517986965995</c:v>
                </c:pt>
                <c:pt idx="208">
                  <c:v>60.443131343124413</c:v>
                </c:pt>
                <c:pt idx="209">
                  <c:v>60.949767654876588</c:v>
                </c:pt>
                <c:pt idx="210">
                  <c:v>61.450236790807061</c:v>
                </c:pt>
                <c:pt idx="211">
                  <c:v>61.944361021373375</c:v>
                </c:pt>
                <c:pt idx="212">
                  <c:v>62.431974891870979</c:v>
                </c:pt>
                <c:pt idx="213">
                  <c:v>62.912925055557771</c:v>
                </c:pt>
                <c:pt idx="214">
                  <c:v>63.387070069985846</c:v>
                </c:pt>
                <c:pt idx="215">
                  <c:v>63.85428015965465</c:v>
                </c:pt>
                <c:pt idx="216">
                  <c:v>64.314436948151382</c:v>
                </c:pt>
                <c:pt idx="217">
                  <c:v>64.767433162949942</c:v>
                </c:pt>
                <c:pt idx="218">
                  <c:v>65.213172316009704</c:v>
                </c:pt>
                <c:pt idx="219">
                  <c:v>65.651568363272631</c:v>
                </c:pt>
                <c:pt idx="220">
                  <c:v>66.082545346065643</c:v>
                </c:pt>
                <c:pt idx="221">
                  <c:v>66.506037017332304</c:v>
                </c:pt>
                <c:pt idx="222">
                  <c:v>66.921986455480138</c:v>
                </c:pt>
                <c:pt idx="223">
                  <c:v>67.330345668512152</c:v>
                </c:pt>
                <c:pt idx="224">
                  <c:v>67.731075190954272</c:v>
                </c:pt>
                <c:pt idx="225">
                  <c:v>68.12414367594117</c:v>
                </c:pt>
                <c:pt idx="226">
                  <c:v>68.509527484657809</c:v>
                </c:pt>
                <c:pt idx="227">
                  <c:v>68.88721027516641</c:v>
                </c:pt>
                <c:pt idx="228">
                  <c:v>69.257182592484185</c:v>
                </c:pt>
                <c:pt idx="229">
                  <c:v>69.619441461610165</c:v>
                </c:pt>
                <c:pt idx="230">
                  <c:v>69.973989985026179</c:v>
                </c:pt>
                <c:pt idx="231">
                  <c:v>70.320836946044196</c:v>
                </c:pt>
                <c:pt idx="232">
                  <c:v>70.65999641920925</c:v>
                </c:pt>
                <c:pt idx="233">
                  <c:v>70.99148738881965</c:v>
                </c:pt>
                <c:pt idx="234">
                  <c:v>71.315333376477241</c:v>
                </c:pt>
                <c:pt idx="235">
                  <c:v>71.631562078449321</c:v>
                </c:pt>
                <c:pt idx="236">
                  <c:v>71.94020501348956</c:v>
                </c:pt>
                <c:pt idx="237">
                  <c:v>72.241297181651106</c:v>
                </c:pt>
                <c:pt idx="238">
                  <c:v>72.534876734506582</c:v>
                </c:pt>
                <c:pt idx="239">
                  <c:v>72.820984657092126</c:v>
                </c:pt>
                <c:pt idx="240">
                  <c:v>73.099664461794731</c:v>
                </c:pt>
                <c:pt idx="241">
                  <c:v>73.370961894318853</c:v>
                </c:pt>
                <c:pt idx="242">
                  <c:v>73.634924651787983</c:v>
                </c:pt>
                <c:pt idx="243">
                  <c:v>73.89160211296668</c:v>
                </c:pt>
                <c:pt idx="244">
                  <c:v>74.141045080533061</c:v>
                </c:pt>
                <c:pt idx="245">
                  <c:v>74.383305535264654</c:v>
                </c:pt>
                <c:pt idx="246">
                  <c:v>74.618436401964956</c:v>
                </c:pt>
                <c:pt idx="247">
                  <c:v>74.846491326908307</c:v>
                </c:pt>
                <c:pt idx="248">
                  <c:v>75.067524466549344</c:v>
                </c:pt>
                <c:pt idx="249">
                  <c:v>75.281590287210008</c:v>
                </c:pt>
                <c:pt idx="250">
                  <c:v>75.488743375436471</c:v>
                </c:pt>
                <c:pt idx="251">
                  <c:v>75.689038258693259</c:v>
                </c:pt>
                <c:pt idx="252">
                  <c:v>75.882529236050672</c:v>
                </c:pt>
                <c:pt idx="253">
                  <c:v>76.069270218506887</c:v>
                </c:pt>
                <c:pt idx="254">
                  <c:v>76.249314578578819</c:v>
                </c:pt>
                <c:pt idx="255">
                  <c:v>76.422715008790362</c:v>
                </c:pt>
                <c:pt idx="256">
                  <c:v>76.589523388684952</c:v>
                </c:pt>
                <c:pt idx="257">
                  <c:v>76.749790659988619</c:v>
                </c:pt>
                <c:pt idx="258">
                  <c:v>76.903566709553559</c:v>
                </c:pt>
                <c:pt idx="259">
                  <c:v>77.05090025971451</c:v>
                </c:pt>
                <c:pt idx="260">
                  <c:v>77.191838765699273</c:v>
                </c:pt>
                <c:pt idx="261">
                  <c:v>77.326428319738724</c:v>
                </c:pt>
                <c:pt idx="262">
                  <c:v>77.454713561534078</c:v>
                </c:pt>
                <c:pt idx="263">
                  <c:v>77.576737594745978</c:v>
                </c:pt>
                <c:pt idx="264">
                  <c:v>77.692541909182339</c:v>
                </c:pt>
                <c:pt idx="265">
                  <c:v>77.802166308373785</c:v>
                </c:pt>
                <c:pt idx="266">
                  <c:v>77.905648842234797</c:v>
                </c:pt>
                <c:pt idx="267">
                  <c:v>78.003025744525516</c:v>
                </c:pt>
                <c:pt idx="268">
                  <c:v>78.094331374837623</c:v>
                </c:pt>
                <c:pt idx="269">
                  <c:v>78.179598164844165</c:v>
                </c:pt>
                <c:pt idx="270">
                  <c:v>78.25885656856417</c:v>
                </c:pt>
                <c:pt idx="271">
                  <c:v>78.332135016408174</c:v>
                </c:pt>
                <c:pt idx="272">
                  <c:v>78.399459872782316</c:v>
                </c:pt>
                <c:pt idx="273">
                  <c:v>78.460855397044824</c:v>
                </c:pt>
                <c:pt idx="274">
                  <c:v>78.516343707617949</c:v>
                </c:pt>
                <c:pt idx="275">
                  <c:v>78.565944749076962</c:v>
                </c:pt>
                <c:pt idx="276">
                  <c:v>78.609676262046477</c:v>
                </c:pt>
                <c:pt idx="277">
                  <c:v>78.647553755750636</c:v>
                </c:pt>
                <c:pt idx="278">
                  <c:v>78.679590483073724</c:v>
                </c:pt>
                <c:pt idx="279">
                  <c:v>78.705797418005588</c:v>
                </c:pt>
                <c:pt idx="280">
                  <c:v>78.726183235351797</c:v>
                </c:pt>
                <c:pt idx="281">
                  <c:v>78.740754292608059</c:v>
                </c:pt>
                <c:pt idx="282">
                  <c:v>78.74951461390711</c:v>
                </c:pt>
                <c:pt idx="283">
                  <c:v>78.752465875958677</c:v>
                </c:pt>
                <c:pt idx="284">
                  <c:v>78.749607395915717</c:v>
                </c:pt>
                <c:pt idx="285">
                  <c:v>78.740936121115453</c:v>
                </c:pt>
                <c:pt idx="286">
                  <c:v>78.726446620648261</c:v>
                </c:pt>
                <c:pt idx="287">
                  <c:v>78.706131078728248</c:v>
                </c:pt>
                <c:pt idx="288">
                  <c:v>78.679979289843331</c:v>
                </c:pt>
                <c:pt idx="289">
                  <c:v>78.64797865568184</c:v>
                </c:pt>
                <c:pt idx="290">
                  <c:v>78.610114183836373</c:v>
                </c:pt>
                <c:pt idx="291">
                  <c:v>78.566368488305969</c:v>
                </c:pt>
                <c:pt idx="292">
                  <c:v>78.516721791821155</c:v>
                </c:pt>
                <c:pt idx="293">
                  <c:v>78.461151930035626</c:v>
                </c:pt>
                <c:pt idx="294">
                  <c:v>78.399634357634355</c:v>
                </c:pt>
                <c:pt idx="295">
                  <c:v>78.332142156422933</c:v>
                </c:pt>
                <c:pt idx="296">
                  <c:v>78.258646045474123</c:v>
                </c:pt>
                <c:pt idx="297">
                  <c:v>78.179114393419439</c:v>
                </c:pt>
                <c:pt idx="298">
                  <c:v>78.093513232984108</c:v>
                </c:pt>
                <c:pt idx="299">
                  <c:v>78.00180627787995</c:v>
                </c:pt>
                <c:pt idx="300">
                  <c:v>77.903954942177108</c:v>
                </c:pt>
                <c:pt idx="301">
                  <c:v>77.799918362292814</c:v>
                </c:pt>
                <c:pt idx="302">
                  <c:v>77.689653421744111</c:v>
                </c:pt>
                <c:pt idx="303">
                  <c:v>77.573114778825556</c:v>
                </c:pt>
                <c:pt idx="304">
                  <c:v>77.450254897383644</c:v>
                </c:pt>
                <c:pt idx="305">
                  <c:v>77.321024080873485</c:v>
                </c:pt>
                <c:pt idx="306">
                  <c:v>77.185370509893772</c:v>
                </c:pt>
                <c:pt idx="307">
                  <c:v>77.043240283408537</c:v>
                </c:pt>
                <c:pt idx="308">
                  <c:v>76.894577463875365</c:v>
                </c:pt>
                <c:pt idx="309">
                  <c:v>76.739324126512997</c:v>
                </c:pt>
                <c:pt idx="310">
                  <c:v>76.57742041294847</c:v>
                </c:pt>
                <c:pt idx="311">
                  <c:v>76.408804589500619</c:v>
                </c:pt>
                <c:pt idx="312">
                  <c:v>76.233413110357787</c:v>
                </c:pt>
                <c:pt idx="313">
                  <c:v>76.051180685928699</c:v>
                </c:pt>
                <c:pt idx="314">
                  <c:v>75.862040356640904</c:v>
                </c:pt>
                <c:pt idx="315">
                  <c:v>75.665923572481944</c:v>
                </c:pt>
                <c:pt idx="316">
                  <c:v>75.462760278572972</c:v>
                </c:pt>
                <c:pt idx="317">
                  <c:v>75.252479007078264</c:v>
                </c:pt>
                <c:pt idx="318">
                  <c:v>75.035006975753959</c:v>
                </c:pt>
                <c:pt idx="319">
                  <c:v>74.810270193440402</c:v>
                </c:pt>
                <c:pt idx="320">
                  <c:v>74.578193572805475</c:v>
                </c:pt>
                <c:pt idx="321">
                  <c:v>74.338701050640594</c:v>
                </c:pt>
                <c:pt idx="322">
                  <c:v>74.091715716008594</c:v>
                </c:pt>
                <c:pt idx="323">
                  <c:v>73.837159946532253</c:v>
                </c:pt>
                <c:pt idx="324">
                  <c:v>73.574955553104246</c:v>
                </c:pt>
                <c:pt idx="325">
                  <c:v>73.305023933280779</c:v>
                </c:pt>
                <c:pt idx="326">
                  <c:v>73.027286233607782</c:v>
                </c:pt>
                <c:pt idx="327">
                  <c:v>72.741663521099298</c:v>
                </c:pt>
                <c:pt idx="328">
                  <c:v>72.448076964064981</c:v>
                </c:pt>
                <c:pt idx="329">
                  <c:v>72.146448022449007</c:v>
                </c:pt>
                <c:pt idx="330">
                  <c:v>71.836698647805378</c:v>
                </c:pt>
                <c:pt idx="331">
                  <c:v>71.518751492986596</c:v>
                </c:pt>
                <c:pt idx="332">
                  <c:v>71.19253013157963</c:v>
                </c:pt>
                <c:pt idx="333">
                  <c:v>70.857959287055195</c:v>
                </c:pt>
                <c:pt idx="334">
                  <c:v>70.51496507154387</c:v>
                </c:pt>
                <c:pt idx="335">
                  <c:v>70.163475234068073</c:v>
                </c:pt>
                <c:pt idx="336">
                  <c:v>69.803419417990682</c:v>
                </c:pt>
                <c:pt idx="337">
                  <c:v>69.434729427342887</c:v>
                </c:pt>
                <c:pt idx="338">
                  <c:v>69.057339501604233</c:v>
                </c:pt>
                <c:pt idx="339">
                  <c:v>68.671186598403239</c:v>
                </c:pt>
                <c:pt idx="340">
                  <c:v>68.276210683487776</c:v>
                </c:pt>
                <c:pt idx="341">
                  <c:v>67.872355027198807</c:v>
                </c:pt>
                <c:pt idx="342">
                  <c:v>67.459566506551369</c:v>
                </c:pt>
                <c:pt idx="343">
                  <c:v>67.037795911886349</c:v>
                </c:pt>
                <c:pt idx="344">
                  <c:v>66.606998256913926</c:v>
                </c:pt>
                <c:pt idx="345">
                  <c:v>66.167133090818609</c:v>
                </c:pt>
                <c:pt idx="346">
                  <c:v>65.718164810941303</c:v>
                </c:pt>
                <c:pt idx="347">
                  <c:v>65.260062974389783</c:v>
                </c:pt>
                <c:pt idx="348">
                  <c:v>64.79280260676606</c:v>
                </c:pt>
                <c:pt idx="349">
                  <c:v>64.316364506036592</c:v>
                </c:pt>
                <c:pt idx="350">
                  <c:v>63.830735539404131</c:v>
                </c:pt>
                <c:pt idx="351">
                  <c:v>63.335908930878311</c:v>
                </c:pt>
                <c:pt idx="352">
                  <c:v>62.831884537085173</c:v>
                </c:pt>
                <c:pt idx="353">
                  <c:v>62.318669108709535</c:v>
                </c:pt>
                <c:pt idx="354">
                  <c:v>61.79627653481792</c:v>
                </c:pt>
                <c:pt idx="355">
                  <c:v>61.264728067196529</c:v>
                </c:pt>
                <c:pt idx="356">
                  <c:v>60.724052521717432</c:v>
                </c:pt>
                <c:pt idx="357">
                  <c:v>60.174286453671826</c:v>
                </c:pt>
                <c:pt idx="358">
                  <c:v>59.615474303935265</c:v>
                </c:pt>
                <c:pt idx="359">
                  <c:v>59.047668512802147</c:v>
                </c:pt>
                <c:pt idx="360">
                  <c:v>58.470929598319543</c:v>
                </c:pt>
                <c:pt idx="361">
                  <c:v>57.885326195979864</c:v>
                </c:pt>
                <c:pt idx="362">
                  <c:v>57.290935056705422</c:v>
                </c:pt>
                <c:pt idx="363">
                  <c:v>56.687841000165349</c:v>
                </c:pt>
                <c:pt idx="364">
                  <c:v>56.076136820623773</c:v>
                </c:pt>
                <c:pt idx="365">
                  <c:v>55.455923142717182</c:v>
                </c:pt>
                <c:pt idx="366">
                  <c:v>54.827308224807609</c:v>
                </c:pt>
                <c:pt idx="367">
                  <c:v>54.190407707868225</c:v>
                </c:pt>
                <c:pt idx="368">
                  <c:v>53.545344308193194</c:v>
                </c:pt>
                <c:pt idx="369">
                  <c:v>52.89224745263401</c:v>
                </c:pt>
                <c:pt idx="370">
                  <c:v>52.231252855507933</c:v>
                </c:pt>
                <c:pt idx="371">
                  <c:v>51.562502036820753</c:v>
                </c:pt>
                <c:pt idx="372">
                  <c:v>50.886141781977393</c:v>
                </c:pt>
                <c:pt idx="373">
                  <c:v>50.202323543732454</c:v>
                </c:pt>
                <c:pt idx="374">
                  <c:v>49.511202787745901</c:v>
                </c:pt>
                <c:pt idx="375">
                  <c:v>48.812938283730048</c:v>
                </c:pt>
                <c:pt idx="376">
                  <c:v>48.107691344848377</c:v>
                </c:pt>
                <c:pt idx="377">
                  <c:v>47.395625018674416</c:v>
                </c:pt>
                <c:pt idx="378">
                  <c:v>46.676903233704223</c:v>
                </c:pt>
                <c:pt idx="379">
                  <c:v>45.951689906074598</c:v>
                </c:pt>
                <c:pt idx="380">
                  <c:v>45.220148011781788</c:v>
                </c:pt>
                <c:pt idx="381">
                  <c:v>44.48243863033337</c:v>
                </c:pt>
                <c:pt idx="382">
                  <c:v>43.738719966334202</c:v>
                </c:pt>
                <c:pt idx="383">
                  <c:v>42.989146356069341</c:v>
                </c:pt>
                <c:pt idx="384">
                  <c:v>42.233867266615128</c:v>
                </c:pt>
                <c:pt idx="385">
                  <c:v>41.473026295448442</c:v>
                </c:pt>
                <c:pt idx="386">
                  <c:v>40.706760178864634</c:v>
                </c:pt>
                <c:pt idx="387">
                  <c:v>39.935197817788669</c:v>
                </c:pt>
                <c:pt idx="388">
                  <c:v>39.158459329753583</c:v>
                </c:pt>
                <c:pt idx="389">
                  <c:v>38.37665513590823</c:v>
                </c:pt>
                <c:pt idx="390">
                  <c:v>37.589885091918838</c:v>
                </c:pt>
                <c:pt idx="391">
                  <c:v>36.798237671526415</c:v>
                </c:pt>
                <c:pt idx="392">
                  <c:v>36.001789211329033</c:v>
                </c:pt>
                <c:pt idx="393">
                  <c:v>35.200603225052561</c:v>
                </c:pt>
                <c:pt idx="394">
                  <c:v>34.394729795186763</c:v>
                </c:pt>
                <c:pt idx="395">
                  <c:v>33.584205049357834</c:v>
                </c:pt>
                <c:pt idx="396">
                  <c:v>32.769050728244174</c:v>
                </c:pt>
                <c:pt idx="397">
                  <c:v>31.949273851159329</c:v>
                </c:pt>
                <c:pt idx="398">
                  <c:v>31.124866484676208</c:v>
                </c:pt>
                <c:pt idx="399">
                  <c:v>30.295805618855269</c:v>
                </c:pt>
                <c:pt idx="400">
                  <c:v>29.46205315473831</c:v>
                </c:pt>
                <c:pt idx="401">
                  <c:v>28.623556005835447</c:v>
                </c:pt>
                <c:pt idx="402">
                  <c:v>27.780246315330118</c:v>
                </c:pt>
                <c:pt idx="403">
                  <c:v>26.932041789719563</c:v>
                </c:pt>
                <c:pt idx="404">
                  <c:v>26.078846148528211</c:v>
                </c:pt>
                <c:pt idx="405">
                  <c:v>25.220549688685942</c:v>
                </c:pt>
                <c:pt idx="406">
                  <c:v>24.357029961084205</c:v>
                </c:pt>
                <c:pt idx="407">
                  <c:v>23.488152555753125</c:v>
                </c:pt>
                <c:pt idx="408">
                  <c:v>22.613771991074501</c:v>
                </c:pt>
                <c:pt idx="409">
                  <c:v>21.733732701422749</c:v>
                </c:pt>
                <c:pt idx="410">
                  <c:v>20.847870116666243</c:v>
                </c:pt>
                <c:pt idx="411">
                  <c:v>19.956011826055104</c:v>
                </c:pt>
                <c:pt idx="412">
                  <c:v>19.057978818166767</c:v>
                </c:pt>
                <c:pt idx="413">
                  <c:v>18.15358678782928</c:v>
                </c:pt>
                <c:pt idx="414">
                  <c:v>17.242647500255636</c:v>
                </c:pt>
                <c:pt idx="415">
                  <c:v>16.324970202050302</c:v>
                </c:pt>
                <c:pt idx="416">
                  <c:v>15.400363068265035</c:v>
                </c:pt>
                <c:pt idx="417">
                  <c:v>14.468634674332803</c:v>
                </c:pt>
                <c:pt idx="418">
                  <c:v>13.529595481455916</c:v>
                </c:pt>
                <c:pt idx="419">
                  <c:v>12.583059323903704</c:v>
                </c:pt>
                <c:pt idx="420">
                  <c:v>11.628844886685187</c:v>
                </c:pt>
                <c:pt idx="421">
                  <c:v>10.666777162179619</c:v>
                </c:pt>
                <c:pt idx="422">
                  <c:v>9.696688874576914</c:v>
                </c:pt>
                <c:pt idx="423">
                  <c:v>8.7184218613235078</c:v>
                </c:pt>
                <c:pt idx="424">
                  <c:v>7.7318284012874603</c:v>
                </c:pt>
                <c:pt idx="425">
                  <c:v>6.7367724799192397</c:v>
                </c:pt>
                <c:pt idx="426">
                  <c:v>5.7331309823983361</c:v>
                </c:pt>
                <c:pt idx="427">
                  <c:v>4.7207948065144691</c:v>
                </c:pt>
                <c:pt idx="428">
                  <c:v>3.6996698878946348</c:v>
                </c:pt>
                <c:pt idx="429">
                  <c:v>2.6696781310881832</c:v>
                </c:pt>
                <c:pt idx="430">
                  <c:v>1.6307582409962482</c:v>
                </c:pt>
                <c:pt idx="431">
                  <c:v>0.58286645009497906</c:v>
                </c:pt>
                <c:pt idx="432">
                  <c:v>-0.47402286206429817</c:v>
                </c:pt>
                <c:pt idx="433">
                  <c:v>-1.5399166596237019</c:v>
                </c:pt>
                <c:pt idx="434">
                  <c:v>-2.6148028529750706</c:v>
                </c:pt>
                <c:pt idx="435">
                  <c:v>-3.6986500136935629</c:v>
                </c:pt>
                <c:pt idx="436">
                  <c:v>-4.7914072014938389</c:v>
                </c:pt>
                <c:pt idx="437">
                  <c:v>-5.8930039019969325</c:v>
                </c:pt>
                <c:pt idx="438">
                  <c:v>-7.0033500732769696</c:v>
                </c:pt>
                <c:pt idx="439">
                  <c:v>-8.1223362984303495</c:v>
                </c:pt>
                <c:pt idx="440">
                  <c:v>-9.2498340407258084</c:v>
                </c:pt>
                <c:pt idx="441">
                  <c:v>-10.385695997325316</c:v>
                </c:pt>
                <c:pt idx="442">
                  <c:v>-11.529756547042236</c:v>
                </c:pt>
                <c:pt idx="443">
                  <c:v>-12.68183228717972</c:v>
                </c:pt>
                <c:pt idx="444">
                  <c:v>-13.841722654138099</c:v>
                </c:pt>
                <c:pt idx="445">
                  <c:v>-15.009210622199976</c:v>
                </c:pt>
                <c:pt idx="446">
                  <c:v>-16.184063474681022</c:v>
                </c:pt>
                <c:pt idx="447">
                  <c:v>-17.366033641487665</c:v>
                </c:pt>
                <c:pt idx="448">
                  <c:v>-18.554859597023185</c:v>
                </c:pt>
                <c:pt idx="449">
                  <c:v>-19.750266812320099</c:v>
                </c:pt>
                <c:pt idx="450">
                  <c:v>-20.951968755268116</c:v>
                </c:pt>
                <c:pt idx="451">
                  <c:v>-22.159667932815712</c:v>
                </c:pt>
                <c:pt idx="452">
                  <c:v>-23.373056969062294</c:v>
                </c:pt>
                <c:pt idx="453">
                  <c:v>-24.591819713207148</c:v>
                </c:pt>
                <c:pt idx="454">
                  <c:v>-25.815632371382961</c:v>
                </c:pt>
                <c:pt idx="455">
                  <c:v>-27.04416465648373</c:v>
                </c:pt>
                <c:pt idx="456">
                  <c:v>-28.277080950144956</c:v>
                </c:pt>
                <c:pt idx="457">
                  <c:v>-29.514041471144722</c:v>
                </c:pt>
                <c:pt idx="458">
                  <c:v>-30.754703444528907</c:v>
                </c:pt>
                <c:pt idx="459">
                  <c:v>-31.998722265873027</c:v>
                </c:pt>
                <c:pt idx="460">
                  <c:v>-33.24575265515427</c:v>
                </c:pt>
                <c:pt idx="461">
                  <c:v>-34.495449794788748</c:v>
                </c:pt>
                <c:pt idx="462">
                  <c:v>-35.747470446497658</c:v>
                </c:pt>
                <c:pt idx="463">
                  <c:v>-37.001474041742306</c:v>
                </c:pt>
                <c:pt idx="464">
                  <c:v>-38.257123740609856</c:v>
                </c:pt>
                <c:pt idx="465">
                  <c:v>-39.514087454149816</c:v>
                </c:pt>
                <c:pt idx="466">
                  <c:v>-40.772038825334619</c:v>
                </c:pt>
                <c:pt idx="467">
                  <c:v>-42.030658163989848</c:v>
                </c:pt>
                <c:pt idx="468">
                  <c:v>-43.289633331257647</c:v>
                </c:pt>
                <c:pt idx="469">
                  <c:v>-44.548660569407573</c:v>
                </c:pt>
                <c:pt idx="470">
                  <c:v>-45.807445273070023</c:v>
                </c:pt>
                <c:pt idx="471">
                  <c:v>-47.065702698286529</c:v>
                </c:pt>
                <c:pt idx="472">
                  <c:v>-48.323158606097721</c:v>
                </c:pt>
                <c:pt idx="473">
                  <c:v>-49.579549837768795</c:v>
                </c:pt>
                <c:pt idx="474">
                  <c:v>-50.834624819135882</c:v>
                </c:pt>
                <c:pt idx="475">
                  <c:v>-52.08814399197319</c:v>
                </c:pt>
                <c:pt idx="476">
                  <c:v>-53.339880170731668</c:v>
                </c:pt>
                <c:pt idx="477">
                  <c:v>-54.58961882343015</c:v>
                </c:pt>
                <c:pt idx="478">
                  <c:v>-55.837158275961812</c:v>
                </c:pt>
                <c:pt idx="479">
                  <c:v>-57.082309839533366</c:v>
                </c:pt>
                <c:pt idx="480">
                  <c:v>-58.324897861430152</c:v>
                </c:pt>
                <c:pt idx="481">
                  <c:v>-59.564759699756301</c:v>
                </c:pt>
                <c:pt idx="482">
                  <c:v>-60.801745623261354</c:v>
                </c:pt>
                <c:pt idx="483">
                  <c:v>-62.035718637792669</c:v>
                </c:pt>
                <c:pt idx="484">
                  <c:v>-63.266554241346185</c:v>
                </c:pt>
                <c:pt idx="485">
                  <c:v>-64.494140110080153</c:v>
                </c:pt>
                <c:pt idx="486">
                  <c:v>-65.718375718035588</c:v>
                </c:pt>
                <c:pt idx="487">
                  <c:v>-66.939171893656791</c:v>
                </c:pt>
                <c:pt idx="488">
                  <c:v>-68.156450316524101</c:v>
                </c:pt>
                <c:pt idx="489">
                  <c:v>-69.370142958007833</c:v>
                </c:pt>
                <c:pt idx="490">
                  <c:v>-70.5801914698133</c:v>
                </c:pt>
                <c:pt idx="491">
                  <c:v>-71.786546524616924</c:v>
                </c:pt>
                <c:pt idx="492">
                  <c:v>-72.989167113208183</c:v>
                </c:pt>
                <c:pt idx="493">
                  <c:v>-74.188019802718159</c:v>
                </c:pt>
                <c:pt idx="494">
                  <c:v>-75.383077960675507</c:v>
                </c:pt>
                <c:pt idx="495">
                  <c:v>-76.574320949750671</c:v>
                </c:pt>
                <c:pt idx="496">
                  <c:v>-77.761733298155946</c:v>
                </c:pt>
                <c:pt idx="497">
                  <c:v>-78.945303850743116</c:v>
                </c:pt>
                <c:pt idx="498">
                  <c:v>-80.125024905907608</c:v>
                </c:pt>
                <c:pt idx="499">
                  <c:v>-81.300891343437158</c:v>
                </c:pt>
                <c:pt idx="500">
                  <c:v>-82.472899748477914</c:v>
                </c:pt>
                <c:pt idx="501">
                  <c:v>-83.641047536780903</c:v>
                </c:pt>
                <c:pt idx="502">
                  <c:v>-84.805332086387381</c:v>
                </c:pt>
                <c:pt idx="503">
                  <c:v>-85.965749880878121</c:v>
                </c:pt>
                <c:pt idx="504">
                  <c:v>-87.122295669258548</c:v>
                </c:pt>
                <c:pt idx="505">
                  <c:v>-88.274961647493711</c:v>
                </c:pt>
                <c:pt idx="506">
                  <c:v>-89.423736666612342</c:v>
                </c:pt>
                <c:pt idx="507">
                  <c:v>-90.568605472196765</c:v>
                </c:pt>
                <c:pt idx="508">
                  <c:v>-91.709547979945484</c:v>
                </c:pt>
                <c:pt idx="509">
                  <c:v>-92.846538591842744</c:v>
                </c:pt>
                <c:pt idx="510">
                  <c:v>-93.979545557289839</c:v>
                </c:pt>
                <c:pt idx="511">
                  <c:v>-95.108530383344828</c:v>
                </c:pt>
                <c:pt idx="512">
                  <c:v>-96.233447297986004</c:v>
                </c:pt>
                <c:pt idx="513">
                  <c:v>-97.354242770040685</c:v>
                </c:pt>
                <c:pt idx="514">
                  <c:v>-98.470855089126871</c:v>
                </c:pt>
                <c:pt idx="515">
                  <c:v>-99.583214008615812</c:v>
                </c:pt>
                <c:pt idx="516">
                  <c:v>-100.69124045426514</c:v>
                </c:pt>
                <c:pt idx="517">
                  <c:v>-101.7948463007593</c:v>
                </c:pt>
                <c:pt idx="518">
                  <c:v>-102.89393421797271</c:v>
                </c:pt>
                <c:pt idx="519">
                  <c:v>-103.98839758829654</c:v>
                </c:pt>
                <c:pt idx="520">
                  <c:v>-105.07812049588139</c:v>
                </c:pt>
                <c:pt idx="521">
                  <c:v>-106.16297778812711</c:v>
                </c:pt>
                <c:pt idx="522">
                  <c:v>-107.24283520920791</c:v>
                </c:pt>
                <c:pt idx="523">
                  <c:v>-108.31754960487068</c:v>
                </c:pt>
                <c:pt idx="524">
                  <c:v>-109.38696919716986</c:v>
                </c:pt>
                <c:pt idx="525">
                  <c:v>-110.45093392722765</c:v>
                </c:pt>
                <c:pt idx="526">
                  <c:v>-111.50927586355265</c:v>
                </c:pt>
                <c:pt idx="527">
                  <c:v>-112.56181967287218</c:v>
                </c:pt>
                <c:pt idx="528">
                  <c:v>-113.60838314990559</c:v>
                </c:pt>
                <c:pt idx="529">
                  <c:v>-114.64877780199181</c:v>
                </c:pt>
                <c:pt idx="530">
                  <c:v>-115.68280948398599</c:v>
                </c:pt>
                <c:pt idx="531">
                  <c:v>-116.71027907842527</c:v>
                </c:pt>
                <c:pt idx="532">
                  <c:v>-117.73098321554953</c:v>
                </c:pt>
                <c:pt idx="533">
                  <c:v>-118.74471502744922</c:v>
                </c:pt>
                <c:pt idx="534">
                  <c:v>-119.7512649303156</c:v>
                </c:pt>
                <c:pt idx="535">
                  <c:v>-120.75042142858096</c:v>
                </c:pt>
                <c:pt idx="536">
                  <c:v>-121.74197193458077</c:v>
                </c:pt>
                <c:pt idx="537">
                  <c:v>-122.72570359732056</c:v>
                </c:pt>
                <c:pt idx="538">
                  <c:v>-123.70140413391741</c:v>
                </c:pt>
                <c:pt idx="539">
                  <c:v>-124.66886265738125</c:v>
                </c:pt>
                <c:pt idx="540">
                  <c:v>-125.62787049454212</c:v>
                </c:pt>
                <c:pt idx="541">
                  <c:v>-126.57822198815941</c:v>
                </c:pt>
              </c:numCache>
            </c:numRef>
          </c:yVal>
          <c:smooth val="1"/>
          <c:extLst>
            <c:ext xmlns:c16="http://schemas.microsoft.com/office/drawing/2014/chart" uri="{C3380CC4-5D6E-409C-BE32-E72D297353CC}">
              <c16:uniqueId val="{0000000B-ECAC-4E20-B866-0DB1B3DE6FE8}"/>
            </c:ext>
          </c:extLst>
        </c:ser>
        <c:dLbls>
          <c:showLegendKey val="0"/>
          <c:showVal val="0"/>
          <c:showCatName val="0"/>
          <c:showSerName val="0"/>
          <c:showPercent val="0"/>
          <c:showBubbleSize val="0"/>
        </c:dLbls>
        <c:axId val="387647744"/>
        <c:axId val="364517248"/>
      </c:scatterChart>
      <c:valAx>
        <c:axId val="357835904"/>
        <c:scaling>
          <c:logBase val="10"/>
          <c:orientation val="minMax"/>
          <c:max val="20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txPr>
          <a:bodyPr/>
          <a:lstStyle/>
          <a:p>
            <a:pPr>
              <a:defRPr b="1"/>
            </a:pPr>
            <a:endParaRPr lang="en-DE"/>
          </a:p>
        </c:txPr>
        <c:crossAx val="364477056"/>
        <c:crosses val="autoZero"/>
        <c:crossBetween val="midCat"/>
      </c:valAx>
      <c:valAx>
        <c:axId val="364477056"/>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b="1">
                <a:solidFill>
                  <a:srgbClr val="FF0000"/>
                </a:solidFill>
              </a:defRPr>
            </a:pPr>
            <a:endParaRPr lang="en-DE"/>
          </a:p>
        </c:txPr>
        <c:crossAx val="357835904"/>
        <c:crosses val="autoZero"/>
        <c:crossBetween val="midCat"/>
        <c:majorUnit val="20"/>
        <c:minorUnit val="10"/>
      </c:valAx>
      <c:valAx>
        <c:axId val="364517248"/>
        <c:scaling>
          <c:orientation val="minMax"/>
          <c:max val="180"/>
          <c:min val="-180"/>
        </c:scaling>
        <c:delete val="0"/>
        <c:axPos val="r"/>
        <c:title>
          <c:tx>
            <c:rich>
              <a:bodyPr rot="-5400000" vert="horz"/>
              <a:lstStyle/>
              <a:p>
                <a:pPr>
                  <a:defRPr/>
                </a:pPr>
                <a:r>
                  <a:rPr lang="en-US"/>
                  <a:t>Phase (deg)</a:t>
                </a:r>
              </a:p>
            </c:rich>
          </c:tx>
          <c:overlay val="0"/>
        </c:title>
        <c:numFmt formatCode="General" sourceLinked="1"/>
        <c:majorTickMark val="out"/>
        <c:minorTickMark val="none"/>
        <c:tickLblPos val="nextTo"/>
        <c:txPr>
          <a:bodyPr/>
          <a:lstStyle/>
          <a:p>
            <a:pPr>
              <a:defRPr b="1">
                <a:solidFill>
                  <a:schemeClr val="tx1">
                    <a:lumMod val="95000"/>
                    <a:lumOff val="5000"/>
                  </a:schemeClr>
                </a:solidFill>
              </a:defRPr>
            </a:pPr>
            <a:endParaRPr lang="en-DE"/>
          </a:p>
        </c:txPr>
        <c:crossAx val="387647744"/>
        <c:crosses val="max"/>
        <c:crossBetween val="midCat"/>
        <c:majorUnit val="90"/>
        <c:minorUnit val="45"/>
      </c:valAx>
      <c:valAx>
        <c:axId val="387647744"/>
        <c:scaling>
          <c:logBase val="10"/>
          <c:orientation val="minMax"/>
        </c:scaling>
        <c:delete val="1"/>
        <c:axPos val="b"/>
        <c:numFmt formatCode="0.00" sourceLinked="1"/>
        <c:majorTickMark val="out"/>
        <c:minorTickMark val="none"/>
        <c:tickLblPos val="nextTo"/>
        <c:crossAx val="364517248"/>
        <c:crosses val="autoZero"/>
        <c:crossBetween val="midCat"/>
      </c:valAx>
    </c:plotArea>
    <c:legend>
      <c:legendPos val="r"/>
      <c:legendEntry>
        <c:idx val="1"/>
        <c:delete val="1"/>
      </c:legendEntry>
      <c:legendEntry>
        <c:idx val="2"/>
        <c:delete val="1"/>
      </c:legendEntry>
      <c:legendEntry>
        <c:idx val="3"/>
        <c:delete val="1"/>
      </c:legendEntry>
      <c:legendEntry>
        <c:idx val="4"/>
        <c:delete val="1"/>
      </c:legendEntry>
      <c:legendEntry>
        <c:idx val="5"/>
        <c:delete val="1"/>
      </c:legendEntry>
      <c:layout>
        <c:manualLayout>
          <c:xMode val="edge"/>
          <c:yMode val="edge"/>
          <c:x val="0.61392536510371165"/>
          <c:y val="7.0381012799940294E-3"/>
          <c:w val="0.28497500584606611"/>
          <c:h val="7.9643865606846526E-2"/>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Total Control Loop Transfer Function</a:t>
            </a:r>
          </a:p>
        </c:rich>
      </c:tx>
      <c:overlay val="0"/>
    </c:title>
    <c:autoTitleDeleted val="0"/>
    <c:plotArea>
      <c:layout/>
      <c:scatterChart>
        <c:scatterStyle val="smoothMarker"/>
        <c:varyColors val="0"/>
        <c:ser>
          <c:idx val="0"/>
          <c:order val="0"/>
          <c:spPr>
            <a:ln w="38100">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Loop_Modeling!$BL$19:$BL$560</c:f>
              <c:numCache>
                <c:formatCode>General</c:formatCode>
                <c:ptCount val="542"/>
                <c:pt idx="0">
                  <c:v>84.476415445167618</c:v>
                </c:pt>
                <c:pt idx="1">
                  <c:v>84.264380267956142</c:v>
                </c:pt>
                <c:pt idx="2">
                  <c:v>84.051813777348642</c:v>
                </c:pt>
                <c:pt idx="3">
                  <c:v>83.838694167660833</c:v>
                </c:pt>
                <c:pt idx="4">
                  <c:v>83.62499888612858</c:v>
                </c:pt>
                <c:pt idx="5">
                  <c:v>83.410704620546383</c:v>
                </c:pt>
                <c:pt idx="6">
                  <c:v>83.195787287981432</c:v>
                </c:pt>
                <c:pt idx="7">
                  <c:v>82.980222024707743</c:v>
                </c:pt>
                <c:pt idx="8">
                  <c:v>82.763983177513083</c:v>
                </c:pt>
                <c:pt idx="9">
                  <c:v>82.547044296539482</c:v>
                </c:pt>
                <c:pt idx="10">
                  <c:v>82.32937812982567</c:v>
                </c:pt>
                <c:pt idx="11">
                  <c:v>82.110956619729365</c:v>
                </c:pt>
                <c:pt idx="12">
                  <c:v>81.891750901411399</c:v>
                </c:pt>
                <c:pt idx="13">
                  <c:v>81.671731303573253</c:v>
                </c:pt>
                <c:pt idx="14">
                  <c:v>81.450867351642785</c:v>
                </c:pt>
                <c:pt idx="15">
                  <c:v>81.229127773610173</c:v>
                </c:pt>
                <c:pt idx="16">
                  <c:v>81.006480508717686</c:v>
                </c:pt>
                <c:pt idx="17">
                  <c:v>80.782892719210366</c:v>
                </c:pt>
                <c:pt idx="18">
                  <c:v>80.558330805355155</c:v>
                </c:pt>
                <c:pt idx="19">
                  <c:v>80.332760423935113</c:v>
                </c:pt>
                <c:pt idx="20">
                  <c:v>80.106146510423528</c:v>
                </c:pt>
                <c:pt idx="21">
                  <c:v>79.878453305034611</c:v>
                </c:pt>
                <c:pt idx="22">
                  <c:v>79.649644382845935</c:v>
                </c:pt>
                <c:pt idx="23">
                  <c:v>79.419682688170667</c:v>
                </c:pt>
                <c:pt idx="24">
                  <c:v>79.18853057335096</c:v>
                </c:pt>
                <c:pt idx="25">
                  <c:v>78.956149842124944</c:v>
                </c:pt>
                <c:pt idx="26">
                  <c:v>78.722501797702591</c:v>
                </c:pt>
                <c:pt idx="27">
                  <c:v>78.487547295662026</c:v>
                </c:pt>
                <c:pt idx="28">
                  <c:v>78.251246801755315</c:v>
                </c:pt>
                <c:pt idx="29">
                  <c:v>78.013560454680473</c:v>
                </c:pt>
                <c:pt idx="30">
                  <c:v>77.774448133847258</c:v>
                </c:pt>
                <c:pt idx="31">
                  <c:v>77.533869532127127</c:v>
                </c:pt>
                <c:pt idx="32">
                  <c:v>77.291784233540014</c:v>
                </c:pt>
                <c:pt idx="33">
                  <c:v>77.048151795786339</c:v>
                </c:pt>
                <c:pt idx="34">
                  <c:v>76.802931837491016</c:v>
                </c:pt>
                <c:pt idx="35">
                  <c:v>76.556084129976682</c:v>
                </c:pt>
                <c:pt idx="36">
                  <c:v>76.307568693333153</c:v>
                </c:pt>
                <c:pt idx="37">
                  <c:v>76.05734589650163</c:v>
                </c:pt>
                <c:pt idx="38">
                  <c:v>75.805376561036539</c:v>
                </c:pt>
                <c:pt idx="39">
                  <c:v>75.551622068156689</c:v>
                </c:pt>
                <c:pt idx="40">
                  <c:v>75.296044468644951</c:v>
                </c:pt>
                <c:pt idx="41">
                  <c:v>75.038606595102166</c:v>
                </c:pt>
                <c:pt idx="42">
                  <c:v>74.779272176012782</c:v>
                </c:pt>
                <c:pt idx="43">
                  <c:v>74.518005951030972</c:v>
                </c:pt>
                <c:pt idx="44">
                  <c:v>74.254773786853434</c:v>
                </c:pt>
                <c:pt idx="45">
                  <c:v>73.989542793004702</c:v>
                </c:pt>
                <c:pt idx="46">
                  <c:v>73.722281436827217</c:v>
                </c:pt>
                <c:pt idx="47">
                  <c:v>73.45295965694109</c:v>
                </c:pt>
                <c:pt idx="48">
                  <c:v>73.181548974416927</c:v>
                </c:pt>
                <c:pt idx="49">
                  <c:v>72.908022600893304</c:v>
                </c:pt>
                <c:pt idx="50">
                  <c:v>72.632355542865184</c:v>
                </c:pt>
                <c:pt idx="51">
                  <c:v>72.354524701374061</c:v>
                </c:pt>
                <c:pt idx="52">
                  <c:v>72.074508966345405</c:v>
                </c:pt>
                <c:pt idx="53">
                  <c:v>71.79228930484112</c:v>
                </c:pt>
                <c:pt idx="54">
                  <c:v>71.50784884252846</c:v>
                </c:pt>
                <c:pt idx="55">
                  <c:v>71.221172937709142</c:v>
                </c:pt>
                <c:pt idx="56">
                  <c:v>70.932249247304114</c:v>
                </c:pt>
                <c:pt idx="57">
                  <c:v>70.641067784249302</c:v>
                </c:pt>
                <c:pt idx="58">
                  <c:v>70.347620965825939</c:v>
                </c:pt>
                <c:pt idx="59">
                  <c:v>70.051903652525198</c:v>
                </c:pt>
                <c:pt idx="60">
                  <c:v>69.753913177126762</c:v>
                </c:pt>
                <c:pt idx="61">
                  <c:v>69.453649363758302</c:v>
                </c:pt>
                <c:pt idx="62">
                  <c:v>69.151114536792505</c:v>
                </c:pt>
                <c:pt idx="63">
                  <c:v>68.846313519529843</c:v>
                </c:pt>
                <c:pt idx="64">
                  <c:v>68.539253622709481</c:v>
                </c:pt>
                <c:pt idx="65">
                  <c:v>68.229944622981748</c:v>
                </c:pt>
                <c:pt idx="66">
                  <c:v>67.918398731567194</c:v>
                </c:pt>
                <c:pt idx="67">
                  <c:v>67.604630553414424</c:v>
                </c:pt>
                <c:pt idx="68">
                  <c:v>67.288657037250047</c:v>
                </c:pt>
                <c:pt idx="69">
                  <c:v>66.970497416992274</c:v>
                </c:pt>
                <c:pt idx="70">
                  <c:v>66.650173145068862</c:v>
                </c:pt>
                <c:pt idx="71">
                  <c:v>66.327707818242274</c:v>
                </c:pt>
                <c:pt idx="72">
                  <c:v>66.003127096597623</c:v>
                </c:pt>
                <c:pt idx="73">
                  <c:v>65.676458616394612</c:v>
                </c:pt>
                <c:pt idx="74">
                  <c:v>65.347731897519864</c:v>
                </c:pt>
                <c:pt idx="75">
                  <c:v>65.016978246298294</c:v>
                </c:pt>
                <c:pt idx="76">
                  <c:v>64.684230654443951</c:v>
                </c:pt>
                <c:pt idx="77">
                  <c:v>64.349523694930639</c:v>
                </c:pt>
                <c:pt idx="78">
                  <c:v>64.012893415565713</c:v>
                </c:pt>
                <c:pt idx="79">
                  <c:v>63.674377231034441</c:v>
                </c:pt>
                <c:pt idx="80">
                  <c:v>63.334013814168131</c:v>
                </c:pt>
                <c:pt idx="81">
                  <c:v>62.991842987157852</c:v>
                </c:pt>
                <c:pt idx="82">
                  <c:v>62.647905613407644</c:v>
                </c:pt>
                <c:pt idx="83">
                  <c:v>62.302243490679203</c:v>
                </c:pt>
                <c:pt idx="84">
                  <c:v>61.954899246138908</c:v>
                </c:pt>
                <c:pt idx="85">
                  <c:v>61.605916233871376</c:v>
                </c:pt>
                <c:pt idx="86">
                  <c:v>61.255338435372693</c:v>
                </c:pt>
                <c:pt idx="87">
                  <c:v>60.903210363487055</c:v>
                </c:pt>
                <c:pt idx="88">
                  <c:v>60.549576970195467</c:v>
                </c:pt>
                <c:pt idx="89">
                  <c:v>60.194483558614053</c:v>
                </c:pt>
                <c:pt idx="90">
                  <c:v>59.837975699505151</c:v>
                </c:pt>
                <c:pt idx="91">
                  <c:v>59.480099152553841</c:v>
                </c:pt>
                <c:pt idx="92">
                  <c:v>59.120899792610757</c:v>
                </c:pt>
                <c:pt idx="93">
                  <c:v>58.760423541056056</c:v>
                </c:pt>
                <c:pt idx="94">
                  <c:v>58.398716302389929</c:v>
                </c:pt>
                <c:pt idx="95">
                  <c:v>58.035823906116903</c:v>
                </c:pt>
                <c:pt idx="96">
                  <c:v>57.671792053946255</c:v>
                </c:pt>
                <c:pt idx="97">
                  <c:v>57.30666627229725</c:v>
                </c:pt>
                <c:pt idx="98">
                  <c:v>56.940491870062715</c:v>
                </c:pt>
                <c:pt idx="99">
                  <c:v>56.573313901554918</c:v>
                </c:pt>
                <c:pt idx="100">
                  <c:v>56.205177134530828</c:v>
                </c:pt>
                <c:pt idx="101">
                  <c:v>55.836126023168326</c:v>
                </c:pt>
                <c:pt idx="102">
                  <c:v>55.466204685848098</c:v>
                </c:pt>
                <c:pt idx="103">
                  <c:v>55.095456887573668</c:v>
                </c:pt>
                <c:pt idx="104">
                  <c:v>54.723926026851906</c:v>
                </c:pt>
                <c:pt idx="105">
                  <c:v>54.351655126840043</c:v>
                </c:pt>
                <c:pt idx="106">
                  <c:v>53.978686830558978</c:v>
                </c:pt>
                <c:pt idx="107">
                  <c:v>53.605063399963328</c:v>
                </c:pt>
                <c:pt idx="108">
                  <c:v>53.230826718653844</c:v>
                </c:pt>
                <c:pt idx="109">
                  <c:v>52.856018298013439</c:v>
                </c:pt>
                <c:pt idx="110">
                  <c:v>52.480679286547286</c:v>
                </c:pt>
                <c:pt idx="111">
                  <c:v>52.104850482205535</c:v>
                </c:pt>
                <c:pt idx="112">
                  <c:v>51.72857234746759</c:v>
                </c:pt>
                <c:pt idx="113">
                  <c:v>51.351885026968262</c:v>
                </c:pt>
                <c:pt idx="114">
                  <c:v>50.974828367448524</c:v>
                </c:pt>
                <c:pt idx="115">
                  <c:v>50.597441939814203</c:v>
                </c:pt>
                <c:pt idx="116">
                  <c:v>50.219765063092197</c:v>
                </c:pt>
                <c:pt idx="117">
                  <c:v>49.841836830071514</c:v>
                </c:pt>
                <c:pt idx="118">
                  <c:v>49.463696134424957</c:v>
                </c:pt>
                <c:pt idx="119">
                  <c:v>49.085381699107131</c:v>
                </c:pt>
                <c:pt idx="120">
                  <c:v>48.706932105826937</c:v>
                </c:pt>
                <c:pt idx="121">
                  <c:v>48.328385825396829</c:v>
                </c:pt>
                <c:pt idx="122">
                  <c:v>47.949781248763358</c:v>
                </c:pt>
                <c:pt idx="123">
                  <c:v>47.571156718522836</c:v>
                </c:pt>
                <c:pt idx="124">
                  <c:v>47.192550560730702</c:v>
                </c:pt>
                <c:pt idx="125">
                  <c:v>46.814001116810964</c:v>
                </c:pt>
                <c:pt idx="126">
                  <c:v>46.435546775373773</c:v>
                </c:pt>
                <c:pt idx="127">
                  <c:v>46.057226003749953</c:v>
                </c:pt>
                <c:pt idx="128">
                  <c:v>45.679077379048387</c:v>
                </c:pt>
                <c:pt idx="129">
                  <c:v>45.30113961854088</c:v>
                </c:pt>
                <c:pt idx="130">
                  <c:v>44.923451609180731</c:v>
                </c:pt>
                <c:pt idx="131">
                  <c:v>44.546052436055284</c:v>
                </c:pt>
                <c:pt idx="132">
                  <c:v>44.168981409571231</c:v>
                </c:pt>
                <c:pt idx="133">
                  <c:v>43.792278091170303</c:v>
                </c:pt>
                <c:pt idx="134">
                  <c:v>43.415982317368282</c:v>
                </c:pt>
                <c:pt idx="135">
                  <c:v>43.040134221907095</c:v>
                </c:pt>
                <c:pt idx="136">
                  <c:v>42.664774255809554</c:v>
                </c:pt>
                <c:pt idx="137">
                  <c:v>42.289943205117751</c:v>
                </c:pt>
                <c:pt idx="138">
                  <c:v>41.915682206102439</c:v>
                </c:pt>
                <c:pt idx="139">
                  <c:v>41.542032757718836</c:v>
                </c:pt>
                <c:pt idx="140">
                  <c:v>41.169036731091722</c:v>
                </c:pt>
                <c:pt idx="141">
                  <c:v>40.796736375805864</c:v>
                </c:pt>
                <c:pt idx="142">
                  <c:v>40.425174322783768</c:v>
                </c:pt>
                <c:pt idx="143">
                  <c:v>40.054393583531521</c:v>
                </c:pt>
                <c:pt idx="144">
                  <c:v>39.684437545536703</c:v>
                </c:pt>
                <c:pt idx="145">
                  <c:v>39.315349963611588</c:v>
                </c:pt>
                <c:pt idx="146">
                  <c:v>38.947174946977668</c:v>
                </c:pt>
                <c:pt idx="147">
                  <c:v>38.579956941899994</c:v>
                </c:pt>
                <c:pt idx="148">
                  <c:v>38.213740709690555</c:v>
                </c:pt>
                <c:pt idx="149">
                  <c:v>37.848571299915072</c:v>
                </c:pt>
                <c:pt idx="150">
                  <c:v>37.484494018654949</c:v>
                </c:pt>
                <c:pt idx="151">
                  <c:v>37.121554391695547</c:v>
                </c:pt>
                <c:pt idx="152">
                  <c:v>36.759798122538513</c:v>
                </c:pt>
                <c:pt idx="153">
                  <c:v>36.399271045157704</c:v>
                </c:pt>
                <c:pt idx="154">
                  <c:v>36.040019071454054</c:v>
                </c:pt>
                <c:pt idx="155">
                  <c:v>35.682088133394039</c:v>
                </c:pt>
                <c:pt idx="156">
                  <c:v>35.325524119854748</c:v>
                </c:pt>
                <c:pt idx="157">
                  <c:v>34.970372808238572</c:v>
                </c:pt>
                <c:pt idx="158">
                  <c:v>34.616679790962905</c:v>
                </c:pt>
                <c:pt idx="159">
                  <c:v>34.26449039697691</c:v>
                </c:pt>
                <c:pt idx="160">
                  <c:v>33.913849608504073</c:v>
                </c:pt>
                <c:pt idx="161">
                  <c:v>33.564801973260955</c:v>
                </c:pt>
                <c:pt idx="162">
                  <c:v>33.217391512454022</c:v>
                </c:pt>
                <c:pt idx="163">
                  <c:v>32.871661624907176</c:v>
                </c:pt>
                <c:pt idx="164">
                  <c:v>32.527654987730507</c:v>
                </c:pt>
                <c:pt idx="165">
                  <c:v>32.185413453987685</c:v>
                </c:pt>
                <c:pt idx="166">
                  <c:v>31.844977947875019</c:v>
                </c:pt>
                <c:pt idx="167">
                  <c:v>31.506388357975098</c:v>
                </c:pt>
                <c:pt idx="168">
                  <c:v>31.169683429190851</c:v>
                </c:pt>
                <c:pt idx="169">
                  <c:v>30.834900654015019</c:v>
                </c:pt>
                <c:pt idx="170">
                  <c:v>30.502076163821389</c:v>
                </c:pt>
                <c:pt idx="171">
                  <c:v>30.171244620905249</c:v>
                </c:pt>
                <c:pt idx="172">
                  <c:v>29.842439112018834</c:v>
                </c:pt>
                <c:pt idx="173">
                  <c:v>29.515691044173693</c:v>
                </c:pt>
                <c:pt idx="174">
                  <c:v>29.191030043489384</c:v>
                </c:pt>
                <c:pt idx="175">
                  <c:v>28.868483857872175</c:v>
                </c:pt>
                <c:pt idx="176">
                  <c:v>28.548078264302326</c:v>
                </c:pt>
                <c:pt idx="177">
                  <c:v>28.22983698149028</c:v>
                </c:pt>
                <c:pt idx="178">
                  <c:v>27.913781588640859</c:v>
                </c:pt>
                <c:pt idx="179">
                  <c:v>27.599931451026535</c:v>
                </c:pt>
                <c:pt idx="180">
                  <c:v>27.288303653029409</c:v>
                </c:pt>
                <c:pt idx="181">
                  <c:v>26.97891293925629</c:v>
                </c:pt>
                <c:pt idx="182">
                  <c:v>26.671771664271269</c:v>
                </c:pt>
                <c:pt idx="183">
                  <c:v>26.366889751420377</c:v>
                </c:pt>
                <c:pt idx="184">
                  <c:v>26.064274661145102</c:v>
                </c:pt>
                <c:pt idx="185">
                  <c:v>25.763931369102458</c:v>
                </c:pt>
                <c:pt idx="186">
                  <c:v>25.465862354317707</c:v>
                </c:pt>
                <c:pt idx="187">
                  <c:v>25.170067597510783</c:v>
                </c:pt>
                <c:pt idx="188">
                  <c:v>24.876544589640758</c:v>
                </c:pt>
                <c:pt idx="189">
                  <c:v>24.585288350621639</c:v>
                </c:pt>
                <c:pt idx="190">
                  <c:v>24.296291458070719</c:v>
                </c:pt>
                <c:pt idx="191">
                  <c:v>24.009544085859787</c:v>
                </c:pt>
                <c:pt idx="192">
                  <c:v>23.72503405215372</c:v>
                </c:pt>
                <c:pt idx="193">
                  <c:v>23.442746876539037</c:v>
                </c:pt>
                <c:pt idx="194">
                  <c:v>23.162665845769965</c:v>
                </c:pt>
                <c:pt idx="195">
                  <c:v>22.884772087590282</c:v>
                </c:pt>
                <c:pt idx="196">
                  <c:v>22.609044652029361</c:v>
                </c:pt>
                <c:pt idx="197">
                  <c:v>22.335460599518015</c:v>
                </c:pt>
                <c:pt idx="198">
                  <c:v>22.063995095128547</c:v>
                </c:pt>
                <c:pt idx="199">
                  <c:v>21.794621508207182</c:v>
                </c:pt>
                <c:pt idx="200">
                  <c:v>21.527311516646282</c:v>
                </c:pt>
                <c:pt idx="201">
                  <c:v>21.262035215027943</c:v>
                </c:pt>
                <c:pt idx="202">
                  <c:v>20.998761225865383</c:v>
                </c:pt>
                <c:pt idx="203">
                  <c:v>20.737456813173672</c:v>
                </c:pt>
                <c:pt idx="204">
                  <c:v>20.47808799761302</c:v>
                </c:pt>
                <c:pt idx="205">
                  <c:v>20.220619672469237</c:v>
                </c:pt>
                <c:pt idx="206">
                  <c:v>19.965015719761887</c:v>
                </c:pt>
                <c:pt idx="207">
                  <c:v>19.711239125805445</c:v>
                </c:pt>
                <c:pt idx="208">
                  <c:v>19.459252095588404</c:v>
                </c:pt>
                <c:pt idx="209">
                  <c:v>19.209016165377136</c:v>
                </c:pt>
                <c:pt idx="210">
                  <c:v>18.960492313000273</c:v>
                </c:pt>
                <c:pt idx="211">
                  <c:v>18.713641065318409</c:v>
                </c:pt>
                <c:pt idx="212">
                  <c:v>18.468422602436476</c:v>
                </c:pt>
                <c:pt idx="213">
                  <c:v>18.224796858267098</c:v>
                </c:pt>
                <c:pt idx="214">
                  <c:v>17.982723617109226</c:v>
                </c:pt>
                <c:pt idx="215">
                  <c:v>17.742162605955624</c:v>
                </c:pt>
                <c:pt idx="216">
                  <c:v>17.503073582296999</c:v>
                </c:pt>
                <c:pt idx="217">
                  <c:v>17.26541641723848</c:v>
                </c:pt>
                <c:pt idx="218">
                  <c:v>17.02915117379149</c:v>
                </c:pt>
                <c:pt idx="219">
                  <c:v>16.794238180252279</c:v>
                </c:pt>
                <c:pt idx="220">
                  <c:v>16.560638098614511</c:v>
                </c:pt>
                <c:pt idx="221">
                  <c:v>16.328311988010213</c:v>
                </c:pt>
                <c:pt idx="222">
                  <c:v>16.097221363201129</c:v>
                </c:pt>
                <c:pt idx="223">
                  <c:v>15.867328248180845</c:v>
                </c:pt>
                <c:pt idx="224">
                  <c:v>15.638595224974344</c:v>
                </c:pt>
                <c:pt idx="225">
                  <c:v>15.41098547774741</c:v>
                </c:pt>
                <c:pt idx="226">
                  <c:v>15.184462832361092</c:v>
                </c:pt>
                <c:pt idx="227">
                  <c:v>14.958991791524518</c:v>
                </c:pt>
                <c:pt idx="228">
                  <c:v>14.734537565716622</c:v>
                </c:pt>
                <c:pt idx="229">
                  <c:v>14.511066100058052</c:v>
                </c:pt>
                <c:pt idx="230">
                  <c:v>14.288544097326403</c:v>
                </c:pt>
                <c:pt idx="231">
                  <c:v>14.066939037315443</c:v>
                </c:pt>
                <c:pt idx="232">
                  <c:v>13.846219192742687</c:v>
                </c:pt>
                <c:pt idx="233">
                  <c:v>13.626353641912743</c:v>
                </c:pt>
                <c:pt idx="234">
                  <c:v>13.407312278348344</c:v>
                </c:pt>
                <c:pt idx="235">
                  <c:v>13.189065817594638</c:v>
                </c:pt>
                <c:pt idx="236">
                  <c:v>12.971585801404469</c:v>
                </c:pt>
                <c:pt idx="237">
                  <c:v>12.754844599507864</c:v>
                </c:pt>
                <c:pt idx="238">
                  <c:v>12.538815409162126</c:v>
                </c:pt>
                <c:pt idx="239">
                  <c:v>12.32347225267706</c:v>
                </c:pt>
                <c:pt idx="240">
                  <c:v>12.108789973099922</c:v>
                </c:pt>
                <c:pt idx="241">
                  <c:v>11.894744228239437</c:v>
                </c:pt>
                <c:pt idx="242">
                  <c:v>11.681311483200567</c:v>
                </c:pt>
                <c:pt idx="243">
                  <c:v>11.468469001593412</c:v>
                </c:pt>
                <c:pt idx="244">
                  <c:v>11.256194835572089</c:v>
                </c:pt>
                <c:pt idx="245">
                  <c:v>11.044467814849071</c:v>
                </c:pt>
                <c:pt idx="246">
                  <c:v>10.833267534826426</c:v>
                </c:pt>
                <c:pt idx="247">
                  <c:v>10.622574343971554</c:v>
                </c:pt>
                <c:pt idx="248">
                  <c:v>10.412369330561589</c:v>
                </c:pt>
                <c:pt idx="249">
                  <c:v>10.202634308909326</c:v>
                </c:pt>
                <c:pt idx="250">
                  <c:v>9.9933518051780919</c:v>
                </c:pt>
                <c:pt idx="251">
                  <c:v>9.7845050428822624</c:v>
                </c:pt>
                <c:pt idx="252">
                  <c:v>9.5760779281667148</c:v>
                </c:pt>
                <c:pt idx="253">
                  <c:v>9.3680550349479592</c:v>
                </c:pt>
                <c:pt idx="254">
                  <c:v>9.1604215899946269</c:v>
                </c:pt>
                <c:pt idx="255">
                  <c:v>8.9531634580181496</c:v>
                </c:pt>
                <c:pt idx="256">
                  <c:v>8.746267126839518</c:v>
                </c:pt>
                <c:pt idx="257">
                  <c:v>8.5397196926891787</c:v>
                </c:pt>
                <c:pt idx="258">
                  <c:v>8.3335088456962954</c:v>
                </c:pt>
                <c:pt idx="259">
                  <c:v>8.1276228556136161</c:v>
                </c:pt>
                <c:pt idx="260">
                  <c:v>7.9220505578244671</c:v>
                </c:pt>
                <c:pt idx="261">
                  <c:v>7.716781339668942</c:v>
                </c:pt>
                <c:pt idx="262">
                  <c:v>7.5118051271272188</c:v>
                </c:pt>
                <c:pt idx="263">
                  <c:v>7.3071123718899464</c:v>
                </c:pt>
                <c:pt idx="264">
                  <c:v>7.1026940388453728</c:v>
                </c:pt>
                <c:pt idx="265">
                  <c:v>6.8985415940083081</c:v>
                </c:pt>
                <c:pt idx="266">
                  <c:v>6.6946469929114478</c:v>
                </c:pt>
                <c:pt idx="267">
                  <c:v>6.4910026694827492</c:v>
                </c:pt>
                <c:pt idx="268">
                  <c:v>6.2876015254215698</c:v>
                </c:pt>
                <c:pt idx="269">
                  <c:v>6.0844369200924131</c:v>
                </c:pt>
                <c:pt idx="270">
                  <c:v>5.8815026609477759</c:v>
                </c:pt>
                <c:pt idx="271">
                  <c:v>5.6787929944915767</c:v>
                </c:pt>
                <c:pt idx="272">
                  <c:v>5.4763025977951081</c:v>
                </c:pt>
                <c:pt idx="273">
                  <c:v>5.2740265705713076</c:v>
                </c:pt>
                <c:pt idx="274">
                  <c:v>5.0719604278173946</c:v>
                </c:pt>
                <c:pt idx="275">
                  <c:v>4.8701000930306488</c:v>
                </c:pt>
                <c:pt idx="276">
                  <c:v>4.6684418920039734</c:v>
                </c:pt>
                <c:pt idx="277">
                  <c:v>4.4669825472057987</c:v>
                </c:pt>
                <c:pt idx="278">
                  <c:v>4.2657191727468664</c:v>
                </c:pt>
                <c:pt idx="279">
                  <c:v>4.0646492699405092</c:v>
                </c:pt>
                <c:pt idx="280">
                  <c:v>3.8637707234566472</c:v>
                </c:pt>
                <c:pt idx="281">
                  <c:v>3.6630817980732044</c:v>
                </c:pt>
                <c:pt idx="282">
                  <c:v>3.4625811360282519</c:v>
                </c:pt>
                <c:pt idx="283">
                  <c:v>3.2622677549735495</c:v>
                </c:pt>
                <c:pt idx="284">
                  <c:v>3.062141046531202</c:v>
                </c:pt>
                <c:pt idx="285">
                  <c:v>2.862200775458112</c:v>
                </c:pt>
                <c:pt idx="286">
                  <c:v>2.6624470794151378</c:v>
                </c:pt>
                <c:pt idx="287">
                  <c:v>2.4628804693469246</c:v>
                </c:pt>
                <c:pt idx="288">
                  <c:v>2.263501830471002</c:v>
                </c:pt>
                <c:pt idx="289">
                  <c:v>2.064312423878842</c:v>
                </c:pt>
                <c:pt idx="290">
                  <c:v>1.8653138887492784</c:v>
                </c:pt>
                <c:pt idx="291">
                  <c:v>1.6665082451769835</c:v>
                </c:pt>
                <c:pt idx="292">
                  <c:v>1.4678978976143899</c:v>
                </c:pt>
                <c:pt idx="293">
                  <c:v>1.2694856389316003</c:v>
                </c:pt>
                <c:pt idx="294">
                  <c:v>1.0712746550911607</c:v>
                </c:pt>
                <c:pt idx="295">
                  <c:v>0.87326853044159369</c:v>
                </c:pt>
                <c:pt idx="296">
                  <c:v>0.6754712536269627</c:v>
                </c:pt>
                <c:pt idx="297">
                  <c:v>0.47788722411577772</c:v>
                </c:pt>
                <c:pt idx="298">
                  <c:v>0.28052125934415989</c:v>
                </c:pt>
                <c:pt idx="299">
                  <c:v>8.3378602477004127E-2</c:v>
                </c:pt>
                <c:pt idx="300">
                  <c:v>-0.11353506921862608</c:v>
                </c:pt>
                <c:pt idx="301">
                  <c:v>-0.31021363538753977</c:v>
                </c:pt>
                <c:pt idx="302">
                  <c:v>-0.50665052299257829</c:v>
                </c:pt>
                <c:pt idx="303">
                  <c:v>-0.70283869611737948</c:v>
                </c:pt>
                <c:pt idx="304">
                  <c:v>-0.89877064517011807</c:v>
                </c:pt>
                <c:pt idx="305">
                  <c:v>-1.0944383754959195</c:v>
                </c:pt>
                <c:pt idx="306">
                  <c:v>-1.2898333954058572</c:v>
                </c:pt>
                <c:pt idx="307">
                  <c:v>-1.4849467036324135</c:v>
                </c:pt>
                <c:pt idx="308">
                  <c:v>-1.6797687762238058</c:v>
                </c:pt>
                <c:pt idx="309">
                  <c:v>-1.8742895528897758</c:v>
                </c:pt>
                <c:pt idx="310">
                  <c:v>-2.0684984228168481</c:v>
                </c:pt>
                <c:pt idx="311">
                  <c:v>-2.2623842099701656</c:v>
                </c:pt>
                <c:pt idx="312">
                  <c:v>-2.4559351579050452</c:v>
                </c:pt>
                <c:pt idx="313">
                  <c:v>-2.6491389141121422</c:v>
                </c:pt>
                <c:pt idx="314">
                  <c:v>-2.841982513925239</c:v>
                </c:pt>
                <c:pt idx="315">
                  <c:v>-3.0344523640223011</c:v>
                </c:pt>
                <c:pt idx="316">
                  <c:v>-3.2265342255582175</c:v>
                </c:pt>
                <c:pt idx="317">
                  <c:v>-3.4182131969673071</c:v>
                </c:pt>
                <c:pt idx="318">
                  <c:v>-3.6094736964820875</c:v>
                </c:pt>
                <c:pt idx="319">
                  <c:v>-3.8002994444193683</c:v>
                </c:pt>
                <c:pt idx="320">
                  <c:v>-3.9906734452873751</c:v>
                </c:pt>
                <c:pt idx="321">
                  <c:v>-4.1805779697784908</c:v>
                </c:pt>
                <c:pt idx="322">
                  <c:v>-4.3699945367126061</c:v>
                </c:pt>
                <c:pt idx="323">
                  <c:v>-4.5589038950092133</c:v>
                </c:pt>
                <c:pt idx="324">
                  <c:v>-4.7472860057661119</c:v>
                </c:pt>
                <c:pt idx="325">
                  <c:v>-4.935120024537393</c:v>
                </c:pt>
                <c:pt idx="326">
                  <c:v>-5.122384283904621</c:v>
                </c:pt>
                <c:pt idx="327">
                  <c:v>-5.3090562764484979</c:v>
                </c:pt>
                <c:pt idx="328">
                  <c:v>-5.495112638232329</c:v>
                </c:pt>
                <c:pt idx="329">
                  <c:v>-5.6805291329207366</c:v>
                </c:pt>
                <c:pt idx="330">
                  <c:v>-5.8652806366641306</c:v>
                </c:pt>
                <c:pt idx="331">
                  <c:v>-6.0493411238884782</c:v>
                </c:pt>
                <c:pt idx="332">
                  <c:v>-6.2326836541403523</c:v>
                </c:pt>
                <c:pt idx="333">
                  <c:v>-6.4152803601462978</c:v>
                </c:pt>
                <c:pt idx="334">
                  <c:v>-6.5971024372529783</c:v>
                </c:pt>
                <c:pt idx="335">
                  <c:v>-6.7781201344268585</c:v>
                </c:pt>
                <c:pt idx="336">
                  <c:v>-6.9583027469989087</c:v>
                </c:pt>
                <c:pt idx="337">
                  <c:v>-7.1376186113491649</c:v>
                </c:pt>
                <c:pt idx="338">
                  <c:v>-7.3160351017351335</c:v>
                </c:pt>
                <c:pt idx="339">
                  <c:v>-7.4935186294727982</c:v>
                </c:pt>
                <c:pt idx="340">
                  <c:v>-7.6700346446901637</c:v>
                </c:pt>
                <c:pt idx="341">
                  <c:v>-7.845547640876446</c:v>
                </c:pt>
                <c:pt idx="342">
                  <c:v>-8.020021162453391</c:v>
                </c:pt>
                <c:pt idx="343">
                  <c:v>-8.1934178156040041</c:v>
                </c:pt>
                <c:pt idx="344">
                  <c:v>-8.3656992825905192</c:v>
                </c:pt>
                <c:pt idx="345">
                  <c:v>-8.5368263397980026</c:v>
                </c:pt>
                <c:pt idx="346">
                  <c:v>-8.7067588797354993</c:v>
                </c:pt>
                <c:pt idx="347">
                  <c:v>-8.8754559372252917</c:v>
                </c:pt>
                <c:pt idx="348">
                  <c:v>-9.0428757200044725</c:v>
                </c:pt>
                <c:pt idx="349">
                  <c:v>-9.2089756439545081</c:v>
                </c:pt>
                <c:pt idx="350">
                  <c:v>-9.3737123731620358</c:v>
                </c:pt>
                <c:pt idx="351">
                  <c:v>-9.5370418650044382</c:v>
                </c:pt>
                <c:pt idx="352">
                  <c:v>-9.6989194204319755</c:v>
                </c:pt>
                <c:pt idx="353">
                  <c:v>-9.8592997396017257</c:v>
                </c:pt>
                <c:pt idx="354">
                  <c:v>-10.018136982994033</c:v>
                </c:pt>
                <c:pt idx="355">
                  <c:v>-10.175384838116987</c:v>
                </c:pt>
                <c:pt idx="356">
                  <c:v>-10.330996591872328</c:v>
                </c:pt>
                <c:pt idx="357">
                  <c:v>-10.484925208627212</c:v>
                </c:pt>
                <c:pt idx="358">
                  <c:v>-10.637123413997502</c:v>
                </c:pt>
                <c:pt idx="359">
                  <c:v>-10.787543784310339</c:v>
                </c:pt>
                <c:pt idx="360">
                  <c:v>-10.93613884167377</c:v>
                </c:pt>
                <c:pt idx="361">
                  <c:v>-11.082861154536232</c:v>
                </c:pt>
                <c:pt idx="362">
                  <c:v>-11.227663443574041</c:v>
                </c:pt>
                <c:pt idx="363">
                  <c:v>-11.370498692698705</c:v>
                </c:pt>
                <c:pt idx="364">
                  <c:v>-11.511320264926868</c:v>
                </c:pt>
                <c:pt idx="365">
                  <c:v>-11.650082022809784</c:v>
                </c:pt>
                <c:pt idx="366">
                  <c:v>-11.786738453070736</c:v>
                </c:pt>
                <c:pt idx="367">
                  <c:v>-11.92124479505247</c:v>
                </c:pt>
                <c:pt idx="368">
                  <c:v>-12.053557172532196</c:v>
                </c:pt>
                <c:pt idx="369">
                  <c:v>-12.183632728422181</c:v>
                </c:pt>
                <c:pt idx="370">
                  <c:v>-12.311429761832546</c:v>
                </c:pt>
                <c:pt idx="371">
                  <c:v>-12.436907866940089</c:v>
                </c:pt>
                <c:pt idx="372">
                  <c:v>-12.560028073080518</c:v>
                </c:pt>
                <c:pt idx="373">
                  <c:v>-12.680752985452727</c:v>
                </c:pt>
                <c:pt idx="374">
                  <c:v>-12.799046925812199</c:v>
                </c:pt>
                <c:pt idx="375">
                  <c:v>-12.914876072515408</c:v>
                </c:pt>
                <c:pt idx="376">
                  <c:v>-13.028208599276866</c:v>
                </c:pt>
                <c:pt idx="377">
                  <c:v>-13.139014812002806</c:v>
                </c:pt>
                <c:pt idx="378">
                  <c:v>-13.24726728307656</c:v>
                </c:pt>
                <c:pt idx="379">
                  <c:v>-13.352940982490182</c:v>
                </c:pt>
                <c:pt idx="380">
                  <c:v>-13.456013405242134</c:v>
                </c:pt>
                <c:pt idx="381">
                  <c:v>-13.556464694451787</c:v>
                </c:pt>
                <c:pt idx="382">
                  <c:v>-13.654277759681978</c:v>
                </c:pt>
                <c:pt idx="383">
                  <c:v>-13.749438390001449</c:v>
                </c:pt>
                <c:pt idx="384">
                  <c:v>-13.841935361368801</c:v>
                </c:pt>
                <c:pt idx="385">
                  <c:v>-13.931760537969204</c:v>
                </c:pt>
                <c:pt idx="386">
                  <c:v>-14.018908967187418</c:v>
                </c:pt>
                <c:pt idx="387">
                  <c:v>-14.103378967954974</c:v>
                </c:pt>
                <c:pt idx="388">
                  <c:v>-14.185172212262209</c:v>
                </c:pt>
                <c:pt idx="389">
                  <c:v>-14.264293799675656</c:v>
                </c:pt>
                <c:pt idx="390">
                  <c:v>-14.340752324750357</c:v>
                </c:pt>
                <c:pt idx="391">
                  <c:v>-14.414559937269498</c:v>
                </c:pt>
                <c:pt idx="392">
                  <c:v>-14.485732395282621</c:v>
                </c:pt>
                <c:pt idx="393">
                  <c:v>-14.55428911094276</c:v>
                </c:pt>
                <c:pt idx="394">
                  <c:v>-14.620253189173338</c:v>
                </c:pt>
                <c:pt idx="395">
                  <c:v>-14.683651459204068</c:v>
                </c:pt>
                <c:pt idx="396">
                  <c:v>-14.744514499033656</c:v>
                </c:pt>
                <c:pt idx="397">
                  <c:v>-14.802876652870278</c:v>
                </c:pt>
                <c:pt idx="398">
                  <c:v>-14.858776041599633</c:v>
                </c:pt>
                <c:pt idx="399">
                  <c:v>-14.912254566314655</c:v>
                </c:pt>
                <c:pt idx="400">
                  <c:v>-14.963357904921185</c:v>
                </c:pt>
                <c:pt idx="401">
                  <c:v>-15.012135501806338</c:v>
                </c:pt>
                <c:pt idx="402">
                  <c:v>-15.058640550531504</c:v>
                </c:pt>
                <c:pt idx="403">
                  <c:v>-15.102929969472726</c:v>
                </c:pt>
                <c:pt idx="404">
                  <c:v>-15.145064370301117</c:v>
                </c:pt>
                <c:pt idx="405">
                  <c:v>-15.185108019161987</c:v>
                </c:pt>
                <c:pt idx="406">
                  <c:v>-15.223128790374819</c:v>
                </c:pt>
                <c:pt idx="407">
                  <c:v>-15.259198112454399</c:v>
                </c:pt>
                <c:pt idx="408">
                  <c:v>-15.293390906222895</c:v>
                </c:pt>
                <c:pt idx="409">
                  <c:v>-15.325785514770754</c:v>
                </c:pt>
                <c:pt idx="410">
                  <c:v>-15.356463625013493</c:v>
                </c:pt>
                <c:pt idx="411">
                  <c:v>-15.385510180589449</c:v>
                </c:pt>
                <c:pt idx="412">
                  <c:v>-15.413013285859032</c:v>
                </c:pt>
                <c:pt idx="413">
                  <c:v>-15.439064100780557</c:v>
                </c:pt>
                <c:pt idx="414">
                  <c:v>-15.463756726474562</c:v>
                </c:pt>
                <c:pt idx="415">
                  <c:v>-15.487188081327846</c:v>
                </c:pt>
                <c:pt idx="416">
                  <c:v>-15.509457767544252</c:v>
                </c:pt>
                <c:pt idx="417">
                  <c:v>-15.530667928111626</c:v>
                </c:pt>
                <c:pt idx="418">
                  <c:v>-15.550923094226272</c:v>
                </c:pt>
                <c:pt idx="419">
                  <c:v>-15.570330023299853</c:v>
                </c:pt>
                <c:pt idx="420">
                  <c:v>-15.588997527756415</c:v>
                </c:pt>
                <c:pt idx="421">
                  <c:v>-15.607036294923047</c:v>
                </c:pt>
                <c:pt idx="422">
                  <c:v>-15.624558698409384</c:v>
                </c:pt>
                <c:pt idx="423">
                  <c:v>-15.64167860146928</c:v>
                </c:pt>
                <c:pt idx="424">
                  <c:v>-15.658511152929446</c:v>
                </c:pt>
                <c:pt idx="425">
                  <c:v>-15.675172576365458</c:v>
                </c:pt>
                <c:pt idx="426">
                  <c:v>-15.691779953286765</c:v>
                </c:pt>
                <c:pt idx="427">
                  <c:v>-15.708451001177847</c:v>
                </c:pt>
                <c:pt idx="428">
                  <c:v>-15.725303847306533</c:v>
                </c:pt>
                <c:pt idx="429">
                  <c:v>-15.742456799277138</c:v>
                </c:pt>
                <c:pt idx="430">
                  <c:v>-15.760028113354061</c:v>
                </c:pt>
                <c:pt idx="431">
                  <c:v>-15.778135761615255</c:v>
                </c:pt>
                <c:pt idx="432">
                  <c:v>-15.796897199025878</c:v>
                </c:pt>
                <c:pt idx="433">
                  <c:v>-15.816429131529974</c:v>
                </c:pt>
                <c:pt idx="434">
                  <c:v>-15.836847286256289</c:v>
                </c:pt>
                <c:pt idx="435">
                  <c:v>-15.858266184925125</c:v>
                </c:pt>
                <c:pt idx="436">
                  <c:v>-15.880798921512341</c:v>
                </c:pt>
                <c:pt idx="437">
                  <c:v>-15.904556945194358</c:v>
                </c:pt>
                <c:pt idx="438">
                  <c:v>-15.929649849548451</c:v>
                </c:pt>
                <c:pt idx="439">
                  <c:v>-15.956185168931514</c:v>
                </c:pt>
                <c:pt idx="440">
                  <c:v>-15.984268182894548</c:v>
                </c:pt>
                <c:pt idx="441">
                  <c:v>-16.014001729428649</c:v>
                </c:pt>
                <c:pt idx="442">
                  <c:v>-16.04548602776179</c:v>
                </c:pt>
                <c:pt idx="443">
                  <c:v>-16.078818511357255</c:v>
                </c:pt>
                <c:pt idx="444">
                  <c:v>-16.114093671687627</c:v>
                </c:pt>
                <c:pt idx="445">
                  <c:v>-16.151402913286322</c:v>
                </c:pt>
                <c:pt idx="446">
                  <c:v>-16.190834420506441</c:v>
                </c:pt>
                <c:pt idx="447">
                  <c:v>-16.232473036346125</c:v>
                </c:pt>
                <c:pt idx="448">
                  <c:v>-16.276400153637379</c:v>
                </c:pt>
                <c:pt idx="449">
                  <c:v>-16.322693618827813</c:v>
                </c:pt>
                <c:pt idx="450">
                  <c:v>-16.371427648531277</c:v>
                </c:pt>
                <c:pt idx="451">
                  <c:v>-16.422672758968179</c:v>
                </c:pt>
                <c:pt idx="452">
                  <c:v>-16.476495708365132</c:v>
                </c:pt>
                <c:pt idx="453">
                  <c:v>-16.532959452340204</c:v>
                </c:pt>
                <c:pt idx="454">
                  <c:v>-16.5921231122554</c:v>
                </c:pt>
                <c:pt idx="455">
                  <c:v>-16.654041956478135</c:v>
                </c:pt>
                <c:pt idx="456">
                  <c:v>-16.718767394458453</c:v>
                </c:pt>
                <c:pt idx="457">
                  <c:v>-16.786346983485963</c:v>
                </c:pt>
                <c:pt idx="458">
                  <c:v>-16.856824447962936</c:v>
                </c:pt>
                <c:pt idx="459">
                  <c:v>-16.930239710985905</c:v>
                </c:pt>
                <c:pt idx="460">
                  <c:v>-17.0066289379984</c:v>
                </c:pt>
                <c:pt idx="461">
                  <c:v>-17.08602459223496</c:v>
                </c:pt>
                <c:pt idx="462">
                  <c:v>-17.168455501642864</c:v>
                </c:pt>
                <c:pt idx="463">
                  <c:v>-17.253946936923231</c:v>
                </c:pt>
                <c:pt idx="464">
                  <c:v>-17.342520700293292</c:v>
                </c:pt>
                <c:pt idx="465">
                  <c:v>-17.434195224532075</c:v>
                </c:pt>
                <c:pt idx="466">
                  <c:v>-17.528985681820782</c:v>
                </c:pt>
                <c:pt idx="467">
                  <c:v>-17.62690410185067</c:v>
                </c:pt>
                <c:pt idx="468">
                  <c:v>-17.727959498623896</c:v>
                </c:pt>
                <c:pt idx="469">
                  <c:v>-17.832158005326175</c:v>
                </c:pt>
                <c:pt idx="470">
                  <c:v>-17.939503016612719</c:v>
                </c:pt>
                <c:pt idx="471">
                  <c:v>-18.049995337601988</c:v>
                </c:pt>
                <c:pt idx="472">
                  <c:v>-18.163633338835648</c:v>
                </c:pt>
                <c:pt idx="473">
                  <c:v>-18.280413116429944</c:v>
                </c:pt>
                <c:pt idx="474">
                  <c:v>-18.400328656608657</c:v>
                </c:pt>
                <c:pt idx="475">
                  <c:v>-18.523372003785823</c:v>
                </c:pt>
                <c:pt idx="476">
                  <c:v>-18.649533431342334</c:v>
                </c:pt>
                <c:pt idx="477">
                  <c:v>-18.778801614228456</c:v>
                </c:pt>
                <c:pt idx="478">
                  <c:v>-18.91116380251097</c:v>
                </c:pt>
                <c:pt idx="479">
                  <c:v>-19.046605994986493</c:v>
                </c:pt>
                <c:pt idx="480">
                  <c:v>-19.185113111979664</c:v>
                </c:pt>
                <c:pt idx="481">
                  <c:v>-19.326669166459144</c:v>
                </c:pt>
                <c:pt idx="482">
                  <c:v>-19.471257432618337</c:v>
                </c:pt>
                <c:pt idx="483">
                  <c:v>-19.618860611087868</c:v>
                </c:pt>
                <c:pt idx="484">
                  <c:v>-19.769460989975656</c:v>
                </c:pt>
                <c:pt idx="485">
                  <c:v>-19.923040600960924</c:v>
                </c:pt>
                <c:pt idx="486">
                  <c:v>-20.079581369704286</c:v>
                </c:pt>
                <c:pt idx="487">
                  <c:v>-20.239065259877194</c:v>
                </c:pt>
                <c:pt idx="488">
                  <c:v>-20.401474410155696</c:v>
                </c:pt>
                <c:pt idx="489">
                  <c:v>-20.5667912635721</c:v>
                </c:pt>
                <c:pt idx="490">
                  <c:v>-20.734998688663211</c:v>
                </c:pt>
                <c:pt idx="491">
                  <c:v>-20.906080091908468</c:v>
                </c:pt>
                <c:pt idx="492">
                  <c:v>-21.080019520997645</c:v>
                </c:pt>
                <c:pt idx="493">
                  <c:v>-21.256801758524478</c:v>
                </c:pt>
                <c:pt idx="494">
                  <c:v>-21.436412405754602</c:v>
                </c:pt>
                <c:pt idx="495">
                  <c:v>-21.618837956168356</c:v>
                </c:pt>
                <c:pt idx="496">
                  <c:v>-21.8040658585331</c:v>
                </c:pt>
                <c:pt idx="497">
                  <c:v>-21.992084569313413</c:v>
                </c:pt>
                <c:pt idx="498">
                  <c:v>-22.182883594281186</c:v>
                </c:pt>
                <c:pt idx="499">
                  <c:v>-22.376453519238954</c:v>
                </c:pt>
                <c:pt idx="500">
                  <c:v>-22.572786029824581</c:v>
                </c:pt>
                <c:pt idx="501">
                  <c:v>-22.771873920415921</c:v>
                </c:pt>
                <c:pt idx="502">
                  <c:v>-22.973711092209285</c:v>
                </c:pt>
                <c:pt idx="503">
                  <c:v>-23.178292540594754</c:v>
                </c:pt>
                <c:pt idx="504">
                  <c:v>-23.385614332008259</c:v>
                </c:pt>
                <c:pt idx="505">
                  <c:v>-23.5956735704873</c:v>
                </c:pt>
                <c:pt idx="506">
                  <c:v>-23.808468354215737</c:v>
                </c:pt>
                <c:pt idx="507">
                  <c:v>-24.023997722392323</c:v>
                </c:pt>
                <c:pt idx="508">
                  <c:v>-24.242261592811936</c:v>
                </c:pt>
                <c:pt idx="509">
                  <c:v>-24.463260690600215</c:v>
                </c:pt>
                <c:pt idx="510">
                  <c:v>-24.686996468597986</c:v>
                </c:pt>
                <c:pt idx="511">
                  <c:v>-24.913471019939625</c:v>
                </c:pt>
                <c:pt idx="512">
                  <c:v>-25.14268698342519</c:v>
                </c:pt>
                <c:pt idx="513">
                  <c:v>-25.374647442332133</c:v>
                </c:pt>
                <c:pt idx="514">
                  <c:v>-25.609355817365461</c:v>
                </c:pt>
                <c:pt idx="515">
                  <c:v>-25.846815754484638</c:v>
                </c:pt>
                <c:pt idx="516">
                  <c:v>-26.087031008396725</c:v>
                </c:pt>
                <c:pt idx="517">
                  <c:v>-26.330005322535847</c:v>
                </c:pt>
                <c:pt idx="518">
                  <c:v>-26.575742306391874</c:v>
                </c:pt>
                <c:pt idx="519">
                  <c:v>-26.824245311074186</c:v>
                </c:pt>
                <c:pt idx="520">
                  <c:v>-27.075517304026036</c:v>
                </c:pt>
                <c:pt idx="521">
                  <c:v>-27.329560743818181</c:v>
                </c:pt>
                <c:pt idx="522">
                  <c:v>-27.586377455962317</c:v>
                </c:pt>
                <c:pt idx="523">
                  <c:v>-27.845968510687307</c:v>
                </c:pt>
                <c:pt idx="524">
                  <c:v>-28.108334103612695</c:v>
                </c:pt>
                <c:pt idx="525">
                  <c:v>-28.373473440241824</c:v>
                </c:pt>
                <c:pt idx="526">
                  <c:v>-28.641384625168293</c:v>
                </c:pt>
                <c:pt idx="527">
                  <c:v>-28.912064556861022</c:v>
                </c:pt>
                <c:pt idx="528">
                  <c:v>-29.185508828843332</c:v>
                </c:pt>
                <c:pt idx="529">
                  <c:v>-29.461711638037286</c:v>
                </c:pt>
                <c:pt idx="530">
                  <c:v>-29.740665700974517</c:v>
                </c:pt>
                <c:pt idx="531">
                  <c:v>-30.022362178513408</c:v>
                </c:pt>
                <c:pt idx="532">
                  <c:v>-30.306790609620194</c:v>
                </c:pt>
                <c:pt idx="533">
                  <c:v>-30.593938854693086</c:v>
                </c:pt>
                <c:pt idx="534">
                  <c:v>-30.883793048812755</c:v>
                </c:pt>
                <c:pt idx="535">
                  <c:v>-31.176337565217345</c:v>
                </c:pt>
                <c:pt idx="536">
                  <c:v>-31.471554989196846</c:v>
                </c:pt>
                <c:pt idx="537">
                  <c:v>-31.769426102508369</c:v>
                </c:pt>
                <c:pt idx="538">
                  <c:v>-32.069929878310909</c:v>
                </c:pt>
                <c:pt idx="539">
                  <c:v>-32.373043486525496</c:v>
                </c:pt>
                <c:pt idx="540">
                  <c:v>-32.678742309426532</c:v>
                </c:pt>
                <c:pt idx="541">
                  <c:v>-32.986999967184033</c:v>
                </c:pt>
              </c:numCache>
            </c:numRef>
          </c:yVal>
          <c:smooth val="1"/>
          <c:extLst>
            <c:ext xmlns:c16="http://schemas.microsoft.com/office/drawing/2014/chart" uri="{C3380CC4-5D6E-409C-BE32-E72D297353CC}">
              <c16:uniqueId val="{00000000-8173-45EB-83AD-B179A66292B6}"/>
            </c:ext>
          </c:extLst>
        </c:ser>
        <c:dLbls>
          <c:showLegendKey val="0"/>
          <c:showVal val="0"/>
          <c:showCatName val="0"/>
          <c:showSerName val="0"/>
          <c:showPercent val="0"/>
          <c:showBubbleSize val="0"/>
        </c:dLbls>
        <c:axId val="555528192"/>
        <c:axId val="555530112"/>
      </c:scatterChart>
      <c:scatterChart>
        <c:scatterStyle val="smoothMarker"/>
        <c:varyColors val="0"/>
        <c:ser>
          <c:idx val="1"/>
          <c:order val="1"/>
          <c:spPr>
            <a:ln w="38100">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Loop_Modeling!$BM$19:$BM$560</c:f>
              <c:numCache>
                <c:formatCode>General</c:formatCode>
                <c:ptCount val="542"/>
                <c:pt idx="0">
                  <c:v>76.734252053962663</c:v>
                </c:pt>
                <c:pt idx="1">
                  <c:v>76.438697695497339</c:v>
                </c:pt>
                <c:pt idx="2">
                  <c:v>76.137171304511725</c:v>
                </c:pt>
                <c:pt idx="3">
                  <c:v>75.829593358332062</c:v>
                </c:pt>
                <c:pt idx="4">
                  <c:v>75.515886108596305</c:v>
                </c:pt>
                <c:pt idx="5">
                  <c:v>75.195973813564464</c:v>
                </c:pt>
                <c:pt idx="6">
                  <c:v>74.869782982568339</c:v>
                </c:pt>
                <c:pt idx="7">
                  <c:v>74.537242632733708</c:v>
                </c:pt>
                <c:pt idx="8">
                  <c:v>74.198284558049849</c:v>
                </c:pt>
                <c:pt idx="9">
                  <c:v>73.852843610800718</c:v>
                </c:pt>
                <c:pt idx="10">
                  <c:v>73.500857995303335</c:v>
                </c:pt>
                <c:pt idx="11">
                  <c:v>73.142269573819775</c:v>
                </c:pt>
                <c:pt idx="12">
                  <c:v>72.777024184424249</c:v>
                </c:pt>
                <c:pt idx="13">
                  <c:v>72.405071970512338</c:v>
                </c:pt>
                <c:pt idx="14">
                  <c:v>72.026367721535237</c:v>
                </c:pt>
                <c:pt idx="15">
                  <c:v>71.640871224435102</c:v>
                </c:pt>
                <c:pt idx="16">
                  <c:v>71.248547625130087</c:v>
                </c:pt>
                <c:pt idx="17">
                  <c:v>70.849367799276351</c:v>
                </c:pt>
                <c:pt idx="18">
                  <c:v>70.443308731394097</c:v>
                </c:pt>
                <c:pt idx="19">
                  <c:v>70.030353901299591</c:v>
                </c:pt>
                <c:pt idx="20">
                  <c:v>69.610493676639706</c:v>
                </c:pt>
                <c:pt idx="21">
                  <c:v>69.18372571015999</c:v>
                </c:pt>
                <c:pt idx="22">
                  <c:v>68.750055340186321</c:v>
                </c:pt>
                <c:pt idx="23">
                  <c:v>68.30949599262027</c:v>
                </c:pt>
                <c:pt idx="24">
                  <c:v>67.862069582598991</c:v>
                </c:pt>
                <c:pt idx="25">
                  <c:v>67.40780691378103</c:v>
                </c:pt>
                <c:pt idx="26">
                  <c:v>66.946748073074659</c:v>
                </c:pt>
                <c:pt idx="27">
                  <c:v>66.478942818445532</c:v>
                </c:pt>
                <c:pt idx="28">
                  <c:v>66.004450957293926</c:v>
                </c:pt>
                <c:pt idx="29">
                  <c:v>65.523342712743997</c:v>
                </c:pt>
                <c:pt idx="30">
                  <c:v>65.035699075050559</c:v>
                </c:pt>
                <c:pt idx="31">
                  <c:v>64.541612135208752</c:v>
                </c:pt>
                <c:pt idx="32">
                  <c:v>64.041185397758539</c:v>
                </c:pt>
                <c:pt idx="33">
                  <c:v>63.534534069683453</c:v>
                </c:pt>
                <c:pt idx="34">
                  <c:v>63.021785322264904</c:v>
                </c:pt>
                <c:pt idx="35">
                  <c:v>62.503078522712343</c:v>
                </c:pt>
                <c:pt idx="36">
                  <c:v>61.978565432407095</c:v>
                </c:pt>
                <c:pt idx="37">
                  <c:v>61.448410368631954</c:v>
                </c:pt>
                <c:pt idx="38">
                  <c:v>60.912790326737458</c:v>
                </c:pt>
                <c:pt idx="39">
                  <c:v>60.371895059812985</c:v>
                </c:pt>
                <c:pt idx="40">
                  <c:v>59.825927113091971</c:v>
                </c:pt>
                <c:pt idx="41">
                  <c:v>59.275101810515245</c:v>
                </c:pt>
                <c:pt idx="42">
                  <c:v>58.719647191128644</c:v>
                </c:pt>
                <c:pt idx="43">
                  <c:v>58.159803893273761</c:v>
                </c:pt>
                <c:pt idx="44">
                  <c:v>57.595824984864016</c:v>
                </c:pt>
                <c:pt idx="45">
                  <c:v>57.027975738405345</c:v>
                </c:pt>
                <c:pt idx="46">
                  <c:v>56.456533349834913</c:v>
                </c:pt>
                <c:pt idx="47">
                  <c:v>55.881786600689367</c:v>
                </c:pt>
                <c:pt idx="48">
                  <c:v>55.30403546359247</c:v>
                </c:pt>
                <c:pt idx="49">
                  <c:v>54.723590651546864</c:v>
                </c:pt>
                <c:pt idx="50">
                  <c:v>54.140773112032498</c:v>
                </c:pt>
                <c:pt idx="51">
                  <c:v>53.555913467444775</c:v>
                </c:pt>
                <c:pt idx="52">
                  <c:v>52.969351403936741</c:v>
                </c:pt>
                <c:pt idx="53">
                  <c:v>52.381435011257793</c:v>
                </c:pt>
                <c:pt idx="54">
                  <c:v>51.792520076705372</c:v>
                </c:pt>
                <c:pt idx="55">
                  <c:v>51.202969336793593</c:v>
                </c:pt>
                <c:pt idx="56">
                  <c:v>50.613151690721359</c:v>
                </c:pt>
                <c:pt idx="57">
                  <c:v>50.023441380145762</c:v>
                </c:pt>
                <c:pt idx="58">
                  <c:v>49.434217140161437</c:v>
                </c:pt>
                <c:pt idx="59">
                  <c:v>48.845861326714633</c:v>
                </c:pt>
                <c:pt idx="60">
                  <c:v>48.258759025966214</c:v>
                </c:pt>
                <c:pt idx="61">
                  <c:v>47.673297151325173</c:v>
                </c:pt>
                <c:pt idx="62">
                  <c:v>47.08986353402809</c:v>
                </c:pt>
                <c:pt idx="63">
                  <c:v>46.508846013215155</c:v>
                </c:pt>
                <c:pt idx="64">
                  <c:v>45.930631531456598</c:v>
                </c:pt>
                <c:pt idx="65">
                  <c:v>45.355605241624197</c:v>
                </c:pt>
                <c:pt idx="66">
                  <c:v>44.784149630861187</c:v>
                </c:pt>
                <c:pt idx="67">
                  <c:v>44.216643667203613</c:v>
                </c:pt>
                <c:pt idx="68">
                  <c:v>43.653461974133862</c:v>
                </c:pt>
                <c:pt idx="69">
                  <c:v>43.09497403802694</c:v>
                </c:pt>
                <c:pt idx="70">
                  <c:v>42.541543453062509</c:v>
                </c:pt>
                <c:pt idx="71">
                  <c:v>41.993527207758106</c:v>
                </c:pt>
                <c:pt idx="72">
                  <c:v>41.451275016806434</c:v>
                </c:pt>
                <c:pt idx="73">
                  <c:v>40.915128701403923</c:v>
                </c:pt>
                <c:pt idx="74">
                  <c:v>40.385421620759757</c:v>
                </c:pt>
                <c:pt idx="75">
                  <c:v>39.862478156904409</c:v>
                </c:pt>
                <c:pt idx="76">
                  <c:v>39.346613254427957</c:v>
                </c:pt>
                <c:pt idx="77">
                  <c:v>38.838132016200667</c:v>
                </c:pt>
                <c:pt idx="78">
                  <c:v>38.337329355639419</c:v>
                </c:pt>
                <c:pt idx="79">
                  <c:v>37.844489705548796</c:v>
                </c:pt>
                <c:pt idx="80">
                  <c:v>37.359886783105324</c:v>
                </c:pt>
                <c:pt idx="81">
                  <c:v>36.883783410081662</c:v>
                </c:pt>
                <c:pt idx="82">
                  <c:v>36.416431386995576</c:v>
                </c:pt>
                <c:pt idx="83">
                  <c:v>35.958071419484597</c:v>
                </c:pt>
                <c:pt idx="84">
                  <c:v>35.508933094855514</c:v>
                </c:pt>
                <c:pt idx="85">
                  <c:v>35.069234906467919</c:v>
                </c:pt>
                <c:pt idx="86">
                  <c:v>34.639184323338718</c:v>
                </c:pt>
                <c:pt idx="87">
                  <c:v>34.218977902150968</c:v>
                </c:pt>
                <c:pt idx="88">
                  <c:v>33.808801438664567</c:v>
                </c:pt>
                <c:pt idx="89">
                  <c:v>33.408830155405433</c:v>
                </c:pt>
                <c:pt idx="90">
                  <c:v>33.019228922408686</c:v>
                </c:pt>
                <c:pt idx="91">
                  <c:v>32.640152507743899</c:v>
                </c:pt>
                <c:pt idx="92">
                  <c:v>32.271745854520205</c:v>
                </c:pt>
                <c:pt idx="93">
                  <c:v>31.914144381093724</c:v>
                </c:pt>
                <c:pt idx="94">
                  <c:v>31.567474301228241</c:v>
                </c:pt>
                <c:pt idx="95">
                  <c:v>31.231852961032097</c:v>
                </c:pt>
                <c:pt idx="96">
                  <c:v>30.907389189582926</c:v>
                </c:pt>
                <c:pt idx="97">
                  <c:v>30.594183660251691</c:v>
                </c:pt>
                <c:pt idx="98">
                  <c:v>30.292329259870396</c:v>
                </c:pt>
                <c:pt idx="99">
                  <c:v>30.0019114630113</c:v>
                </c:pt>
                <c:pt idx="100">
                  <c:v>29.723008708797508</c:v>
                </c:pt>
                <c:pt idx="101">
                  <c:v>29.45569277781426</c:v>
                </c:pt>
                <c:pt idx="102">
                  <c:v>29.200029166839236</c:v>
                </c:pt>
                <c:pt idx="103">
                  <c:v>28.956077459278092</c:v>
                </c:pt>
                <c:pt idx="104">
                  <c:v>28.723891689336423</c:v>
                </c:pt>
                <c:pt idx="105">
                  <c:v>28.503520698124166</c:v>
                </c:pt>
                <c:pt idx="106">
                  <c:v>28.295008480033818</c:v>
                </c:pt>
                <c:pt idx="107">
                  <c:v>28.098394517880319</c:v>
                </c:pt>
                <c:pt idx="108">
                  <c:v>27.913714105437563</c:v>
                </c:pt>
                <c:pt idx="109">
                  <c:v>27.740998656131421</c:v>
                </c:pt>
                <c:pt idx="110">
                  <c:v>27.580275996783431</c:v>
                </c:pt>
                <c:pt idx="111">
                  <c:v>27.431570645416564</c:v>
                </c:pt>
                <c:pt idx="112">
                  <c:v>27.294904072241383</c:v>
                </c:pt>
                <c:pt idx="113">
                  <c:v>27.170294943051246</c:v>
                </c:pt>
                <c:pt idx="114">
                  <c:v>27.057759344344753</c:v>
                </c:pt>
                <c:pt idx="115">
                  <c:v>26.957310989583583</c:v>
                </c:pt>
                <c:pt idx="116">
                  <c:v>26.86896140607352</c:v>
                </c:pt>
                <c:pt idx="117">
                  <c:v>26.792720102028628</c:v>
                </c:pt>
                <c:pt idx="118">
                  <c:v>26.728594713445258</c:v>
                </c:pt>
                <c:pt idx="119">
                  <c:v>26.676591130473732</c:v>
                </c:pt>
                <c:pt idx="120">
                  <c:v>26.63671360302817</c:v>
                </c:pt>
                <c:pt idx="121">
                  <c:v>26.608964825427392</c:v>
                </c:pt>
                <c:pt idx="122">
                  <c:v>26.593345999907669</c:v>
                </c:pt>
                <c:pt idx="123">
                  <c:v>26.589856878881008</c:v>
                </c:pt>
                <c:pt idx="124">
                  <c:v>26.5984957858707</c:v>
                </c:pt>
                <c:pt idx="125">
                  <c:v>26.619259615077418</c:v>
                </c:pt>
                <c:pt idx="126">
                  <c:v>26.652143809577257</c:v>
                </c:pt>
                <c:pt idx="127">
                  <c:v>26.697142318188575</c:v>
                </c:pt>
                <c:pt idx="128">
                  <c:v>26.754247531082637</c:v>
                </c:pt>
                <c:pt idx="129">
                  <c:v>26.823450194253716</c:v>
                </c:pt>
                <c:pt idx="130">
                  <c:v>26.904739303008874</c:v>
                </c:pt>
                <c:pt idx="131">
                  <c:v>26.998101974679763</c:v>
                </c:pt>
                <c:pt idx="132">
                  <c:v>27.103523300814267</c:v>
                </c:pt>
                <c:pt idx="133">
                  <c:v>27.220986179154938</c:v>
                </c:pt>
                <c:pt idx="134">
                  <c:v>27.350471125774746</c:v>
                </c:pt>
                <c:pt idx="135">
                  <c:v>27.491956067807166</c:v>
                </c:pt>
                <c:pt idx="136">
                  <c:v>27.645416117274497</c:v>
                </c:pt>
                <c:pt idx="137">
                  <c:v>27.810823326608492</c:v>
                </c:pt>
                <c:pt idx="138">
                  <c:v>27.988146426531273</c:v>
                </c:pt>
                <c:pt idx="139">
                  <c:v>28.177350547070628</c:v>
                </c:pt>
                <c:pt idx="140">
                  <c:v>28.378396922581477</c:v>
                </c:pt>
                <c:pt idx="141">
                  <c:v>28.591242581755832</c:v>
                </c:pt>
                <c:pt idx="142">
                  <c:v>28.815840023722991</c:v>
                </c:pt>
                <c:pt idx="143">
                  <c:v>29.05213688146922</c:v>
                </c:pt>
                <c:pt idx="144">
                  <c:v>29.30007557394115</c:v>
                </c:pt>
                <c:pt idx="145">
                  <c:v>29.559592948331932</c:v>
                </c:pt>
                <c:pt idx="146">
                  <c:v>29.830619914202508</c:v>
                </c:pt>
                <c:pt idx="147">
                  <c:v>30.113081071237012</c:v>
                </c:pt>
                <c:pt idx="148">
                  <c:v>30.406894332588639</c:v>
                </c:pt>
                <c:pt idx="149">
                  <c:v>30.711970545925737</c:v>
                </c:pt>
                <c:pt idx="150">
                  <c:v>31.028213114450192</c:v>
                </c:pt>
                <c:pt idx="151">
                  <c:v>31.355517620309278</c:v>
                </c:pt>
                <c:pt idx="152">
                  <c:v>31.69377145297668</c:v>
                </c:pt>
                <c:pt idx="153">
                  <c:v>32.042853445324923</c:v>
                </c:pt>
                <c:pt idx="154">
                  <c:v>32.402633520239128</c:v>
                </c:pt>
                <c:pt idx="155">
                  <c:v>32.772972350754607</c:v>
                </c:pt>
                <c:pt idx="156">
                  <c:v>33.153721036798878</c:v>
                </c:pt>
                <c:pt idx="157">
                  <c:v>33.544720801716466</c:v>
                </c:pt>
                <c:pt idx="158">
                  <c:v>33.945802711812121</c:v>
                </c:pt>
                <c:pt idx="159">
                  <c:v>34.356787422197556</c:v>
                </c:pt>
                <c:pt idx="160">
                  <c:v>34.77748495223733</c:v>
                </c:pt>
                <c:pt idx="161">
                  <c:v>35.207694493866583</c:v>
                </c:pt>
                <c:pt idx="162">
                  <c:v>35.64720425600818</c:v>
                </c:pt>
                <c:pt idx="163">
                  <c:v>36.09579134821611</c:v>
                </c:pt>
                <c:pt idx="164">
                  <c:v>36.55322170655198</c:v>
                </c:pt>
                <c:pt idx="165">
                  <c:v>37.019250064520357</c:v>
                </c:pt>
                <c:pt idx="166">
                  <c:v>37.493619971681696</c:v>
                </c:pt>
                <c:pt idx="167">
                  <c:v>37.976063862299512</c:v>
                </c:pt>
                <c:pt idx="168">
                  <c:v>38.466303176080551</c:v>
                </c:pt>
                <c:pt idx="169">
                  <c:v>38.964048532724256</c:v>
                </c:pt>
                <c:pt idx="170">
                  <c:v>39.468999961615502</c:v>
                </c:pt>
                <c:pt idx="171">
                  <c:v>39.980847187571875</c:v>
                </c:pt>
                <c:pt idx="172">
                  <c:v>40.49926997311276</c:v>
                </c:pt>
                <c:pt idx="173">
                  <c:v>41.023938517221495</c:v>
                </c:pt>
                <c:pt idx="174">
                  <c:v>41.554513910080303</c:v>
                </c:pt>
                <c:pt idx="175">
                  <c:v>42.09064864272159</c:v>
                </c:pt>
                <c:pt idx="176">
                  <c:v>42.631987170018391</c:v>
                </c:pt>
                <c:pt idx="177">
                  <c:v>43.178166524886038</c:v>
                </c:pt>
                <c:pt idx="178">
                  <c:v>43.72881698104753</c:v>
                </c:pt>
                <c:pt idx="179">
                  <c:v>44.283562761191725</c:v>
                </c:pt>
                <c:pt idx="180">
                  <c:v>44.842022786856262</c:v>
                </c:pt>
                <c:pt idx="181">
                  <c:v>45.403811465902741</c:v>
                </c:pt>
                <c:pt idx="182">
                  <c:v>45.968539513023337</c:v>
                </c:pt>
                <c:pt idx="183">
                  <c:v>46.535814798336972</c:v>
                </c:pt>
                <c:pt idx="184">
                  <c:v>47.105243218802457</c:v>
                </c:pt>
                <c:pt idx="185">
                  <c:v>47.676429586902998</c:v>
                </c:pt>
                <c:pt idx="186">
                  <c:v>48.248978530857045</c:v>
                </c:pt>
                <c:pt idx="187">
                  <c:v>48.8224954004639</c:v>
                </c:pt>
                <c:pt idx="188">
                  <c:v>49.396587172626717</c:v>
                </c:pt>
                <c:pt idx="189">
                  <c:v>49.970863350599132</c:v>
                </c:pt>
                <c:pt idx="190">
                  <c:v>50.544936851075725</c:v>
                </c:pt>
                <c:pt idx="191">
                  <c:v>51.118424873393153</c:v>
                </c:pt>
                <c:pt idx="192">
                  <c:v>51.690949745312039</c:v>
                </c:pt>
                <c:pt idx="193">
                  <c:v>52.26213974013973</c:v>
                </c:pt>
                <c:pt idx="194">
                  <c:v>52.831629860273424</c:v>
                </c:pt>
                <c:pt idx="195">
                  <c:v>53.399062582633533</c:v>
                </c:pt>
                <c:pt idx="196">
                  <c:v>53.964088561891451</c:v>
                </c:pt>
                <c:pt idx="197">
                  <c:v>54.526367287852793</c:v>
                </c:pt>
                <c:pt idx="198">
                  <c:v>55.085567693867056</c:v>
                </c:pt>
                <c:pt idx="199">
                  <c:v>55.641368713633902</c:v>
                </c:pt>
                <c:pt idx="200">
                  <c:v>56.193459784324347</c:v>
                </c:pt>
                <c:pt idx="201">
                  <c:v>56.741541294453036</c:v>
                </c:pt>
                <c:pt idx="202">
                  <c:v>57.285324975478275</c:v>
                </c:pt>
                <c:pt idx="203">
                  <c:v>57.824534236612294</c:v>
                </c:pt>
                <c:pt idx="204">
                  <c:v>58.35890444283546</c:v>
                </c:pt>
                <c:pt idx="205">
                  <c:v>58.888183136576409</c:v>
                </c:pt>
                <c:pt idx="206">
                  <c:v>59.412130203962938</c:v>
                </c:pt>
                <c:pt idx="207">
                  <c:v>59.930517986965995</c:v>
                </c:pt>
                <c:pt idx="208">
                  <c:v>60.443131343124413</c:v>
                </c:pt>
                <c:pt idx="209">
                  <c:v>60.949767654876588</c:v>
                </c:pt>
                <c:pt idx="210">
                  <c:v>61.450236790807061</c:v>
                </c:pt>
                <c:pt idx="211">
                  <c:v>61.944361021373375</c:v>
                </c:pt>
                <c:pt idx="212">
                  <c:v>62.431974891870979</c:v>
                </c:pt>
                <c:pt idx="213">
                  <c:v>62.912925055557771</c:v>
                </c:pt>
                <c:pt idx="214">
                  <c:v>63.387070069985846</c:v>
                </c:pt>
                <c:pt idx="215">
                  <c:v>63.85428015965465</c:v>
                </c:pt>
                <c:pt idx="216">
                  <c:v>64.314436948151382</c:v>
                </c:pt>
                <c:pt idx="217">
                  <c:v>64.767433162949942</c:v>
                </c:pt>
                <c:pt idx="218">
                  <c:v>65.213172316009704</c:v>
                </c:pt>
                <c:pt idx="219">
                  <c:v>65.651568363272631</c:v>
                </c:pt>
                <c:pt idx="220">
                  <c:v>66.082545346065643</c:v>
                </c:pt>
                <c:pt idx="221">
                  <c:v>66.506037017332304</c:v>
                </c:pt>
                <c:pt idx="222">
                  <c:v>66.921986455480138</c:v>
                </c:pt>
                <c:pt idx="223">
                  <c:v>67.330345668512152</c:v>
                </c:pt>
                <c:pt idx="224">
                  <c:v>67.731075190954272</c:v>
                </c:pt>
                <c:pt idx="225">
                  <c:v>68.12414367594117</c:v>
                </c:pt>
                <c:pt idx="226">
                  <c:v>68.509527484657809</c:v>
                </c:pt>
                <c:pt idx="227">
                  <c:v>68.88721027516641</c:v>
                </c:pt>
                <c:pt idx="228">
                  <c:v>69.257182592484185</c:v>
                </c:pt>
                <c:pt idx="229">
                  <c:v>69.619441461610165</c:v>
                </c:pt>
                <c:pt idx="230">
                  <c:v>69.973989985026179</c:v>
                </c:pt>
                <c:pt idx="231">
                  <c:v>70.320836946044196</c:v>
                </c:pt>
                <c:pt idx="232">
                  <c:v>70.65999641920925</c:v>
                </c:pt>
                <c:pt idx="233">
                  <c:v>70.99148738881965</c:v>
                </c:pt>
                <c:pt idx="234">
                  <c:v>71.315333376477241</c:v>
                </c:pt>
                <c:pt idx="235">
                  <c:v>71.631562078449321</c:v>
                </c:pt>
                <c:pt idx="236">
                  <c:v>71.94020501348956</c:v>
                </c:pt>
                <c:pt idx="237">
                  <c:v>72.241297181651106</c:v>
                </c:pt>
                <c:pt idx="238">
                  <c:v>72.534876734506582</c:v>
                </c:pt>
                <c:pt idx="239">
                  <c:v>72.820984657092126</c:v>
                </c:pt>
                <c:pt idx="240">
                  <c:v>73.099664461794731</c:v>
                </c:pt>
                <c:pt idx="241">
                  <c:v>73.370961894318853</c:v>
                </c:pt>
                <c:pt idx="242">
                  <c:v>73.634924651787983</c:v>
                </c:pt>
                <c:pt idx="243">
                  <c:v>73.89160211296668</c:v>
                </c:pt>
                <c:pt idx="244">
                  <c:v>74.141045080533061</c:v>
                </c:pt>
                <c:pt idx="245">
                  <c:v>74.383305535264654</c:v>
                </c:pt>
                <c:pt idx="246">
                  <c:v>74.618436401964956</c:v>
                </c:pt>
                <c:pt idx="247">
                  <c:v>74.846491326908307</c:v>
                </c:pt>
                <c:pt idx="248">
                  <c:v>75.067524466549344</c:v>
                </c:pt>
                <c:pt idx="249">
                  <c:v>75.281590287210008</c:v>
                </c:pt>
                <c:pt idx="250">
                  <c:v>75.488743375436471</c:v>
                </c:pt>
                <c:pt idx="251">
                  <c:v>75.689038258693259</c:v>
                </c:pt>
                <c:pt idx="252">
                  <c:v>75.882529236050672</c:v>
                </c:pt>
                <c:pt idx="253">
                  <c:v>76.069270218506887</c:v>
                </c:pt>
                <c:pt idx="254">
                  <c:v>76.249314578578819</c:v>
                </c:pt>
                <c:pt idx="255">
                  <c:v>76.422715008790362</c:v>
                </c:pt>
                <c:pt idx="256">
                  <c:v>76.589523388684952</c:v>
                </c:pt>
                <c:pt idx="257">
                  <c:v>76.749790659988619</c:v>
                </c:pt>
                <c:pt idx="258">
                  <c:v>76.903566709553559</c:v>
                </c:pt>
                <c:pt idx="259">
                  <c:v>77.05090025971451</c:v>
                </c:pt>
                <c:pt idx="260">
                  <c:v>77.191838765699273</c:v>
                </c:pt>
                <c:pt idx="261">
                  <c:v>77.326428319738724</c:v>
                </c:pt>
                <c:pt idx="262">
                  <c:v>77.454713561534078</c:v>
                </c:pt>
                <c:pt idx="263">
                  <c:v>77.576737594745978</c:v>
                </c:pt>
                <c:pt idx="264">
                  <c:v>77.692541909182339</c:v>
                </c:pt>
                <c:pt idx="265">
                  <c:v>77.802166308373785</c:v>
                </c:pt>
                <c:pt idx="266">
                  <c:v>77.905648842234797</c:v>
                </c:pt>
                <c:pt idx="267">
                  <c:v>78.003025744525516</c:v>
                </c:pt>
                <c:pt idx="268">
                  <c:v>78.094331374837623</c:v>
                </c:pt>
                <c:pt idx="269">
                  <c:v>78.179598164844165</c:v>
                </c:pt>
                <c:pt idx="270">
                  <c:v>78.25885656856417</c:v>
                </c:pt>
                <c:pt idx="271">
                  <c:v>78.332135016408174</c:v>
                </c:pt>
                <c:pt idx="272">
                  <c:v>78.399459872782316</c:v>
                </c:pt>
                <c:pt idx="273">
                  <c:v>78.460855397044824</c:v>
                </c:pt>
                <c:pt idx="274">
                  <c:v>78.516343707617949</c:v>
                </c:pt>
                <c:pt idx="275">
                  <c:v>78.565944749076962</c:v>
                </c:pt>
                <c:pt idx="276">
                  <c:v>78.609676262046477</c:v>
                </c:pt>
                <c:pt idx="277">
                  <c:v>78.647553755750636</c:v>
                </c:pt>
                <c:pt idx="278">
                  <c:v>78.679590483073724</c:v>
                </c:pt>
                <c:pt idx="279">
                  <c:v>78.705797418005588</c:v>
                </c:pt>
                <c:pt idx="280">
                  <c:v>78.726183235351797</c:v>
                </c:pt>
                <c:pt idx="281">
                  <c:v>78.740754292608059</c:v>
                </c:pt>
                <c:pt idx="282">
                  <c:v>78.74951461390711</c:v>
                </c:pt>
                <c:pt idx="283">
                  <c:v>78.752465875958677</c:v>
                </c:pt>
                <c:pt idx="284">
                  <c:v>78.749607395915717</c:v>
                </c:pt>
                <c:pt idx="285">
                  <c:v>78.740936121115453</c:v>
                </c:pt>
                <c:pt idx="286">
                  <c:v>78.726446620648261</c:v>
                </c:pt>
                <c:pt idx="287">
                  <c:v>78.706131078728248</c:v>
                </c:pt>
                <c:pt idx="288">
                  <c:v>78.679979289843331</c:v>
                </c:pt>
                <c:pt idx="289">
                  <c:v>78.64797865568184</c:v>
                </c:pt>
                <c:pt idx="290">
                  <c:v>78.610114183836373</c:v>
                </c:pt>
                <c:pt idx="291">
                  <c:v>78.566368488305969</c:v>
                </c:pt>
                <c:pt idx="292">
                  <c:v>78.516721791821155</c:v>
                </c:pt>
                <c:pt idx="293">
                  <c:v>78.461151930035626</c:v>
                </c:pt>
                <c:pt idx="294">
                  <c:v>78.399634357634355</c:v>
                </c:pt>
                <c:pt idx="295">
                  <c:v>78.332142156422933</c:v>
                </c:pt>
                <c:pt idx="296">
                  <c:v>78.258646045474123</c:v>
                </c:pt>
                <c:pt idx="297">
                  <c:v>78.179114393419439</c:v>
                </c:pt>
                <c:pt idx="298">
                  <c:v>78.093513232984108</c:v>
                </c:pt>
                <c:pt idx="299">
                  <c:v>78.00180627787995</c:v>
                </c:pt>
                <c:pt idx="300">
                  <c:v>77.903954942177108</c:v>
                </c:pt>
                <c:pt idx="301">
                  <c:v>77.799918362292814</c:v>
                </c:pt>
                <c:pt idx="302">
                  <c:v>77.689653421744111</c:v>
                </c:pt>
                <c:pt idx="303">
                  <c:v>77.573114778825556</c:v>
                </c:pt>
                <c:pt idx="304">
                  <c:v>77.450254897383644</c:v>
                </c:pt>
                <c:pt idx="305">
                  <c:v>77.321024080873485</c:v>
                </c:pt>
                <c:pt idx="306">
                  <c:v>77.185370509893772</c:v>
                </c:pt>
                <c:pt idx="307">
                  <c:v>77.043240283408537</c:v>
                </c:pt>
                <c:pt idx="308">
                  <c:v>76.894577463875365</c:v>
                </c:pt>
                <c:pt idx="309">
                  <c:v>76.739324126512997</c:v>
                </c:pt>
                <c:pt idx="310">
                  <c:v>76.57742041294847</c:v>
                </c:pt>
                <c:pt idx="311">
                  <c:v>76.408804589500619</c:v>
                </c:pt>
                <c:pt idx="312">
                  <c:v>76.233413110357787</c:v>
                </c:pt>
                <c:pt idx="313">
                  <c:v>76.051180685928699</c:v>
                </c:pt>
                <c:pt idx="314">
                  <c:v>75.862040356640904</c:v>
                </c:pt>
                <c:pt idx="315">
                  <c:v>75.665923572481944</c:v>
                </c:pt>
                <c:pt idx="316">
                  <c:v>75.462760278572972</c:v>
                </c:pt>
                <c:pt idx="317">
                  <c:v>75.252479007078264</c:v>
                </c:pt>
                <c:pt idx="318">
                  <c:v>75.035006975753959</c:v>
                </c:pt>
                <c:pt idx="319">
                  <c:v>74.810270193440402</c:v>
                </c:pt>
                <c:pt idx="320">
                  <c:v>74.578193572805475</c:v>
                </c:pt>
                <c:pt idx="321">
                  <c:v>74.338701050640594</c:v>
                </c:pt>
                <c:pt idx="322">
                  <c:v>74.091715716008594</c:v>
                </c:pt>
                <c:pt idx="323">
                  <c:v>73.837159946532253</c:v>
                </c:pt>
                <c:pt idx="324">
                  <c:v>73.574955553104246</c:v>
                </c:pt>
                <c:pt idx="325">
                  <c:v>73.305023933280779</c:v>
                </c:pt>
                <c:pt idx="326">
                  <c:v>73.027286233607782</c:v>
                </c:pt>
                <c:pt idx="327">
                  <c:v>72.741663521099298</c:v>
                </c:pt>
                <c:pt idx="328">
                  <c:v>72.448076964064981</c:v>
                </c:pt>
                <c:pt idx="329">
                  <c:v>72.146448022449007</c:v>
                </c:pt>
                <c:pt idx="330">
                  <c:v>71.836698647805378</c:v>
                </c:pt>
                <c:pt idx="331">
                  <c:v>71.518751492986596</c:v>
                </c:pt>
                <c:pt idx="332">
                  <c:v>71.19253013157963</c:v>
                </c:pt>
                <c:pt idx="333">
                  <c:v>70.857959287055195</c:v>
                </c:pt>
                <c:pt idx="334">
                  <c:v>70.51496507154387</c:v>
                </c:pt>
                <c:pt idx="335">
                  <c:v>70.163475234068073</c:v>
                </c:pt>
                <c:pt idx="336">
                  <c:v>69.803419417990682</c:v>
                </c:pt>
                <c:pt idx="337">
                  <c:v>69.434729427342887</c:v>
                </c:pt>
                <c:pt idx="338">
                  <c:v>69.057339501604233</c:v>
                </c:pt>
                <c:pt idx="339">
                  <c:v>68.671186598403239</c:v>
                </c:pt>
                <c:pt idx="340">
                  <c:v>68.276210683487776</c:v>
                </c:pt>
                <c:pt idx="341">
                  <c:v>67.872355027198807</c:v>
                </c:pt>
                <c:pt idx="342">
                  <c:v>67.459566506551369</c:v>
                </c:pt>
                <c:pt idx="343">
                  <c:v>67.037795911886349</c:v>
                </c:pt>
                <c:pt idx="344">
                  <c:v>66.606998256913926</c:v>
                </c:pt>
                <c:pt idx="345">
                  <c:v>66.167133090818609</c:v>
                </c:pt>
                <c:pt idx="346">
                  <c:v>65.718164810941303</c:v>
                </c:pt>
                <c:pt idx="347">
                  <c:v>65.260062974389783</c:v>
                </c:pt>
                <c:pt idx="348">
                  <c:v>64.79280260676606</c:v>
                </c:pt>
                <c:pt idx="349">
                  <c:v>64.316364506036592</c:v>
                </c:pt>
                <c:pt idx="350">
                  <c:v>63.830735539404131</c:v>
                </c:pt>
                <c:pt idx="351">
                  <c:v>63.335908930878311</c:v>
                </c:pt>
                <c:pt idx="352">
                  <c:v>62.831884537085173</c:v>
                </c:pt>
                <c:pt idx="353">
                  <c:v>62.318669108709535</c:v>
                </c:pt>
                <c:pt idx="354">
                  <c:v>61.79627653481792</c:v>
                </c:pt>
                <c:pt idx="355">
                  <c:v>61.264728067196529</c:v>
                </c:pt>
                <c:pt idx="356">
                  <c:v>60.724052521717432</c:v>
                </c:pt>
                <c:pt idx="357">
                  <c:v>60.174286453671826</c:v>
                </c:pt>
                <c:pt idx="358">
                  <c:v>59.615474303935265</c:v>
                </c:pt>
                <c:pt idx="359">
                  <c:v>59.047668512802147</c:v>
                </c:pt>
                <c:pt idx="360">
                  <c:v>58.470929598319543</c:v>
                </c:pt>
                <c:pt idx="361">
                  <c:v>57.885326195979864</c:v>
                </c:pt>
                <c:pt idx="362">
                  <c:v>57.290935056705422</c:v>
                </c:pt>
                <c:pt idx="363">
                  <c:v>56.687841000165349</c:v>
                </c:pt>
                <c:pt idx="364">
                  <c:v>56.076136820623773</c:v>
                </c:pt>
                <c:pt idx="365">
                  <c:v>55.455923142717182</c:v>
                </c:pt>
                <c:pt idx="366">
                  <c:v>54.827308224807609</c:v>
                </c:pt>
                <c:pt idx="367">
                  <c:v>54.190407707868225</c:v>
                </c:pt>
                <c:pt idx="368">
                  <c:v>53.545344308193194</c:v>
                </c:pt>
                <c:pt idx="369">
                  <c:v>52.89224745263401</c:v>
                </c:pt>
                <c:pt idx="370">
                  <c:v>52.231252855507933</c:v>
                </c:pt>
                <c:pt idx="371">
                  <c:v>51.562502036820753</c:v>
                </c:pt>
                <c:pt idx="372">
                  <c:v>50.886141781977393</c:v>
                </c:pt>
                <c:pt idx="373">
                  <c:v>50.202323543732454</c:v>
                </c:pt>
                <c:pt idx="374">
                  <c:v>49.511202787745901</c:v>
                </c:pt>
                <c:pt idx="375">
                  <c:v>48.812938283730048</c:v>
                </c:pt>
                <c:pt idx="376">
                  <c:v>48.107691344848377</c:v>
                </c:pt>
                <c:pt idx="377">
                  <c:v>47.395625018674416</c:v>
                </c:pt>
                <c:pt idx="378">
                  <c:v>46.676903233704223</c:v>
                </c:pt>
                <c:pt idx="379">
                  <c:v>45.951689906074598</c:v>
                </c:pt>
                <c:pt idx="380">
                  <c:v>45.220148011781788</c:v>
                </c:pt>
                <c:pt idx="381">
                  <c:v>44.48243863033337</c:v>
                </c:pt>
                <c:pt idx="382">
                  <c:v>43.738719966334202</c:v>
                </c:pt>
                <c:pt idx="383">
                  <c:v>42.989146356069341</c:v>
                </c:pt>
                <c:pt idx="384">
                  <c:v>42.233867266615128</c:v>
                </c:pt>
                <c:pt idx="385">
                  <c:v>41.473026295448442</c:v>
                </c:pt>
                <c:pt idx="386">
                  <c:v>40.706760178864634</c:v>
                </c:pt>
                <c:pt idx="387">
                  <c:v>39.935197817788669</c:v>
                </c:pt>
                <c:pt idx="388">
                  <c:v>39.158459329753583</c:v>
                </c:pt>
                <c:pt idx="389">
                  <c:v>38.37665513590823</c:v>
                </c:pt>
                <c:pt idx="390">
                  <c:v>37.589885091918838</c:v>
                </c:pt>
                <c:pt idx="391">
                  <c:v>36.798237671526415</c:v>
                </c:pt>
                <c:pt idx="392">
                  <c:v>36.001789211329033</c:v>
                </c:pt>
                <c:pt idx="393">
                  <c:v>35.200603225052561</c:v>
                </c:pt>
                <c:pt idx="394">
                  <c:v>34.394729795186763</c:v>
                </c:pt>
                <c:pt idx="395">
                  <c:v>33.584205049357834</c:v>
                </c:pt>
                <c:pt idx="396">
                  <c:v>32.769050728244174</c:v>
                </c:pt>
                <c:pt idx="397">
                  <c:v>31.949273851159329</c:v>
                </c:pt>
                <c:pt idx="398">
                  <c:v>31.124866484676208</c:v>
                </c:pt>
                <c:pt idx="399">
                  <c:v>30.295805618855269</c:v>
                </c:pt>
                <c:pt idx="400">
                  <c:v>29.46205315473831</c:v>
                </c:pt>
                <c:pt idx="401">
                  <c:v>28.623556005835447</c:v>
                </c:pt>
                <c:pt idx="402">
                  <c:v>27.780246315330118</c:v>
                </c:pt>
                <c:pt idx="403">
                  <c:v>26.932041789719563</c:v>
                </c:pt>
                <c:pt idx="404">
                  <c:v>26.078846148528211</c:v>
                </c:pt>
                <c:pt idx="405">
                  <c:v>25.220549688685942</c:v>
                </c:pt>
                <c:pt idx="406">
                  <c:v>24.357029961084205</c:v>
                </c:pt>
                <c:pt idx="407">
                  <c:v>23.488152555753125</c:v>
                </c:pt>
                <c:pt idx="408">
                  <c:v>22.613771991074501</c:v>
                </c:pt>
                <c:pt idx="409">
                  <c:v>21.733732701422749</c:v>
                </c:pt>
                <c:pt idx="410">
                  <c:v>20.847870116666243</c:v>
                </c:pt>
                <c:pt idx="411">
                  <c:v>19.956011826055104</c:v>
                </c:pt>
                <c:pt idx="412">
                  <c:v>19.057978818166767</c:v>
                </c:pt>
                <c:pt idx="413">
                  <c:v>18.15358678782928</c:v>
                </c:pt>
                <c:pt idx="414">
                  <c:v>17.242647500255636</c:v>
                </c:pt>
                <c:pt idx="415">
                  <c:v>16.324970202050302</c:v>
                </c:pt>
                <c:pt idx="416">
                  <c:v>15.400363068265035</c:v>
                </c:pt>
                <c:pt idx="417">
                  <c:v>14.468634674332803</c:v>
                </c:pt>
                <c:pt idx="418">
                  <c:v>13.529595481455916</c:v>
                </c:pt>
                <c:pt idx="419">
                  <c:v>12.583059323903704</c:v>
                </c:pt>
                <c:pt idx="420">
                  <c:v>11.628844886685187</c:v>
                </c:pt>
                <c:pt idx="421">
                  <c:v>10.666777162179619</c:v>
                </c:pt>
                <c:pt idx="422">
                  <c:v>9.696688874576914</c:v>
                </c:pt>
                <c:pt idx="423">
                  <c:v>8.7184218613235078</c:v>
                </c:pt>
                <c:pt idx="424">
                  <c:v>7.7318284012874603</c:v>
                </c:pt>
                <c:pt idx="425">
                  <c:v>6.7367724799192397</c:v>
                </c:pt>
                <c:pt idx="426">
                  <c:v>5.7331309823983361</c:v>
                </c:pt>
                <c:pt idx="427">
                  <c:v>4.7207948065144691</c:v>
                </c:pt>
                <c:pt idx="428">
                  <c:v>3.6996698878946348</c:v>
                </c:pt>
                <c:pt idx="429">
                  <c:v>2.6696781310881832</c:v>
                </c:pt>
                <c:pt idx="430">
                  <c:v>1.6307582409962482</c:v>
                </c:pt>
                <c:pt idx="431">
                  <c:v>0.58286645009497906</c:v>
                </c:pt>
                <c:pt idx="432">
                  <c:v>-0.47402286206429817</c:v>
                </c:pt>
                <c:pt idx="433">
                  <c:v>-1.5399166596237019</c:v>
                </c:pt>
                <c:pt idx="434">
                  <c:v>-2.6148028529750706</c:v>
                </c:pt>
                <c:pt idx="435">
                  <c:v>-3.6986500136935629</c:v>
                </c:pt>
                <c:pt idx="436">
                  <c:v>-4.7914072014938389</c:v>
                </c:pt>
                <c:pt idx="437">
                  <c:v>-5.8930039019969325</c:v>
                </c:pt>
                <c:pt idx="438">
                  <c:v>-7.0033500732769696</c:v>
                </c:pt>
                <c:pt idx="439">
                  <c:v>-8.1223362984303495</c:v>
                </c:pt>
                <c:pt idx="440">
                  <c:v>-9.2498340407258084</c:v>
                </c:pt>
                <c:pt idx="441">
                  <c:v>-10.385695997325316</c:v>
                </c:pt>
                <c:pt idx="442">
                  <c:v>-11.529756547042236</c:v>
                </c:pt>
                <c:pt idx="443">
                  <c:v>-12.68183228717972</c:v>
                </c:pt>
                <c:pt idx="444">
                  <c:v>-13.841722654138099</c:v>
                </c:pt>
                <c:pt idx="445">
                  <c:v>-15.009210622199976</c:v>
                </c:pt>
                <c:pt idx="446">
                  <c:v>-16.184063474681022</c:v>
                </c:pt>
                <c:pt idx="447">
                  <c:v>-17.366033641487665</c:v>
                </c:pt>
                <c:pt idx="448">
                  <c:v>-18.554859597023185</c:v>
                </c:pt>
                <c:pt idx="449">
                  <c:v>-19.750266812320099</c:v>
                </c:pt>
                <c:pt idx="450">
                  <c:v>-20.951968755268116</c:v>
                </c:pt>
                <c:pt idx="451">
                  <c:v>-22.159667932815712</c:v>
                </c:pt>
                <c:pt idx="452">
                  <c:v>-23.373056969062294</c:v>
                </c:pt>
                <c:pt idx="453">
                  <c:v>-24.591819713207148</c:v>
                </c:pt>
                <c:pt idx="454">
                  <c:v>-25.815632371382961</c:v>
                </c:pt>
                <c:pt idx="455">
                  <c:v>-27.04416465648373</c:v>
                </c:pt>
                <c:pt idx="456">
                  <c:v>-28.277080950144956</c:v>
                </c:pt>
                <c:pt idx="457">
                  <c:v>-29.514041471144722</c:v>
                </c:pt>
                <c:pt idx="458">
                  <c:v>-30.754703444528907</c:v>
                </c:pt>
                <c:pt idx="459">
                  <c:v>-31.998722265873027</c:v>
                </c:pt>
                <c:pt idx="460">
                  <c:v>-33.24575265515427</c:v>
                </c:pt>
                <c:pt idx="461">
                  <c:v>-34.495449794788748</c:v>
                </c:pt>
                <c:pt idx="462">
                  <c:v>-35.747470446497658</c:v>
                </c:pt>
                <c:pt idx="463">
                  <c:v>-37.001474041742306</c:v>
                </c:pt>
                <c:pt idx="464">
                  <c:v>-38.257123740609856</c:v>
                </c:pt>
                <c:pt idx="465">
                  <c:v>-39.514087454149816</c:v>
                </c:pt>
                <c:pt idx="466">
                  <c:v>-40.772038825334619</c:v>
                </c:pt>
                <c:pt idx="467">
                  <c:v>-42.030658163989848</c:v>
                </c:pt>
                <c:pt idx="468">
                  <c:v>-43.289633331257647</c:v>
                </c:pt>
                <c:pt idx="469">
                  <c:v>-44.548660569407573</c:v>
                </c:pt>
                <c:pt idx="470">
                  <c:v>-45.807445273070023</c:v>
                </c:pt>
                <c:pt idx="471">
                  <c:v>-47.065702698286529</c:v>
                </c:pt>
                <c:pt idx="472">
                  <c:v>-48.323158606097721</c:v>
                </c:pt>
                <c:pt idx="473">
                  <c:v>-49.579549837768795</c:v>
                </c:pt>
                <c:pt idx="474">
                  <c:v>-50.834624819135882</c:v>
                </c:pt>
                <c:pt idx="475">
                  <c:v>-52.08814399197319</c:v>
                </c:pt>
                <c:pt idx="476">
                  <c:v>-53.339880170731668</c:v>
                </c:pt>
                <c:pt idx="477">
                  <c:v>-54.58961882343015</c:v>
                </c:pt>
                <c:pt idx="478">
                  <c:v>-55.837158275961812</c:v>
                </c:pt>
                <c:pt idx="479">
                  <c:v>-57.082309839533366</c:v>
                </c:pt>
                <c:pt idx="480">
                  <c:v>-58.324897861430152</c:v>
                </c:pt>
                <c:pt idx="481">
                  <c:v>-59.564759699756301</c:v>
                </c:pt>
                <c:pt idx="482">
                  <c:v>-60.801745623261354</c:v>
                </c:pt>
                <c:pt idx="483">
                  <c:v>-62.035718637792669</c:v>
                </c:pt>
                <c:pt idx="484">
                  <c:v>-63.266554241346185</c:v>
                </c:pt>
                <c:pt idx="485">
                  <c:v>-64.494140110080153</c:v>
                </c:pt>
                <c:pt idx="486">
                  <c:v>-65.718375718035588</c:v>
                </c:pt>
                <c:pt idx="487">
                  <c:v>-66.939171893656791</c:v>
                </c:pt>
                <c:pt idx="488">
                  <c:v>-68.156450316524101</c:v>
                </c:pt>
                <c:pt idx="489">
                  <c:v>-69.370142958007833</c:v>
                </c:pt>
                <c:pt idx="490">
                  <c:v>-70.5801914698133</c:v>
                </c:pt>
                <c:pt idx="491">
                  <c:v>-71.786546524616924</c:v>
                </c:pt>
                <c:pt idx="492">
                  <c:v>-72.989167113208183</c:v>
                </c:pt>
                <c:pt idx="493">
                  <c:v>-74.188019802718159</c:v>
                </c:pt>
                <c:pt idx="494">
                  <c:v>-75.383077960675507</c:v>
                </c:pt>
                <c:pt idx="495">
                  <c:v>-76.574320949750671</c:v>
                </c:pt>
                <c:pt idx="496">
                  <c:v>-77.761733298155946</c:v>
                </c:pt>
                <c:pt idx="497">
                  <c:v>-78.945303850743116</c:v>
                </c:pt>
                <c:pt idx="498">
                  <c:v>-80.125024905907608</c:v>
                </c:pt>
                <c:pt idx="499">
                  <c:v>-81.300891343437158</c:v>
                </c:pt>
                <c:pt idx="500">
                  <c:v>-82.472899748477914</c:v>
                </c:pt>
                <c:pt idx="501">
                  <c:v>-83.641047536780903</c:v>
                </c:pt>
                <c:pt idx="502">
                  <c:v>-84.805332086387381</c:v>
                </c:pt>
                <c:pt idx="503">
                  <c:v>-85.965749880878121</c:v>
                </c:pt>
                <c:pt idx="504">
                  <c:v>-87.122295669258548</c:v>
                </c:pt>
                <c:pt idx="505">
                  <c:v>-88.274961647493711</c:v>
                </c:pt>
                <c:pt idx="506">
                  <c:v>-89.423736666612342</c:v>
                </c:pt>
                <c:pt idx="507">
                  <c:v>-90.568605472196765</c:v>
                </c:pt>
                <c:pt idx="508">
                  <c:v>-91.709547979945484</c:v>
                </c:pt>
                <c:pt idx="509">
                  <c:v>-92.846538591842744</c:v>
                </c:pt>
                <c:pt idx="510">
                  <c:v>-93.979545557289839</c:v>
                </c:pt>
                <c:pt idx="511">
                  <c:v>-95.108530383344828</c:v>
                </c:pt>
                <c:pt idx="512">
                  <c:v>-96.233447297986004</c:v>
                </c:pt>
                <c:pt idx="513">
                  <c:v>-97.354242770040685</c:v>
                </c:pt>
                <c:pt idx="514">
                  <c:v>-98.470855089126871</c:v>
                </c:pt>
                <c:pt idx="515">
                  <c:v>-99.583214008615812</c:v>
                </c:pt>
                <c:pt idx="516">
                  <c:v>-100.69124045426514</c:v>
                </c:pt>
                <c:pt idx="517">
                  <c:v>-101.7948463007593</c:v>
                </c:pt>
                <c:pt idx="518">
                  <c:v>-102.89393421797271</c:v>
                </c:pt>
                <c:pt idx="519">
                  <c:v>-103.98839758829654</c:v>
                </c:pt>
                <c:pt idx="520">
                  <c:v>-105.07812049588139</c:v>
                </c:pt>
                <c:pt idx="521">
                  <c:v>-106.16297778812711</c:v>
                </c:pt>
                <c:pt idx="522">
                  <c:v>-107.24283520920791</c:v>
                </c:pt>
                <c:pt idx="523">
                  <c:v>-108.31754960487068</c:v>
                </c:pt>
                <c:pt idx="524">
                  <c:v>-109.38696919716986</c:v>
                </c:pt>
                <c:pt idx="525">
                  <c:v>-110.45093392722765</c:v>
                </c:pt>
                <c:pt idx="526">
                  <c:v>-111.50927586355265</c:v>
                </c:pt>
                <c:pt idx="527">
                  <c:v>-112.56181967287218</c:v>
                </c:pt>
                <c:pt idx="528">
                  <c:v>-113.60838314990559</c:v>
                </c:pt>
                <c:pt idx="529">
                  <c:v>-114.64877780199181</c:v>
                </c:pt>
                <c:pt idx="530">
                  <c:v>-115.68280948398599</c:v>
                </c:pt>
                <c:pt idx="531">
                  <c:v>-116.71027907842527</c:v>
                </c:pt>
                <c:pt idx="532">
                  <c:v>-117.73098321554953</c:v>
                </c:pt>
                <c:pt idx="533">
                  <c:v>-118.74471502744922</c:v>
                </c:pt>
                <c:pt idx="534">
                  <c:v>-119.7512649303156</c:v>
                </c:pt>
                <c:pt idx="535">
                  <c:v>-120.75042142858096</c:v>
                </c:pt>
                <c:pt idx="536">
                  <c:v>-121.74197193458077</c:v>
                </c:pt>
                <c:pt idx="537">
                  <c:v>-122.72570359732056</c:v>
                </c:pt>
                <c:pt idx="538">
                  <c:v>-123.70140413391741</c:v>
                </c:pt>
                <c:pt idx="539">
                  <c:v>-124.66886265738125</c:v>
                </c:pt>
                <c:pt idx="540">
                  <c:v>-125.62787049454212</c:v>
                </c:pt>
                <c:pt idx="541">
                  <c:v>-126.57822198815941</c:v>
                </c:pt>
              </c:numCache>
            </c:numRef>
          </c:yVal>
          <c:smooth val="1"/>
          <c:extLst>
            <c:ext xmlns:c16="http://schemas.microsoft.com/office/drawing/2014/chart" uri="{C3380CC4-5D6E-409C-BE32-E72D297353CC}">
              <c16:uniqueId val="{00000001-8173-45EB-83AD-B179A66292B6}"/>
            </c:ext>
          </c:extLst>
        </c:ser>
        <c:dLbls>
          <c:showLegendKey val="0"/>
          <c:showVal val="0"/>
          <c:showCatName val="0"/>
          <c:showSerName val="0"/>
          <c:showPercent val="0"/>
          <c:showBubbleSize val="0"/>
        </c:dLbls>
        <c:axId val="555537920"/>
        <c:axId val="555536384"/>
      </c:scatterChart>
      <c:valAx>
        <c:axId val="555528192"/>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555530112"/>
        <c:crosses val="autoZero"/>
        <c:crossBetween val="midCat"/>
      </c:valAx>
      <c:valAx>
        <c:axId val="555530112"/>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a:solidFill>
                  <a:srgbClr val="FF0000"/>
                </a:solidFill>
              </a:defRPr>
            </a:pPr>
            <a:endParaRPr lang="en-DE"/>
          </a:p>
        </c:txPr>
        <c:crossAx val="555528192"/>
        <c:crosses val="autoZero"/>
        <c:crossBetween val="midCat"/>
        <c:majorUnit val="20"/>
        <c:minorUnit val="10"/>
      </c:valAx>
      <c:valAx>
        <c:axId val="555536384"/>
        <c:scaling>
          <c:orientation val="minMax"/>
          <c:max val="180"/>
          <c:min val="-180"/>
        </c:scaling>
        <c:delete val="0"/>
        <c:axPos val="r"/>
        <c:numFmt formatCode="General" sourceLinked="1"/>
        <c:majorTickMark val="out"/>
        <c:minorTickMark val="none"/>
        <c:tickLblPos val="nextTo"/>
        <c:txPr>
          <a:bodyPr/>
          <a:lstStyle/>
          <a:p>
            <a:pPr>
              <a:defRPr>
                <a:solidFill>
                  <a:schemeClr val="tx1">
                    <a:lumMod val="95000"/>
                    <a:lumOff val="5000"/>
                  </a:schemeClr>
                </a:solidFill>
              </a:defRPr>
            </a:pPr>
            <a:endParaRPr lang="en-DE"/>
          </a:p>
        </c:txPr>
        <c:crossAx val="555537920"/>
        <c:crosses val="max"/>
        <c:crossBetween val="midCat"/>
        <c:majorUnit val="90"/>
        <c:minorUnit val="45"/>
      </c:valAx>
      <c:valAx>
        <c:axId val="555537920"/>
        <c:scaling>
          <c:logBase val="10"/>
          <c:orientation val="minMax"/>
        </c:scaling>
        <c:delete val="1"/>
        <c:axPos val="b"/>
        <c:numFmt formatCode="0.00" sourceLinked="1"/>
        <c:majorTickMark val="out"/>
        <c:minorTickMark val="none"/>
        <c:tickLblPos val="nextTo"/>
        <c:crossAx val="555536384"/>
        <c:crosses val="autoZero"/>
        <c:crossBetween val="midCat"/>
      </c:valAx>
    </c:plotArea>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2400"/>
            </a:pPr>
            <a:r>
              <a:rPr lang="el-GR" sz="2400"/>
              <a:t>η</a:t>
            </a:r>
            <a:endParaRPr lang="en-US" sz="2400"/>
          </a:p>
        </c:rich>
      </c:tx>
      <c:layout>
        <c:manualLayout>
          <c:xMode val="edge"/>
          <c:yMode val="edge"/>
          <c:x val="9.2321838295158831E-2"/>
          <c:y val="6.7069081153588199E-3"/>
        </c:manualLayout>
      </c:layout>
      <c:overlay val="1"/>
    </c:title>
    <c:autoTitleDeleted val="0"/>
    <c:plotArea>
      <c:layout>
        <c:manualLayout>
          <c:layoutTarget val="inner"/>
          <c:xMode val="edge"/>
          <c:yMode val="edge"/>
          <c:x val="9.4343575816580413E-2"/>
          <c:y val="0.12777504924560487"/>
          <c:w val="0.82170691922728745"/>
          <c:h val="0.74982770867653059"/>
        </c:manualLayout>
      </c:layout>
      <c:scatterChart>
        <c:scatterStyle val="smoothMarker"/>
        <c:varyColors val="0"/>
        <c:ser>
          <c:idx val="0"/>
          <c:order val="0"/>
          <c:tx>
            <c:v>Eff</c:v>
          </c:tx>
          <c:spPr>
            <a:ln>
              <a:solidFill>
                <a:srgbClr val="FF0000"/>
              </a:solidFill>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Eff_vs_IOUT!$AW$7:$AW$157</c:f>
              <c:numCache>
                <c:formatCode>General</c:formatCode>
                <c:ptCount val="151"/>
                <c:pt idx="0">
                  <c:v>0</c:v>
                </c:pt>
                <c:pt idx="1">
                  <c:v>29.013924589787056</c:v>
                </c:pt>
                <c:pt idx="2">
                  <c:v>44.130468327747458</c:v>
                </c:pt>
                <c:pt idx="3">
                  <c:v>53.402353596393169</c:v>
                </c:pt>
                <c:pt idx="4">
                  <c:v>59.667989916367837</c:v>
                </c:pt>
                <c:pt idx="5">
                  <c:v>64.183927063420271</c:v>
                </c:pt>
                <c:pt idx="6">
                  <c:v>67.592069583278615</c:v>
                </c:pt>
                <c:pt idx="7">
                  <c:v>70.254545772265018</c:v>
                </c:pt>
                <c:pt idx="8">
                  <c:v>72.39115746059926</c:v>
                </c:pt>
                <c:pt idx="9">
                  <c:v>74.143047091751811</c:v>
                </c:pt>
                <c:pt idx="10">
                  <c:v>75.604995008849372</c:v>
                </c:pt>
                <c:pt idx="11">
                  <c:v>76.843010976860413</c:v>
                </c:pt>
                <c:pt idx="12">
                  <c:v>77.904480817655539</c:v>
                </c:pt>
                <c:pt idx="13">
                  <c:v>78.824301830001602</c:v>
                </c:pt>
                <c:pt idx="14">
                  <c:v>79.628742657062773</c:v>
                </c:pt>
                <c:pt idx="15">
                  <c:v>80.337954916872064</c:v>
                </c:pt>
                <c:pt idx="16">
                  <c:v>80.967655793231827</c:v>
                </c:pt>
                <c:pt idx="17">
                  <c:v>81.530284197271257</c:v>
                </c:pt>
                <c:pt idx="18">
                  <c:v>82.03581313001142</c:v>
                </c:pt>
                <c:pt idx="19">
                  <c:v>82.492331885624253</c:v>
                </c:pt>
                <c:pt idx="20">
                  <c:v>82.906470742099671</c:v>
                </c:pt>
                <c:pt idx="21">
                  <c:v>83.283715711015617</c:v>
                </c:pt>
                <c:pt idx="22">
                  <c:v>83.628645177225167</c:v>
                </c:pt>
                <c:pt idx="23">
                  <c:v>83.945110145183165</c:v>
                </c:pt>
                <c:pt idx="24">
                  <c:v>84.23637317184911</c:v>
                </c:pt>
                <c:pt idx="25">
                  <c:v>84.505216627139745</c:v>
                </c:pt>
                <c:pt idx="26">
                  <c:v>84.754027901766833</c:v>
                </c:pt>
                <c:pt idx="27">
                  <c:v>84.984867093052827</c:v>
                </c:pt>
                <c:pt idx="28">
                  <c:v>85.199521233161917</c:v>
                </c:pt>
                <c:pt idx="29">
                  <c:v>85.399548081265323</c:v>
                </c:pt>
                <c:pt idx="30">
                  <c:v>85.586311749944201</c:v>
                </c:pt>
                <c:pt idx="31">
                  <c:v>85.761011888699883</c:v>
                </c:pt>
                <c:pt idx="32">
                  <c:v>85.924707744164181</c:v>
                </c:pt>
                <c:pt idx="33">
                  <c:v>86.078338116502778</c:v>
                </c:pt>
                <c:pt idx="34">
                  <c:v>86.222738006060666</c:v>
                </c:pt>
                <c:pt idx="35">
                  <c:v>86.358652573432877</c:v>
                </c:pt>
                <c:pt idx="36">
                  <c:v>86.486748905555487</c:v>
                </c:pt>
                <c:pt idx="37">
                  <c:v>86.60762597982567</c:v>
                </c:pt>
                <c:pt idx="38">
                  <c:v>86.721823140202929</c:v>
                </c:pt>
                <c:pt idx="39">
                  <c:v>86.829827338249117</c:v>
                </c:pt>
                <c:pt idx="40">
                  <c:v>86.932079344085111</c:v>
                </c:pt>
                <c:pt idx="41">
                  <c:v>87.028979094262951</c:v>
                </c:pt>
                <c:pt idx="42">
                  <c:v>87.120890313311122</c:v>
                </c:pt>
                <c:pt idx="43">
                  <c:v>87.208144521493551</c:v>
                </c:pt>
                <c:pt idx="44">
                  <c:v>87.291044521825498</c:v>
                </c:pt>
                <c:pt idx="45">
                  <c:v>87.369867443612549</c:v>
                </c:pt>
                <c:pt idx="46">
                  <c:v>87.444867406947935</c:v>
                </c:pt>
                <c:pt idx="47">
                  <c:v>87.516277862121967</c:v>
                </c:pt>
                <c:pt idx="48">
                  <c:v>87.584313649294671</c:v>
                </c:pt>
                <c:pt idx="49">
                  <c:v>87.649172816694104</c:v>
                </c:pt>
                <c:pt idx="50">
                  <c:v>87.711038229735749</c:v>
                </c:pt>
                <c:pt idx="51">
                  <c:v>87.770078998585106</c:v>
                </c:pt>
                <c:pt idx="52">
                  <c:v>87.826451747621689</c:v>
                </c:pt>
                <c:pt idx="53">
                  <c:v>87.880301746861278</c:v>
                </c:pt>
                <c:pt idx="54">
                  <c:v>87.931763922537016</c:v>
                </c:pt>
                <c:pt idx="55">
                  <c:v>87.980963761633873</c:v>
                </c:pt>
                <c:pt idx="56">
                  <c:v>88.028018123135539</c:v>
                </c:pt>
                <c:pt idx="57">
                  <c:v>88.073035967019294</c:v>
                </c:pt>
                <c:pt idx="58">
                  <c:v>88.116119010566166</c:v>
                </c:pt>
                <c:pt idx="59">
                  <c:v>88.157362320303008</c:v>
                </c:pt>
                <c:pt idx="60">
                  <c:v>88.196854846823641</c:v>
                </c:pt>
                <c:pt idx="61">
                  <c:v>88.234679908817341</c:v>
                </c:pt>
                <c:pt idx="62">
                  <c:v>88.270915631845298</c:v>
                </c:pt>
                <c:pt idx="63">
                  <c:v>88.305635346724813</c:v>
                </c:pt>
                <c:pt idx="64">
                  <c:v>88.338907951793828</c:v>
                </c:pt>
                <c:pt idx="65">
                  <c:v>88.37079824281949</c:v>
                </c:pt>
                <c:pt idx="66">
                  <c:v>88.401367213872973</c:v>
                </c:pt>
                <c:pt idx="67">
                  <c:v>88.430672332108244</c:v>
                </c:pt>
                <c:pt idx="68">
                  <c:v>88.458767789048025</c:v>
                </c:pt>
                <c:pt idx="69">
                  <c:v>88.485704730687175</c:v>
                </c:pt>
                <c:pt idx="70">
                  <c:v>88.511531468467851</c:v>
                </c:pt>
                <c:pt idx="71">
                  <c:v>88.536293672956504</c:v>
                </c:pt>
                <c:pt idx="72">
                  <c:v>88.560034551854642</c:v>
                </c:pt>
                <c:pt idx="73">
                  <c:v>88.582795013802468</c:v>
                </c:pt>
                <c:pt idx="74">
                  <c:v>88.604613819280758</c:v>
                </c:pt>
                <c:pt idx="75">
                  <c:v>88.625527719781175</c:v>
                </c:pt>
                <c:pt idx="76">
                  <c:v>88.645571586295418</c:v>
                </c:pt>
                <c:pt idx="77">
                  <c:v>88.664778528067615</c:v>
                </c:pt>
                <c:pt idx="78">
                  <c:v>88.683180002460006</c:v>
                </c:pt>
                <c:pt idx="79">
                  <c:v>88.700805916698172</c:v>
                </c:pt>
                <c:pt idx="80">
                  <c:v>88.717684722187556</c:v>
                </c:pt>
                <c:pt idx="81">
                  <c:v>88.733843502026517</c:v>
                </c:pt>
                <c:pt idx="82">
                  <c:v>88.749308052281563</c:v>
                </c:pt>
                <c:pt idx="83">
                  <c:v>88.764102957537531</c:v>
                </c:pt>
                <c:pt idx="84">
                  <c:v>88.778251661187568</c:v>
                </c:pt>
                <c:pt idx="85">
                  <c:v>88.791776530885514</c:v>
                </c:pt>
                <c:pt idx="86">
                  <c:v>88.804698919544506</c:v>
                </c:pt>
                <c:pt idx="87">
                  <c:v>88.817039222231529</c:v>
                </c:pt>
                <c:pt idx="88">
                  <c:v>88.828816929276513</c:v>
                </c:pt>
                <c:pt idx="89">
                  <c:v>88.840050675886388</c:v>
                </c:pt>
                <c:pt idx="90">
                  <c:v>88.850758288529903</c:v>
                </c:pt>
                <c:pt idx="91">
                  <c:v>88.860956828335318</c:v>
                </c:pt>
                <c:pt idx="92">
                  <c:v>88.870662631723476</c:v>
                </c:pt>
                <c:pt idx="93">
                  <c:v>88.879891348479148</c:v>
                </c:pt>
                <c:pt idx="94">
                  <c:v>88.888657977447551</c:v>
                </c:pt>
                <c:pt idx="95">
                  <c:v>88.896976900026587</c:v>
                </c:pt>
                <c:pt idx="96">
                  <c:v>88.904861911612457</c:v>
                </c:pt>
                <c:pt idx="97">
                  <c:v>88.912326251142858</c:v>
                </c:pt>
                <c:pt idx="98">
                  <c:v>88.919382628870608</c:v>
                </c:pt>
                <c:pt idx="99">
                  <c:v>88.926043252490288</c:v>
                </c:pt>
                <c:pt idx="100">
                  <c:v>88.932319851730881</c:v>
                </c:pt>
                <c:pt idx="101">
                  <c:v>88.938223701517998</c:v>
                </c:pt>
                <c:pt idx="102">
                  <c:v>88.943765643802251</c:v>
                </c:pt>
                <c:pt idx="103">
                  <c:v>88.948956108142454</c:v>
                </c:pt>
                <c:pt idx="104">
                  <c:v>88.953805131125549</c:v>
                </c:pt>
                <c:pt idx="105">
                  <c:v>88.958322374699449</c:v>
                </c:pt>
                <c:pt idx="106">
                  <c:v>88.962517143489009</c:v>
                </c:pt>
                <c:pt idx="107">
                  <c:v>88.966398401160447</c:v>
                </c:pt>
                <c:pt idx="108">
                  <c:v>88.969974785894507</c:v>
                </c:pt>
                <c:pt idx="109">
                  <c:v>88.973254625024694</c:v>
                </c:pt>
                <c:pt idx="110">
                  <c:v>88.976245948892341</c:v>
                </c:pt>
                <c:pt idx="111">
                  <c:v>88.978956503967439</c:v>
                </c:pt>
                <c:pt idx="112">
                  <c:v>88.981393765279734</c:v>
                </c:pt>
                <c:pt idx="113">
                  <c:v>88.983564948202414</c:v>
                </c:pt>
                <c:pt idx="114">
                  <c:v>88.985477019627098</c:v>
                </c:pt>
                <c:pt idx="115">
                  <c:v>88.98713670856668</c:v>
                </c:pt>
                <c:pt idx="116">
                  <c:v>88.98855051621986</c:v>
                </c:pt>
                <c:pt idx="117">
                  <c:v>88.989724725528959</c:v>
                </c:pt>
                <c:pt idx="118">
                  <c:v>88.990665410260533</c:v>
                </c:pt>
                <c:pt idx="119">
                  <c:v>88.991378443636378</c:v>
                </c:pt>
                <c:pt idx="120">
                  <c:v>88.991869506540766</c:v>
                </c:pt>
                <c:pt idx="121">
                  <c:v>88.992144095327646</c:v>
                </c:pt>
                <c:pt idx="122">
                  <c:v>88.99220752925099</c:v>
                </c:pt>
                <c:pt idx="123">
                  <c:v>88.992064957538645</c:v>
                </c:pt>
                <c:pt idx="124">
                  <c:v>88.991721366130008</c:v>
                </c:pt>
                <c:pt idx="125">
                  <c:v>88.991181584095784</c:v>
                </c:pt>
                <c:pt idx="126">
                  <c:v>88.990450289757192</c:v>
                </c:pt>
                <c:pt idx="127">
                  <c:v>88.989532016521025</c:v>
                </c:pt>
                <c:pt idx="128">
                  <c:v>88.988431158445692</c:v>
                </c:pt>
                <c:pt idx="129">
                  <c:v>88.987151975552663</c:v>
                </c:pt>
                <c:pt idx="130">
                  <c:v>88.985698598896875</c:v>
                </c:pt>
                <c:pt idx="131">
                  <c:v>88.984075035408807</c:v>
                </c:pt>
                <c:pt idx="132">
                  <c:v>88.982285172519639</c:v>
                </c:pt>
                <c:pt idx="133">
                  <c:v>88.98033278258157</c:v>
                </c:pt>
                <c:pt idx="134">
                  <c:v>88.978221527093154</c:v>
                </c:pt>
                <c:pt idx="135">
                  <c:v>88.975954960739813</c:v>
                </c:pt>
                <c:pt idx="136">
                  <c:v>88.973536535258944</c:v>
                </c:pt>
                <c:pt idx="137">
                  <c:v>88.970969603138471</c:v>
                </c:pt>
                <c:pt idx="138">
                  <c:v>88.968257421156892</c:v>
                </c:pt>
                <c:pt idx="139">
                  <c:v>88.965403153773096</c:v>
                </c:pt>
                <c:pt idx="140">
                  <c:v>88.962409876373044</c:v>
                </c:pt>
                <c:pt idx="141">
                  <c:v>88.959280578380287</c:v>
                </c:pt>
                <c:pt idx="142">
                  <c:v>88.956018166237172</c:v>
                </c:pt>
                <c:pt idx="143">
                  <c:v>88.95262546626283</c:v>
                </c:pt>
                <c:pt idx="144">
                  <c:v>88.949105227393829</c:v>
                </c:pt>
                <c:pt idx="145">
                  <c:v>88.945460123813007</c:v>
                </c:pt>
                <c:pt idx="146">
                  <c:v>88.941692757472012</c:v>
                </c:pt>
                <c:pt idx="147">
                  <c:v>88.937805660512325</c:v>
                </c:pt>
                <c:pt idx="148">
                  <c:v>88.933801297589511</c:v>
                </c:pt>
                <c:pt idx="149">
                  <c:v>88.929682068105251</c:v>
                </c:pt>
                <c:pt idx="150">
                  <c:v>88.925450308351429</c:v>
                </c:pt>
              </c:numCache>
            </c:numRef>
          </c:yVal>
          <c:smooth val="0"/>
          <c:extLst>
            <c:ext xmlns:c16="http://schemas.microsoft.com/office/drawing/2014/chart" uri="{C3380CC4-5D6E-409C-BE32-E72D297353CC}">
              <c16:uniqueId val="{00000000-50A0-4BAE-A18F-D1A285C4A90E}"/>
            </c:ext>
          </c:extLst>
        </c:ser>
        <c:dLbls>
          <c:showLegendKey val="0"/>
          <c:showVal val="0"/>
          <c:showCatName val="0"/>
          <c:showSerName val="0"/>
          <c:showPercent val="0"/>
          <c:showBubbleSize val="0"/>
        </c:dLbls>
        <c:axId val="555642880"/>
        <c:axId val="555644416"/>
      </c:scatterChart>
      <c:scatterChart>
        <c:scatterStyle val="smoothMarker"/>
        <c:varyColors val="0"/>
        <c:ser>
          <c:idx val="1"/>
          <c:order val="1"/>
          <c:tx>
            <c:v>MOSFET</c:v>
          </c:tx>
          <c:spPr>
            <a:ln>
              <a:solidFill>
                <a:schemeClr val="tx2">
                  <a:lumMod val="75000"/>
                </a:schemeClr>
              </a:solidFill>
              <a:prstDash val="dashDot"/>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Eff_vs_IOUT!$AI$7:$AI$157</c:f>
              <c:numCache>
                <c:formatCode>General</c:formatCode>
                <c:ptCount val="151"/>
                <c:pt idx="0">
                  <c:v>6.0141166935471857E-3</c:v>
                </c:pt>
                <c:pt idx="1">
                  <c:v>0.18394351180648014</c:v>
                </c:pt>
                <c:pt idx="2">
                  <c:v>0.36206533005990893</c:v>
                </c:pt>
                <c:pt idx="3">
                  <c:v>0.54037957145383353</c:v>
                </c:pt>
                <c:pt idx="4">
                  <c:v>0.71888623598825419</c:v>
                </c:pt>
                <c:pt idx="5">
                  <c:v>0.89758532366317068</c:v>
                </c:pt>
                <c:pt idx="6">
                  <c:v>1.0764768344785829</c:v>
                </c:pt>
                <c:pt idx="7">
                  <c:v>1.2555607684344916</c:v>
                </c:pt>
                <c:pt idx="8">
                  <c:v>1.4348371255308952</c:v>
                </c:pt>
                <c:pt idx="9">
                  <c:v>1.6143059057677949</c:v>
                </c:pt>
                <c:pt idx="10">
                  <c:v>1.7939671091451908</c:v>
                </c:pt>
                <c:pt idx="11">
                  <c:v>1.9738207356630826</c:v>
                </c:pt>
                <c:pt idx="12">
                  <c:v>2.1538667853214695</c:v>
                </c:pt>
                <c:pt idx="13">
                  <c:v>2.3341052581203536</c:v>
                </c:pt>
                <c:pt idx="14">
                  <c:v>2.5145361540597335</c:v>
                </c:pt>
                <c:pt idx="15">
                  <c:v>2.6951594731396078</c:v>
                </c:pt>
                <c:pt idx="16">
                  <c:v>2.8759752153599787</c:v>
                </c:pt>
                <c:pt idx="17">
                  <c:v>3.0569833807208457</c:v>
                </c:pt>
                <c:pt idx="18">
                  <c:v>3.2381839692222081</c:v>
                </c:pt>
                <c:pt idx="19">
                  <c:v>3.419576980864067</c:v>
                </c:pt>
                <c:pt idx="20">
                  <c:v>3.6011624156464213</c:v>
                </c:pt>
                <c:pt idx="21">
                  <c:v>3.7829402735692708</c:v>
                </c:pt>
                <c:pt idx="22">
                  <c:v>3.9649105546326182</c:v>
                </c:pt>
                <c:pt idx="23">
                  <c:v>4.1470732588364605</c:v>
                </c:pt>
                <c:pt idx="24">
                  <c:v>4.3294283861807967</c:v>
                </c:pt>
                <c:pt idx="25">
                  <c:v>4.5119759366656318</c:v>
                </c:pt>
                <c:pt idx="26">
                  <c:v>4.6947159102909612</c:v>
                </c:pt>
                <c:pt idx="27">
                  <c:v>4.8776483070567869</c:v>
                </c:pt>
                <c:pt idx="28">
                  <c:v>5.0607731269631095</c:v>
                </c:pt>
                <c:pt idx="29">
                  <c:v>5.2440903700099248</c:v>
                </c:pt>
                <c:pt idx="30">
                  <c:v>5.427600036197239</c:v>
                </c:pt>
                <c:pt idx="31">
                  <c:v>5.6113021255250475</c:v>
                </c:pt>
                <c:pt idx="32">
                  <c:v>5.7951966379933522</c:v>
                </c:pt>
                <c:pt idx="33">
                  <c:v>5.979283573602153</c:v>
                </c:pt>
                <c:pt idx="34">
                  <c:v>6.1635629323514509</c:v>
                </c:pt>
                <c:pt idx="35">
                  <c:v>6.3480347142412423</c:v>
                </c:pt>
                <c:pt idx="36">
                  <c:v>6.5326989192715299</c:v>
                </c:pt>
                <c:pt idx="37">
                  <c:v>6.7175555474423136</c:v>
                </c:pt>
                <c:pt idx="38">
                  <c:v>6.9026045987535953</c:v>
                </c:pt>
                <c:pt idx="39">
                  <c:v>7.0878460732053714</c:v>
                </c:pt>
                <c:pt idx="40">
                  <c:v>7.2732799707976428</c:v>
                </c:pt>
                <c:pt idx="41">
                  <c:v>7.4589062915304112</c:v>
                </c:pt>
                <c:pt idx="42">
                  <c:v>7.6447250354036722</c:v>
                </c:pt>
                <c:pt idx="43">
                  <c:v>7.830736202417433</c:v>
                </c:pt>
                <c:pt idx="44">
                  <c:v>8.016939792571689</c:v>
                </c:pt>
                <c:pt idx="45">
                  <c:v>8.2033358058664394</c:v>
                </c:pt>
                <c:pt idx="46">
                  <c:v>8.3899242423016869</c:v>
                </c:pt>
                <c:pt idx="47">
                  <c:v>8.5767051018774296</c:v>
                </c:pt>
                <c:pt idx="48">
                  <c:v>8.7636783845936659</c:v>
                </c:pt>
                <c:pt idx="49">
                  <c:v>8.9508440904504027</c:v>
                </c:pt>
                <c:pt idx="50">
                  <c:v>9.1382022194476331</c:v>
                </c:pt>
                <c:pt idx="51">
                  <c:v>9.3257527715853605</c:v>
                </c:pt>
                <c:pt idx="52">
                  <c:v>9.5134957468635832</c:v>
                </c:pt>
                <c:pt idx="53">
                  <c:v>9.7014311452823012</c:v>
                </c:pt>
                <c:pt idx="54">
                  <c:v>9.8895589668415145</c:v>
                </c:pt>
                <c:pt idx="55">
                  <c:v>10.077879211541223</c:v>
                </c:pt>
                <c:pt idx="56">
                  <c:v>10.266391879381432</c:v>
                </c:pt>
                <c:pt idx="57">
                  <c:v>10.455096970362133</c:v>
                </c:pt>
                <c:pt idx="58">
                  <c:v>10.643994484483327</c:v>
                </c:pt>
                <c:pt idx="59">
                  <c:v>10.833084421745021</c:v>
                </c:pt>
                <c:pt idx="60">
                  <c:v>11.022366782147211</c:v>
                </c:pt>
                <c:pt idx="61">
                  <c:v>11.211841565689895</c:v>
                </c:pt>
                <c:pt idx="62">
                  <c:v>11.401508772373077</c:v>
                </c:pt>
                <c:pt idx="63">
                  <c:v>11.591368402196755</c:v>
                </c:pt>
                <c:pt idx="64">
                  <c:v>11.781420455160925</c:v>
                </c:pt>
                <c:pt idx="65">
                  <c:v>11.971664931265593</c:v>
                </c:pt>
                <c:pt idx="66">
                  <c:v>12.162101830510759</c:v>
                </c:pt>
                <c:pt idx="67">
                  <c:v>12.352731152896418</c:v>
                </c:pt>
                <c:pt idx="68">
                  <c:v>12.543552898422577</c:v>
                </c:pt>
                <c:pt idx="69">
                  <c:v>12.734567067089227</c:v>
                </c:pt>
                <c:pt idx="70">
                  <c:v>12.925773658896377</c:v>
                </c:pt>
                <c:pt idx="71">
                  <c:v>13.117172673844019</c:v>
                </c:pt>
                <c:pt idx="72">
                  <c:v>13.308764111932156</c:v>
                </c:pt>
                <c:pt idx="73">
                  <c:v>13.500547973160792</c:v>
                </c:pt>
                <c:pt idx="74">
                  <c:v>13.692524257529923</c:v>
                </c:pt>
                <c:pt idx="75">
                  <c:v>13.884692965039552</c:v>
                </c:pt>
                <c:pt idx="76">
                  <c:v>14.077054095689677</c:v>
                </c:pt>
                <c:pt idx="77">
                  <c:v>14.269607649480296</c:v>
                </c:pt>
                <c:pt idx="78">
                  <c:v>14.46235362641141</c:v>
                </c:pt>
                <c:pt idx="79">
                  <c:v>14.65529202648302</c:v>
                </c:pt>
                <c:pt idx="80">
                  <c:v>14.848422849695126</c:v>
                </c:pt>
                <c:pt idx="81">
                  <c:v>15.041746096047728</c:v>
                </c:pt>
                <c:pt idx="82">
                  <c:v>15.23526176554083</c:v>
                </c:pt>
                <c:pt idx="83">
                  <c:v>15.428969858174423</c:v>
                </c:pt>
                <c:pt idx="84">
                  <c:v>15.622870373948508</c:v>
                </c:pt>
                <c:pt idx="85">
                  <c:v>15.816963312863095</c:v>
                </c:pt>
                <c:pt idx="86">
                  <c:v>16.011248674918178</c:v>
                </c:pt>
                <c:pt idx="87">
                  <c:v>16.205726460113755</c:v>
                </c:pt>
                <c:pt idx="88">
                  <c:v>16.400396668449829</c:v>
                </c:pt>
                <c:pt idx="89">
                  <c:v>16.595259299926401</c:v>
                </c:pt>
                <c:pt idx="90">
                  <c:v>16.790314354543462</c:v>
                </c:pt>
                <c:pt idx="91">
                  <c:v>16.985561832301023</c:v>
                </c:pt>
                <c:pt idx="92">
                  <c:v>17.181001733199082</c:v>
                </c:pt>
                <c:pt idx="93">
                  <c:v>17.376634057237638</c:v>
                </c:pt>
                <c:pt idx="94">
                  <c:v>17.572458804416684</c:v>
                </c:pt>
                <c:pt idx="95">
                  <c:v>17.76847597473623</c:v>
                </c:pt>
                <c:pt idx="96">
                  <c:v>17.964685568196266</c:v>
                </c:pt>
                <c:pt idx="97">
                  <c:v>18.161087584796807</c:v>
                </c:pt>
                <c:pt idx="98">
                  <c:v>18.357682024537837</c:v>
                </c:pt>
                <c:pt idx="99">
                  <c:v>18.554468887419361</c:v>
                </c:pt>
                <c:pt idx="100">
                  <c:v>18.751448173441389</c:v>
                </c:pt>
                <c:pt idx="101">
                  <c:v>18.948619882603911</c:v>
                </c:pt>
                <c:pt idx="102">
                  <c:v>19.145984014906926</c:v>
                </c:pt>
                <c:pt idx="103">
                  <c:v>19.343540570350434</c:v>
                </c:pt>
                <c:pt idx="104">
                  <c:v>19.541289548934444</c:v>
                </c:pt>
                <c:pt idx="105">
                  <c:v>19.73923095065895</c:v>
                </c:pt>
                <c:pt idx="106">
                  <c:v>19.937364775523946</c:v>
                </c:pt>
                <c:pt idx="107">
                  <c:v>20.135691023529439</c:v>
                </c:pt>
                <c:pt idx="108">
                  <c:v>20.334209694675433</c:v>
                </c:pt>
                <c:pt idx="109">
                  <c:v>20.532920788961917</c:v>
                </c:pt>
                <c:pt idx="110">
                  <c:v>20.731824306388901</c:v>
                </c:pt>
                <c:pt idx="111">
                  <c:v>20.930920246956383</c:v>
                </c:pt>
                <c:pt idx="112">
                  <c:v>21.130208610664361</c:v>
                </c:pt>
                <c:pt idx="113">
                  <c:v>21.329689397512823</c:v>
                </c:pt>
                <c:pt idx="114">
                  <c:v>21.529362607501792</c:v>
                </c:pt>
                <c:pt idx="115">
                  <c:v>21.729228240631254</c:v>
                </c:pt>
                <c:pt idx="116">
                  <c:v>21.929286296901207</c:v>
                </c:pt>
                <c:pt idx="117">
                  <c:v>22.12953677631166</c:v>
                </c:pt>
                <c:pt idx="118">
                  <c:v>22.32997967886261</c:v>
                </c:pt>
                <c:pt idx="119">
                  <c:v>22.530615004554058</c:v>
                </c:pt>
                <c:pt idx="120">
                  <c:v>22.731442753385998</c:v>
                </c:pt>
                <c:pt idx="121">
                  <c:v>22.932462925358433</c:v>
                </c:pt>
                <c:pt idx="122">
                  <c:v>23.133675520471364</c:v>
                </c:pt>
                <c:pt idx="123">
                  <c:v>23.335080538724792</c:v>
                </c:pt>
                <c:pt idx="124">
                  <c:v>23.536677980118721</c:v>
                </c:pt>
                <c:pt idx="125">
                  <c:v>23.73846784465314</c:v>
                </c:pt>
                <c:pt idx="126">
                  <c:v>23.94045013232806</c:v>
                </c:pt>
                <c:pt idx="127">
                  <c:v>24.142624843143473</c:v>
                </c:pt>
                <c:pt idx="128">
                  <c:v>24.344991977099379</c:v>
                </c:pt>
                <c:pt idx="129">
                  <c:v>24.547551534195787</c:v>
                </c:pt>
                <c:pt idx="130">
                  <c:v>24.75030351443268</c:v>
                </c:pt>
                <c:pt idx="131">
                  <c:v>24.953247917810081</c:v>
                </c:pt>
                <c:pt idx="132">
                  <c:v>25.156384744327973</c:v>
                </c:pt>
                <c:pt idx="133">
                  <c:v>25.359713993986354</c:v>
                </c:pt>
                <c:pt idx="134">
                  <c:v>25.563235666785239</c:v>
                </c:pt>
                <c:pt idx="135">
                  <c:v>25.766949762724622</c:v>
                </c:pt>
                <c:pt idx="136">
                  <c:v>25.970856281804501</c:v>
                </c:pt>
                <c:pt idx="137">
                  <c:v>26.17495522402487</c:v>
                </c:pt>
                <c:pt idx="138">
                  <c:v>26.379246589385733</c:v>
                </c:pt>
                <c:pt idx="139">
                  <c:v>26.5837303778871</c:v>
                </c:pt>
                <c:pt idx="140">
                  <c:v>26.788406589528957</c:v>
                </c:pt>
                <c:pt idx="141">
                  <c:v>26.993275224311311</c:v>
                </c:pt>
                <c:pt idx="142">
                  <c:v>27.198336282234163</c:v>
                </c:pt>
                <c:pt idx="143">
                  <c:v>27.403589763297504</c:v>
                </c:pt>
                <c:pt idx="144">
                  <c:v>27.609035667501345</c:v>
                </c:pt>
                <c:pt idx="145">
                  <c:v>27.814673994845688</c:v>
                </c:pt>
                <c:pt idx="146">
                  <c:v>28.020504745330516</c:v>
                </c:pt>
                <c:pt idx="147">
                  <c:v>28.226527918955849</c:v>
                </c:pt>
                <c:pt idx="148">
                  <c:v>28.432743515721672</c:v>
                </c:pt>
                <c:pt idx="149">
                  <c:v>28.639151535627992</c:v>
                </c:pt>
                <c:pt idx="150">
                  <c:v>28.845751978674812</c:v>
                </c:pt>
              </c:numCache>
            </c:numRef>
          </c:yVal>
          <c:smooth val="1"/>
          <c:extLst>
            <c:ext xmlns:c16="http://schemas.microsoft.com/office/drawing/2014/chart" uri="{C3380CC4-5D6E-409C-BE32-E72D297353CC}">
              <c16:uniqueId val="{00000001-50A0-4BAE-A18F-D1A285C4A90E}"/>
            </c:ext>
          </c:extLst>
        </c:ser>
        <c:ser>
          <c:idx val="2"/>
          <c:order val="2"/>
          <c:tx>
            <c:v>Diode</c:v>
          </c:tx>
          <c:spPr>
            <a:ln>
              <a:solidFill>
                <a:schemeClr val="bg2">
                  <a:lumMod val="50000"/>
                </a:schemeClr>
              </a:solidFill>
              <a:prstDash val="sysDash"/>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Eff_vs_IOUT!$AO$7:$AO$157</c:f>
              <c:numCache>
                <c:formatCode>General</c:formatCode>
                <c:ptCount val="151"/>
                <c:pt idx="0">
                  <c:v>5.4839020256536072E-2</c:v>
                </c:pt>
                <c:pt idx="1">
                  <c:v>5.8754831165626978E-2</c:v>
                </c:pt>
                <c:pt idx="2">
                  <c:v>6.2720445711081541E-2</c:v>
                </c:pt>
                <c:pt idx="3">
                  <c:v>6.6735863892899705E-2</c:v>
                </c:pt>
                <c:pt idx="4">
                  <c:v>7.0801085711081541E-2</c:v>
                </c:pt>
                <c:pt idx="5">
                  <c:v>7.4916111165626978E-2</c:v>
                </c:pt>
                <c:pt idx="6">
                  <c:v>7.9080940256536086E-2</c:v>
                </c:pt>
                <c:pt idx="7">
                  <c:v>8.3295572983808797E-2</c:v>
                </c:pt>
                <c:pt idx="8">
                  <c:v>8.7560009347445178E-2</c:v>
                </c:pt>
                <c:pt idx="9">
                  <c:v>9.1874249347445161E-2</c:v>
                </c:pt>
                <c:pt idx="10">
                  <c:v>9.6238292983808815E-2</c:v>
                </c:pt>
                <c:pt idx="11">
                  <c:v>0.10065214025653609</c:v>
                </c:pt>
                <c:pt idx="12">
                  <c:v>0.105115791165627</c:v>
                </c:pt>
                <c:pt idx="13">
                  <c:v>0.10962924571108154</c:v>
                </c:pt>
                <c:pt idx="14">
                  <c:v>0.11419250389289973</c:v>
                </c:pt>
                <c:pt idx="15">
                  <c:v>0.11880556571108154</c:v>
                </c:pt>
                <c:pt idx="16">
                  <c:v>0.12346843116562699</c:v>
                </c:pt>
                <c:pt idx="17">
                  <c:v>0.12818110025653606</c:v>
                </c:pt>
                <c:pt idx="18">
                  <c:v>0.13294357298380879</c:v>
                </c:pt>
                <c:pt idx="19">
                  <c:v>0.13775584934744517</c:v>
                </c:pt>
                <c:pt idx="20">
                  <c:v>0.14261792934744516</c:v>
                </c:pt>
                <c:pt idx="21">
                  <c:v>0.14752981298380879</c:v>
                </c:pt>
                <c:pt idx="22">
                  <c:v>0.15249150025653607</c:v>
                </c:pt>
                <c:pt idx="23">
                  <c:v>0.15750299116562699</c:v>
                </c:pt>
                <c:pt idx="24">
                  <c:v>0.16256428571108153</c:v>
                </c:pt>
                <c:pt idx="25">
                  <c:v>0.16767538389289971</c:v>
                </c:pt>
                <c:pt idx="26">
                  <c:v>0.17283628571108156</c:v>
                </c:pt>
                <c:pt idx="27">
                  <c:v>0.178046991165627</c:v>
                </c:pt>
                <c:pt idx="28">
                  <c:v>0.18330750025653608</c:v>
                </c:pt>
                <c:pt idx="29">
                  <c:v>0.18861781298380881</c:v>
                </c:pt>
                <c:pt idx="30">
                  <c:v>0.19397792934744518</c:v>
                </c:pt>
                <c:pt idx="31">
                  <c:v>0.19938784934744519</c:v>
                </c:pt>
                <c:pt idx="32">
                  <c:v>0.20484757298380879</c:v>
                </c:pt>
                <c:pt idx="33">
                  <c:v>0.21035710025653612</c:v>
                </c:pt>
                <c:pt idx="34">
                  <c:v>0.21591643116562703</c:v>
                </c:pt>
                <c:pt idx="35">
                  <c:v>0.22152556571108156</c:v>
                </c:pt>
                <c:pt idx="36">
                  <c:v>0.22718450389289968</c:v>
                </c:pt>
                <c:pt idx="37">
                  <c:v>0.23289324571108153</c:v>
                </c:pt>
                <c:pt idx="38">
                  <c:v>0.23865179116562701</c:v>
                </c:pt>
                <c:pt idx="39">
                  <c:v>0.24446014025653615</c:v>
                </c:pt>
                <c:pt idx="40">
                  <c:v>0.25031829298380881</c:v>
                </c:pt>
                <c:pt idx="41">
                  <c:v>0.2562262493474452</c:v>
                </c:pt>
                <c:pt idx="42">
                  <c:v>0.26218400934744518</c:v>
                </c:pt>
                <c:pt idx="43">
                  <c:v>0.2681915729838088</c:v>
                </c:pt>
                <c:pt idx="44">
                  <c:v>0.27424894025653612</c:v>
                </c:pt>
                <c:pt idx="45">
                  <c:v>0.28035611116562698</c:v>
                </c:pt>
                <c:pt idx="46">
                  <c:v>0.28651308571108158</c:v>
                </c:pt>
                <c:pt idx="47">
                  <c:v>0.29271986389289978</c:v>
                </c:pt>
                <c:pt idx="48">
                  <c:v>0.29897644571108151</c:v>
                </c:pt>
                <c:pt idx="49">
                  <c:v>0.30528283116562699</c:v>
                </c:pt>
                <c:pt idx="50">
                  <c:v>0.31163902025653611</c:v>
                </c:pt>
                <c:pt idx="51">
                  <c:v>0.31804501298380883</c:v>
                </c:pt>
                <c:pt idx="52">
                  <c:v>0.32450080934744524</c:v>
                </c:pt>
                <c:pt idx="53">
                  <c:v>0.33100640934744519</c:v>
                </c:pt>
                <c:pt idx="54">
                  <c:v>0.33756181298380888</c:v>
                </c:pt>
                <c:pt idx="55">
                  <c:v>0.34416702025653617</c:v>
                </c:pt>
                <c:pt idx="56">
                  <c:v>0.3508220311656271</c:v>
                </c:pt>
                <c:pt idx="57">
                  <c:v>0.35752684571108162</c:v>
                </c:pt>
                <c:pt idx="58">
                  <c:v>0.36428146389289973</c:v>
                </c:pt>
                <c:pt idx="59">
                  <c:v>0.37108588571108148</c:v>
                </c:pt>
                <c:pt idx="60">
                  <c:v>0.37794011116562709</c:v>
                </c:pt>
                <c:pt idx="61">
                  <c:v>0.38484414025653613</c:v>
                </c:pt>
                <c:pt idx="62">
                  <c:v>0.39179797298380886</c:v>
                </c:pt>
                <c:pt idx="63">
                  <c:v>0.39880160934744519</c:v>
                </c:pt>
                <c:pt idx="64">
                  <c:v>0.40585504934744521</c:v>
                </c:pt>
                <c:pt idx="65">
                  <c:v>0.41295829298380882</c:v>
                </c:pt>
                <c:pt idx="66">
                  <c:v>0.42011134025653618</c:v>
                </c:pt>
                <c:pt idx="67">
                  <c:v>0.42731419116562697</c:v>
                </c:pt>
                <c:pt idx="68">
                  <c:v>0.43456684571108162</c:v>
                </c:pt>
                <c:pt idx="69">
                  <c:v>0.4418693038928998</c:v>
                </c:pt>
                <c:pt idx="70">
                  <c:v>0.44922156571108152</c:v>
                </c:pt>
                <c:pt idx="71">
                  <c:v>0.45662363116562699</c:v>
                </c:pt>
                <c:pt idx="72">
                  <c:v>0.46407550025653599</c:v>
                </c:pt>
                <c:pt idx="73">
                  <c:v>0.47157717298380875</c:v>
                </c:pt>
                <c:pt idx="74">
                  <c:v>0.47912864934744515</c:v>
                </c:pt>
                <c:pt idx="75">
                  <c:v>0.48672992934744513</c:v>
                </c:pt>
                <c:pt idx="76">
                  <c:v>0.49438101298380882</c:v>
                </c:pt>
                <c:pt idx="77">
                  <c:v>0.5020819002565361</c:v>
                </c:pt>
                <c:pt idx="78">
                  <c:v>0.50983259116562707</c:v>
                </c:pt>
                <c:pt idx="79">
                  <c:v>0.51763308571108158</c:v>
                </c:pt>
                <c:pt idx="80">
                  <c:v>0.52548338389289972</c:v>
                </c:pt>
                <c:pt idx="81">
                  <c:v>0.53338348571108152</c:v>
                </c:pt>
                <c:pt idx="82">
                  <c:v>0.54133339116562706</c:v>
                </c:pt>
                <c:pt idx="83">
                  <c:v>0.54933310025653614</c:v>
                </c:pt>
                <c:pt idx="84">
                  <c:v>0.55738261298380876</c:v>
                </c:pt>
                <c:pt idx="85">
                  <c:v>0.56548192934744512</c:v>
                </c:pt>
                <c:pt idx="86">
                  <c:v>0.57363104934744524</c:v>
                </c:pt>
                <c:pt idx="87">
                  <c:v>0.5818299729838089</c:v>
                </c:pt>
                <c:pt idx="88">
                  <c:v>0.59007870025653619</c:v>
                </c:pt>
                <c:pt idx="89">
                  <c:v>0.59837723116562702</c:v>
                </c:pt>
                <c:pt idx="90">
                  <c:v>0.60672556571108149</c:v>
                </c:pt>
                <c:pt idx="91">
                  <c:v>0.61512370389289972</c:v>
                </c:pt>
                <c:pt idx="92">
                  <c:v>0.62357164571108159</c:v>
                </c:pt>
                <c:pt idx="93">
                  <c:v>0.63206939116562721</c:v>
                </c:pt>
                <c:pt idx="94">
                  <c:v>0.64061694025653615</c:v>
                </c:pt>
                <c:pt idx="95">
                  <c:v>0.64921429298380895</c:v>
                </c:pt>
                <c:pt idx="96">
                  <c:v>0.65786144934744517</c:v>
                </c:pt>
                <c:pt idx="97">
                  <c:v>0.66655840934744526</c:v>
                </c:pt>
                <c:pt idx="98">
                  <c:v>0.67530517298380899</c:v>
                </c:pt>
                <c:pt idx="99">
                  <c:v>0.68410174025653592</c:v>
                </c:pt>
                <c:pt idx="100">
                  <c:v>0.69294811116562682</c:v>
                </c:pt>
                <c:pt idx="101">
                  <c:v>0.70184428571108171</c:v>
                </c:pt>
                <c:pt idx="102">
                  <c:v>0.71079026389289979</c:v>
                </c:pt>
                <c:pt idx="103">
                  <c:v>0.71978604571108162</c:v>
                </c:pt>
                <c:pt idx="104">
                  <c:v>0.7288316311656271</c:v>
                </c:pt>
                <c:pt idx="105">
                  <c:v>0.73792702025653645</c:v>
                </c:pt>
                <c:pt idx="106">
                  <c:v>0.74707221298380888</c:v>
                </c:pt>
                <c:pt idx="107">
                  <c:v>0.75626720934744529</c:v>
                </c:pt>
                <c:pt idx="108">
                  <c:v>0.76551200934744523</c:v>
                </c:pt>
                <c:pt idx="109">
                  <c:v>0.77480661298380904</c:v>
                </c:pt>
                <c:pt idx="110">
                  <c:v>0.78415102025653627</c:v>
                </c:pt>
                <c:pt idx="111">
                  <c:v>0.79354523116562725</c:v>
                </c:pt>
                <c:pt idx="112">
                  <c:v>0.80298924571108188</c:v>
                </c:pt>
                <c:pt idx="113">
                  <c:v>0.81248306389289993</c:v>
                </c:pt>
                <c:pt idx="114">
                  <c:v>0.82202668571108184</c:v>
                </c:pt>
                <c:pt idx="115">
                  <c:v>0.83162011116562717</c:v>
                </c:pt>
                <c:pt idx="116">
                  <c:v>0.84126334025653615</c:v>
                </c:pt>
                <c:pt idx="117">
                  <c:v>0.85095637298380877</c:v>
                </c:pt>
                <c:pt idx="118">
                  <c:v>0.86069920934744504</c:v>
                </c:pt>
                <c:pt idx="119">
                  <c:v>0.87049184934744539</c:v>
                </c:pt>
                <c:pt idx="120">
                  <c:v>0.88033429298380894</c:v>
                </c:pt>
                <c:pt idx="121">
                  <c:v>0.89022654025653614</c:v>
                </c:pt>
                <c:pt idx="122">
                  <c:v>0.90016859116562709</c:v>
                </c:pt>
                <c:pt idx="123">
                  <c:v>0.91016044571108146</c:v>
                </c:pt>
                <c:pt idx="124">
                  <c:v>0.92020210389290003</c:v>
                </c:pt>
                <c:pt idx="125">
                  <c:v>0.93029356571108157</c:v>
                </c:pt>
                <c:pt idx="126">
                  <c:v>0.94043483116562709</c:v>
                </c:pt>
                <c:pt idx="127">
                  <c:v>0.95062590025653637</c:v>
                </c:pt>
                <c:pt idx="128">
                  <c:v>0.96086677298380896</c:v>
                </c:pt>
                <c:pt idx="129">
                  <c:v>0.9711574493474453</c:v>
                </c:pt>
                <c:pt idx="130">
                  <c:v>0.98149792934744529</c:v>
                </c:pt>
                <c:pt idx="131">
                  <c:v>0.99188821298380903</c:v>
                </c:pt>
                <c:pt idx="132">
                  <c:v>1.0023283002565364</c:v>
                </c:pt>
                <c:pt idx="133">
                  <c:v>1.0128181911656271</c:v>
                </c:pt>
                <c:pt idx="134">
                  <c:v>1.0233578857110814</c:v>
                </c:pt>
                <c:pt idx="135">
                  <c:v>1.0339473838928999</c:v>
                </c:pt>
                <c:pt idx="136">
                  <c:v>1.0445866857110819</c:v>
                </c:pt>
                <c:pt idx="137">
                  <c:v>1.055275791165627</c:v>
                </c:pt>
                <c:pt idx="138">
                  <c:v>1.0660147002565363</c:v>
                </c:pt>
                <c:pt idx="139">
                  <c:v>1.0768034129838093</c:v>
                </c:pt>
                <c:pt idx="140">
                  <c:v>1.0876419293474453</c:v>
                </c:pt>
                <c:pt idx="141">
                  <c:v>1.0985302493474454</c:v>
                </c:pt>
                <c:pt idx="142">
                  <c:v>1.1094683729838088</c:v>
                </c:pt>
                <c:pt idx="143">
                  <c:v>1.120456300256536</c:v>
                </c:pt>
                <c:pt idx="144">
                  <c:v>1.131494031165627</c:v>
                </c:pt>
                <c:pt idx="145">
                  <c:v>1.1425815657110818</c:v>
                </c:pt>
                <c:pt idx="146">
                  <c:v>1.1537189038928999</c:v>
                </c:pt>
                <c:pt idx="147">
                  <c:v>1.1649060457110816</c:v>
                </c:pt>
                <c:pt idx="148">
                  <c:v>1.1761429911656269</c:v>
                </c:pt>
                <c:pt idx="149">
                  <c:v>1.1874297402565361</c:v>
                </c:pt>
                <c:pt idx="150">
                  <c:v>1.1987662929838092</c:v>
                </c:pt>
              </c:numCache>
            </c:numRef>
          </c:yVal>
          <c:smooth val="1"/>
          <c:extLst>
            <c:ext xmlns:c16="http://schemas.microsoft.com/office/drawing/2014/chart" uri="{C3380CC4-5D6E-409C-BE32-E72D297353CC}">
              <c16:uniqueId val="{00000002-50A0-4BAE-A18F-D1A285C4A90E}"/>
            </c:ext>
          </c:extLst>
        </c:ser>
        <c:ser>
          <c:idx val="3"/>
          <c:order val="3"/>
          <c:tx>
            <c:v>RCS</c:v>
          </c:tx>
          <c:spPr>
            <a:ln>
              <a:solidFill>
                <a:schemeClr val="accent5">
                  <a:lumMod val="75000"/>
                </a:schemeClr>
              </a:solidFill>
              <a:prstDash val="lgDashDotDot"/>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Eff_vs_IOUT!$AP$7:$AP$157</c:f>
              <c:numCache>
                <c:formatCode>General</c:formatCode>
                <c:ptCount val="151"/>
                <c:pt idx="0">
                  <c:v>2.8390168509244825E-3</c:v>
                </c:pt>
                <c:pt idx="1">
                  <c:v>2.8844343715856398E-3</c:v>
                </c:pt>
                <c:pt idx="2">
                  <c:v>3.0206869335691108E-3</c:v>
                </c:pt>
                <c:pt idx="3">
                  <c:v>3.2477745368748958E-3</c:v>
                </c:pt>
                <c:pt idx="4">
                  <c:v>3.565697181502995E-3</c:v>
                </c:pt>
                <c:pt idx="5">
                  <c:v>3.9744548674534082E-3</c:v>
                </c:pt>
                <c:pt idx="6">
                  <c:v>4.4740475947261348E-3</c:v>
                </c:pt>
                <c:pt idx="7">
                  <c:v>5.0644753633211758E-3</c:v>
                </c:pt>
                <c:pt idx="8">
                  <c:v>5.7457381732385331E-3</c:v>
                </c:pt>
                <c:pt idx="9">
                  <c:v>6.5178360244782007E-3</c:v>
                </c:pt>
                <c:pt idx="10">
                  <c:v>7.3807689170401845E-3</c:v>
                </c:pt>
                <c:pt idx="11">
                  <c:v>8.3345368509244819E-3</c:v>
                </c:pt>
                <c:pt idx="12">
                  <c:v>9.379139826131094E-3</c:v>
                </c:pt>
                <c:pt idx="13">
                  <c:v>1.0514577842660021E-2</c:v>
                </c:pt>
                <c:pt idx="14">
                  <c:v>1.1740850900511262E-2</c:v>
                </c:pt>
                <c:pt idx="15">
                  <c:v>1.3057958999684814E-2</c:v>
                </c:pt>
                <c:pt idx="16">
                  <c:v>1.4465902140180682E-2</c:v>
                </c:pt>
                <c:pt idx="17">
                  <c:v>1.5964680321998864E-2</c:v>
                </c:pt>
                <c:pt idx="18">
                  <c:v>1.7554293545139356E-2</c:v>
                </c:pt>
                <c:pt idx="19">
                  <c:v>1.9234741809602166E-2</c:v>
                </c:pt>
                <c:pt idx="20">
                  <c:v>2.1006025115387298E-2</c:v>
                </c:pt>
                <c:pt idx="21">
                  <c:v>2.2868143462494731E-2</c:v>
                </c:pt>
                <c:pt idx="22">
                  <c:v>2.4821096850924484E-2</c:v>
                </c:pt>
                <c:pt idx="23">
                  <c:v>2.6864885280676553E-2</c:v>
                </c:pt>
                <c:pt idx="24">
                  <c:v>2.8999508751750922E-2</c:v>
                </c:pt>
                <c:pt idx="25">
                  <c:v>3.1224967264147623E-2</c:v>
                </c:pt>
                <c:pt idx="26">
                  <c:v>3.3541260817866632E-2</c:v>
                </c:pt>
                <c:pt idx="27">
                  <c:v>3.5948389412907948E-2</c:v>
                </c:pt>
                <c:pt idx="28">
                  <c:v>3.8446353049271596E-2</c:v>
                </c:pt>
                <c:pt idx="29">
                  <c:v>4.1035151726957528E-2</c:v>
                </c:pt>
                <c:pt idx="30">
                  <c:v>4.3714785445965812E-2</c:v>
                </c:pt>
                <c:pt idx="31">
                  <c:v>4.6485254206296379E-2</c:v>
                </c:pt>
                <c:pt idx="32">
                  <c:v>4.9346558007949286E-2</c:v>
                </c:pt>
                <c:pt idx="33">
                  <c:v>5.2298696850924475E-2</c:v>
                </c:pt>
                <c:pt idx="34">
                  <c:v>5.5341670735222018E-2</c:v>
                </c:pt>
                <c:pt idx="35">
                  <c:v>5.8475479660841843E-2</c:v>
                </c:pt>
                <c:pt idx="36">
                  <c:v>6.1700123627783973E-2</c:v>
                </c:pt>
                <c:pt idx="37">
                  <c:v>6.5015602636048428E-2</c:v>
                </c:pt>
                <c:pt idx="38">
                  <c:v>6.8421916685635242E-2</c:v>
                </c:pt>
                <c:pt idx="39">
                  <c:v>7.1919065776544319E-2</c:v>
                </c:pt>
                <c:pt idx="40">
                  <c:v>7.5507049908775728E-2</c:v>
                </c:pt>
                <c:pt idx="41">
                  <c:v>7.9185869082329469E-2</c:v>
                </c:pt>
                <c:pt idx="42">
                  <c:v>8.295552329720543E-2</c:v>
                </c:pt>
                <c:pt idx="43">
                  <c:v>8.6816012553403793E-2</c:v>
                </c:pt>
                <c:pt idx="44">
                  <c:v>9.0767336850924488E-2</c:v>
                </c:pt>
                <c:pt idx="45">
                  <c:v>9.4809496189767445E-2</c:v>
                </c:pt>
                <c:pt idx="46">
                  <c:v>9.8942490569932748E-2</c:v>
                </c:pt>
                <c:pt idx="47">
                  <c:v>0.10316631999142033</c:v>
                </c:pt>
                <c:pt idx="48">
                  <c:v>0.10748098445423024</c:v>
                </c:pt>
                <c:pt idx="49">
                  <c:v>0.11188648395836247</c:v>
                </c:pt>
                <c:pt idx="50">
                  <c:v>0.11638281850381701</c:v>
                </c:pt>
                <c:pt idx="51">
                  <c:v>0.12096998809059389</c:v>
                </c:pt>
                <c:pt idx="52">
                  <c:v>0.12564799271869309</c:v>
                </c:pt>
                <c:pt idx="53">
                  <c:v>0.13041683238811455</c:v>
                </c:pt>
                <c:pt idx="54">
                  <c:v>0.13527650709885836</c:v>
                </c:pt>
                <c:pt idx="55">
                  <c:v>0.14022701685092451</c:v>
                </c:pt>
                <c:pt idx="56">
                  <c:v>0.14526836164431292</c:v>
                </c:pt>
                <c:pt idx="57">
                  <c:v>0.15040054147902371</c:v>
                </c:pt>
                <c:pt idx="58">
                  <c:v>0.15562355635505667</c:v>
                </c:pt>
                <c:pt idx="59">
                  <c:v>0.16093740627241204</c:v>
                </c:pt>
                <c:pt idx="60">
                  <c:v>0.16634209123108984</c:v>
                </c:pt>
                <c:pt idx="61">
                  <c:v>0.17183761123108982</c:v>
                </c:pt>
                <c:pt idx="62">
                  <c:v>0.17742396627241211</c:v>
                </c:pt>
                <c:pt idx="63">
                  <c:v>0.18310115635505669</c:v>
                </c:pt>
                <c:pt idx="64">
                  <c:v>0.18886918147902368</c:v>
                </c:pt>
                <c:pt idx="65">
                  <c:v>0.1947280416443129</c:v>
                </c:pt>
                <c:pt idx="66">
                  <c:v>0.20067773685092452</c:v>
                </c:pt>
                <c:pt idx="67">
                  <c:v>0.20671826709885835</c:v>
                </c:pt>
                <c:pt idx="68">
                  <c:v>0.21284963238811463</c:v>
                </c:pt>
                <c:pt idx="69">
                  <c:v>0.21907183271869315</c:v>
                </c:pt>
                <c:pt idx="70">
                  <c:v>0.22538486809059388</c:v>
                </c:pt>
                <c:pt idx="71">
                  <c:v>0.23178873850381704</c:v>
                </c:pt>
                <c:pt idx="72">
                  <c:v>0.23828344395836246</c:v>
                </c:pt>
                <c:pt idx="73">
                  <c:v>0.24486898445423025</c:v>
                </c:pt>
                <c:pt idx="74">
                  <c:v>0.2515453599914203</c:v>
                </c:pt>
                <c:pt idx="75">
                  <c:v>0.25831257056993279</c:v>
                </c:pt>
                <c:pt idx="76">
                  <c:v>0.26517061618976751</c:v>
                </c:pt>
                <c:pt idx="77">
                  <c:v>0.27211949685092451</c:v>
                </c:pt>
                <c:pt idx="78">
                  <c:v>0.27915921255340387</c:v>
                </c:pt>
                <c:pt idx="79">
                  <c:v>0.28628976329720546</c:v>
                </c:pt>
                <c:pt idx="80">
                  <c:v>0.29351114908232945</c:v>
                </c:pt>
                <c:pt idx="81">
                  <c:v>0.30082336990877567</c:v>
                </c:pt>
                <c:pt idx="82">
                  <c:v>0.30822642577654447</c:v>
                </c:pt>
                <c:pt idx="83">
                  <c:v>0.31572031668563522</c:v>
                </c:pt>
                <c:pt idx="84">
                  <c:v>0.32330504263604842</c:v>
                </c:pt>
                <c:pt idx="85">
                  <c:v>0.33098060362778386</c:v>
                </c:pt>
                <c:pt idx="86">
                  <c:v>0.33874699966084176</c:v>
                </c:pt>
                <c:pt idx="87">
                  <c:v>0.3466042307352219</c:v>
                </c:pt>
                <c:pt idx="88">
                  <c:v>0.35455229685092438</c:v>
                </c:pt>
                <c:pt idx="89">
                  <c:v>0.36259119800794926</c:v>
                </c:pt>
                <c:pt idx="90">
                  <c:v>0.3707209342062962</c:v>
                </c:pt>
                <c:pt idx="91">
                  <c:v>0.37894150544596583</c:v>
                </c:pt>
                <c:pt idx="92">
                  <c:v>0.38725291172695747</c:v>
                </c:pt>
                <c:pt idx="93">
                  <c:v>0.39565515304927162</c:v>
                </c:pt>
                <c:pt idx="94">
                  <c:v>0.40414822941290784</c:v>
                </c:pt>
                <c:pt idx="95">
                  <c:v>0.41273214081786658</c:v>
                </c:pt>
                <c:pt idx="96">
                  <c:v>0.4214068872641476</c:v>
                </c:pt>
                <c:pt idx="97">
                  <c:v>0.43017246875175097</c:v>
                </c:pt>
                <c:pt idx="98">
                  <c:v>0.43902888528067641</c:v>
                </c:pt>
                <c:pt idx="99">
                  <c:v>0.44797613685092436</c:v>
                </c:pt>
                <c:pt idx="100">
                  <c:v>0.45701422346249465</c:v>
                </c:pt>
                <c:pt idx="101">
                  <c:v>0.46614314511538746</c:v>
                </c:pt>
                <c:pt idx="102">
                  <c:v>0.47536290180960211</c:v>
                </c:pt>
                <c:pt idx="103">
                  <c:v>0.48467349354513933</c:v>
                </c:pt>
                <c:pt idx="104">
                  <c:v>0.49407492032199885</c:v>
                </c:pt>
                <c:pt idx="105">
                  <c:v>0.5035671821401807</c:v>
                </c:pt>
                <c:pt idx="106">
                  <c:v>0.51315027899968468</c:v>
                </c:pt>
                <c:pt idx="107">
                  <c:v>0.52282421090051123</c:v>
                </c:pt>
                <c:pt idx="108">
                  <c:v>0.53258897784266002</c:v>
                </c:pt>
                <c:pt idx="109">
                  <c:v>0.54244457982613103</c:v>
                </c:pt>
                <c:pt idx="110">
                  <c:v>0.55239101685092451</c:v>
                </c:pt>
                <c:pt idx="111">
                  <c:v>0.56242828891704022</c:v>
                </c:pt>
                <c:pt idx="112">
                  <c:v>0.57255639602447839</c:v>
                </c:pt>
                <c:pt idx="113">
                  <c:v>0.58277533817323857</c:v>
                </c:pt>
                <c:pt idx="114">
                  <c:v>0.59308511536332131</c:v>
                </c:pt>
                <c:pt idx="115">
                  <c:v>0.60348572759472607</c:v>
                </c:pt>
                <c:pt idx="116">
                  <c:v>0.61397717486745318</c:v>
                </c:pt>
                <c:pt idx="117">
                  <c:v>0.62455945718150296</c:v>
                </c:pt>
                <c:pt idx="118">
                  <c:v>0.63523257453687465</c:v>
                </c:pt>
                <c:pt idx="119">
                  <c:v>0.64599652693356902</c:v>
                </c:pt>
                <c:pt idx="120">
                  <c:v>0.65685131437158573</c:v>
                </c:pt>
                <c:pt idx="121">
                  <c:v>0.66779693685092434</c:v>
                </c:pt>
                <c:pt idx="122">
                  <c:v>0.67883339437158574</c:v>
                </c:pt>
                <c:pt idx="123">
                  <c:v>0.68996068693356871</c:v>
                </c:pt>
                <c:pt idx="124">
                  <c:v>0.70117881453687492</c:v>
                </c:pt>
                <c:pt idx="125">
                  <c:v>0.7124877771815028</c:v>
                </c:pt>
                <c:pt idx="126">
                  <c:v>0.72388757486745325</c:v>
                </c:pt>
                <c:pt idx="127">
                  <c:v>0.73537820759472627</c:v>
                </c:pt>
                <c:pt idx="128">
                  <c:v>0.7469596753633212</c:v>
                </c:pt>
                <c:pt idx="129">
                  <c:v>0.75863197817323846</c:v>
                </c:pt>
                <c:pt idx="130">
                  <c:v>0.77039511602447808</c:v>
                </c:pt>
                <c:pt idx="131">
                  <c:v>0.78224908891704026</c:v>
                </c:pt>
                <c:pt idx="132">
                  <c:v>0.79419389685092467</c:v>
                </c:pt>
                <c:pt idx="133">
                  <c:v>0.80622953982613088</c:v>
                </c:pt>
                <c:pt idx="134">
                  <c:v>0.81835601784265988</c:v>
                </c:pt>
                <c:pt idx="135">
                  <c:v>0.83057333090051133</c:v>
                </c:pt>
                <c:pt idx="136">
                  <c:v>0.84288147899968491</c:v>
                </c:pt>
                <c:pt idx="137">
                  <c:v>0.8552804621401805</c:v>
                </c:pt>
                <c:pt idx="138">
                  <c:v>0.8677702803219991</c:v>
                </c:pt>
                <c:pt idx="139">
                  <c:v>0.8803509335451396</c:v>
                </c:pt>
                <c:pt idx="140">
                  <c:v>0.89302242180960234</c:v>
                </c:pt>
                <c:pt idx="141">
                  <c:v>0.90578474511538742</c:v>
                </c:pt>
                <c:pt idx="142">
                  <c:v>0.91863790346249452</c:v>
                </c:pt>
                <c:pt idx="143">
                  <c:v>0.93158189685092407</c:v>
                </c:pt>
                <c:pt idx="144">
                  <c:v>0.94461672528067619</c:v>
                </c:pt>
                <c:pt idx="145">
                  <c:v>0.95774238875175077</c:v>
                </c:pt>
                <c:pt idx="146">
                  <c:v>0.97095888726414759</c:v>
                </c:pt>
                <c:pt idx="147">
                  <c:v>0.98426622081786641</c:v>
                </c:pt>
                <c:pt idx="148">
                  <c:v>0.99766438941290758</c:v>
                </c:pt>
                <c:pt idx="149">
                  <c:v>1.0111533930492718</c:v>
                </c:pt>
                <c:pt idx="150">
                  <c:v>1.0247332317269575</c:v>
                </c:pt>
              </c:numCache>
            </c:numRef>
          </c:yVal>
          <c:smooth val="1"/>
          <c:extLst>
            <c:ext xmlns:c16="http://schemas.microsoft.com/office/drawing/2014/chart" uri="{C3380CC4-5D6E-409C-BE32-E72D297353CC}">
              <c16:uniqueId val="{00000003-50A0-4BAE-A18F-D1A285C4A90E}"/>
            </c:ext>
          </c:extLst>
        </c:ser>
        <c:dLbls>
          <c:showLegendKey val="0"/>
          <c:showVal val="0"/>
          <c:showCatName val="0"/>
          <c:showSerName val="0"/>
          <c:showPercent val="0"/>
          <c:showBubbleSize val="0"/>
        </c:dLbls>
        <c:axId val="555656704"/>
        <c:axId val="555646336"/>
      </c:scatterChart>
      <c:valAx>
        <c:axId val="555642880"/>
        <c:scaling>
          <c:orientation val="minMax"/>
        </c:scaling>
        <c:delete val="0"/>
        <c:axPos val="b"/>
        <c:majorGridlines/>
        <c:numFmt formatCode="General" sourceLinked="1"/>
        <c:majorTickMark val="out"/>
        <c:minorTickMark val="none"/>
        <c:tickLblPos val="nextTo"/>
        <c:crossAx val="555644416"/>
        <c:crosses val="autoZero"/>
        <c:crossBetween val="midCat"/>
      </c:valAx>
      <c:valAx>
        <c:axId val="555644416"/>
        <c:scaling>
          <c:orientation val="minMax"/>
          <c:max val="100"/>
          <c:min val="60"/>
        </c:scaling>
        <c:delete val="0"/>
        <c:axPos val="l"/>
        <c:majorGridlines/>
        <c:title>
          <c:tx>
            <c:rich>
              <a:bodyPr rot="-5400000" vert="horz"/>
              <a:lstStyle/>
              <a:p>
                <a:pPr>
                  <a:defRPr sz="1400"/>
                </a:pPr>
                <a:r>
                  <a:rPr lang="en-US" sz="1400"/>
                  <a:t>Efficiency</a:t>
                </a:r>
                <a:r>
                  <a:rPr lang="en-US" sz="1400" baseline="0"/>
                  <a:t> (%)</a:t>
                </a:r>
                <a:endParaRPr lang="en-US" sz="1400"/>
              </a:p>
            </c:rich>
          </c:tx>
          <c:overlay val="0"/>
        </c:title>
        <c:numFmt formatCode="General" sourceLinked="1"/>
        <c:majorTickMark val="out"/>
        <c:minorTickMark val="none"/>
        <c:tickLblPos val="nextTo"/>
        <c:crossAx val="555642880"/>
        <c:crosses val="autoZero"/>
        <c:crossBetween val="midCat"/>
      </c:valAx>
      <c:valAx>
        <c:axId val="555646336"/>
        <c:scaling>
          <c:orientation val="minMax"/>
        </c:scaling>
        <c:delete val="0"/>
        <c:axPos val="r"/>
        <c:title>
          <c:tx>
            <c:rich>
              <a:bodyPr rot="-5400000" vert="horz"/>
              <a:lstStyle/>
              <a:p>
                <a:pPr>
                  <a:defRPr sz="1400"/>
                </a:pPr>
                <a:r>
                  <a:rPr lang="en-US" sz="1400"/>
                  <a:t>Losses</a:t>
                </a:r>
                <a:r>
                  <a:rPr lang="en-US" sz="1400" baseline="0"/>
                  <a:t> (W)</a:t>
                </a:r>
                <a:endParaRPr lang="en-US" sz="1400"/>
              </a:p>
            </c:rich>
          </c:tx>
          <c:overlay val="0"/>
        </c:title>
        <c:numFmt formatCode="General" sourceLinked="1"/>
        <c:majorTickMark val="out"/>
        <c:minorTickMark val="none"/>
        <c:tickLblPos val="nextTo"/>
        <c:crossAx val="555656704"/>
        <c:crosses val="max"/>
        <c:crossBetween val="midCat"/>
      </c:valAx>
      <c:valAx>
        <c:axId val="555656704"/>
        <c:scaling>
          <c:orientation val="minMax"/>
        </c:scaling>
        <c:delete val="1"/>
        <c:axPos val="b"/>
        <c:title>
          <c:tx>
            <c:rich>
              <a:bodyPr/>
              <a:lstStyle/>
              <a:p>
                <a:pPr>
                  <a:defRPr/>
                </a:pPr>
                <a:r>
                  <a:rPr lang="en-US"/>
                  <a:t>Loac</a:t>
                </a:r>
                <a:r>
                  <a:rPr lang="en-US" baseline="0"/>
                  <a:t> Current (A)</a:t>
                </a:r>
                <a:endParaRPr lang="en-US"/>
              </a:p>
            </c:rich>
          </c:tx>
          <c:overlay val="0"/>
        </c:title>
        <c:numFmt formatCode="General" sourceLinked="1"/>
        <c:majorTickMark val="out"/>
        <c:minorTickMark val="none"/>
        <c:tickLblPos val="nextTo"/>
        <c:crossAx val="555646336"/>
        <c:crosses val="autoZero"/>
        <c:crossBetween val="midCat"/>
      </c:valAx>
    </c:plotArea>
    <c:legend>
      <c:legendPos val="r"/>
      <c:layout>
        <c:manualLayout>
          <c:xMode val="edge"/>
          <c:yMode val="edge"/>
          <c:x val="0.51894403926190358"/>
          <c:y val="6.4862204724409449E-3"/>
          <c:w val="0.39609572935704079"/>
          <c:h val="0.12183653099700564"/>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2400"/>
            </a:pPr>
            <a:r>
              <a:rPr lang="el-GR" sz="2400"/>
              <a:t>η</a:t>
            </a:r>
            <a:endParaRPr lang="en-US" sz="2400"/>
          </a:p>
        </c:rich>
      </c:tx>
      <c:layout>
        <c:manualLayout>
          <c:xMode val="edge"/>
          <c:yMode val="edge"/>
          <c:x val="9.2321838295158831E-2"/>
          <c:y val="6.7069081153588199E-3"/>
        </c:manualLayout>
      </c:layout>
      <c:overlay val="1"/>
    </c:title>
    <c:autoTitleDeleted val="0"/>
    <c:plotArea>
      <c:layout>
        <c:manualLayout>
          <c:layoutTarget val="inner"/>
          <c:xMode val="edge"/>
          <c:yMode val="edge"/>
          <c:x val="9.4343575816580413E-2"/>
          <c:y val="0.12777504924560487"/>
          <c:w val="0.82170691922728745"/>
          <c:h val="0.74982770867653059"/>
        </c:manualLayout>
      </c:layout>
      <c:scatterChart>
        <c:scatterStyle val="smoothMarker"/>
        <c:varyColors val="0"/>
        <c:ser>
          <c:idx val="0"/>
          <c:order val="0"/>
          <c:tx>
            <c:v>Eff</c:v>
          </c:tx>
          <c:spPr>
            <a:ln>
              <a:solidFill>
                <a:srgbClr val="FF0000"/>
              </a:solidFill>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Eff_vs_IOUT!$AW$7:$AW$157</c:f>
              <c:numCache>
                <c:formatCode>General</c:formatCode>
                <c:ptCount val="151"/>
                <c:pt idx="0">
                  <c:v>0</c:v>
                </c:pt>
                <c:pt idx="1">
                  <c:v>29.013924589787056</c:v>
                </c:pt>
                <c:pt idx="2">
                  <c:v>44.130468327747458</c:v>
                </c:pt>
                <c:pt idx="3">
                  <c:v>53.402353596393169</c:v>
                </c:pt>
                <c:pt idx="4">
                  <c:v>59.667989916367837</c:v>
                </c:pt>
                <c:pt idx="5">
                  <c:v>64.183927063420271</c:v>
                </c:pt>
                <c:pt idx="6">
                  <c:v>67.592069583278615</c:v>
                </c:pt>
                <c:pt idx="7">
                  <c:v>70.254545772265018</c:v>
                </c:pt>
                <c:pt idx="8">
                  <c:v>72.39115746059926</c:v>
                </c:pt>
                <c:pt idx="9">
                  <c:v>74.143047091751811</c:v>
                </c:pt>
                <c:pt idx="10">
                  <c:v>75.604995008849372</c:v>
                </c:pt>
                <c:pt idx="11">
                  <c:v>76.843010976860413</c:v>
                </c:pt>
                <c:pt idx="12">
                  <c:v>77.904480817655539</c:v>
                </c:pt>
                <c:pt idx="13">
                  <c:v>78.824301830001602</c:v>
                </c:pt>
                <c:pt idx="14">
                  <c:v>79.628742657062773</c:v>
                </c:pt>
                <c:pt idx="15">
                  <c:v>80.337954916872064</c:v>
                </c:pt>
                <c:pt idx="16">
                  <c:v>80.967655793231827</c:v>
                </c:pt>
                <c:pt idx="17">
                  <c:v>81.530284197271257</c:v>
                </c:pt>
                <c:pt idx="18">
                  <c:v>82.03581313001142</c:v>
                </c:pt>
                <c:pt idx="19">
                  <c:v>82.492331885624253</c:v>
                </c:pt>
                <c:pt idx="20">
                  <c:v>82.906470742099671</c:v>
                </c:pt>
                <c:pt idx="21">
                  <c:v>83.283715711015617</c:v>
                </c:pt>
                <c:pt idx="22">
                  <c:v>83.628645177225167</c:v>
                </c:pt>
                <c:pt idx="23">
                  <c:v>83.945110145183165</c:v>
                </c:pt>
                <c:pt idx="24">
                  <c:v>84.23637317184911</c:v>
                </c:pt>
                <c:pt idx="25">
                  <c:v>84.505216627139745</c:v>
                </c:pt>
                <c:pt idx="26">
                  <c:v>84.754027901766833</c:v>
                </c:pt>
                <c:pt idx="27">
                  <c:v>84.984867093052827</c:v>
                </c:pt>
                <c:pt idx="28">
                  <c:v>85.199521233161917</c:v>
                </c:pt>
                <c:pt idx="29">
                  <c:v>85.399548081265323</c:v>
                </c:pt>
                <c:pt idx="30">
                  <c:v>85.586311749944201</c:v>
                </c:pt>
                <c:pt idx="31">
                  <c:v>85.761011888699883</c:v>
                </c:pt>
                <c:pt idx="32">
                  <c:v>85.924707744164181</c:v>
                </c:pt>
                <c:pt idx="33">
                  <c:v>86.078338116502778</c:v>
                </c:pt>
                <c:pt idx="34">
                  <c:v>86.222738006060666</c:v>
                </c:pt>
                <c:pt idx="35">
                  <c:v>86.358652573432877</c:v>
                </c:pt>
                <c:pt idx="36">
                  <c:v>86.486748905555487</c:v>
                </c:pt>
                <c:pt idx="37">
                  <c:v>86.60762597982567</c:v>
                </c:pt>
                <c:pt idx="38">
                  <c:v>86.721823140202929</c:v>
                </c:pt>
                <c:pt idx="39">
                  <c:v>86.829827338249117</c:v>
                </c:pt>
                <c:pt idx="40">
                  <c:v>86.932079344085111</c:v>
                </c:pt>
                <c:pt idx="41">
                  <c:v>87.028979094262951</c:v>
                </c:pt>
                <c:pt idx="42">
                  <c:v>87.120890313311122</c:v>
                </c:pt>
                <c:pt idx="43">
                  <c:v>87.208144521493551</c:v>
                </c:pt>
                <c:pt idx="44">
                  <c:v>87.291044521825498</c:v>
                </c:pt>
                <c:pt idx="45">
                  <c:v>87.369867443612549</c:v>
                </c:pt>
                <c:pt idx="46">
                  <c:v>87.444867406947935</c:v>
                </c:pt>
                <c:pt idx="47">
                  <c:v>87.516277862121967</c:v>
                </c:pt>
                <c:pt idx="48">
                  <c:v>87.584313649294671</c:v>
                </c:pt>
                <c:pt idx="49">
                  <c:v>87.649172816694104</c:v>
                </c:pt>
                <c:pt idx="50">
                  <c:v>87.711038229735749</c:v>
                </c:pt>
                <c:pt idx="51">
                  <c:v>87.770078998585106</c:v>
                </c:pt>
                <c:pt idx="52">
                  <c:v>87.826451747621689</c:v>
                </c:pt>
                <c:pt idx="53">
                  <c:v>87.880301746861278</c:v>
                </c:pt>
                <c:pt idx="54">
                  <c:v>87.931763922537016</c:v>
                </c:pt>
                <c:pt idx="55">
                  <c:v>87.980963761633873</c:v>
                </c:pt>
                <c:pt idx="56">
                  <c:v>88.028018123135539</c:v>
                </c:pt>
                <c:pt idx="57">
                  <c:v>88.073035967019294</c:v>
                </c:pt>
                <c:pt idx="58">
                  <c:v>88.116119010566166</c:v>
                </c:pt>
                <c:pt idx="59">
                  <c:v>88.157362320303008</c:v>
                </c:pt>
                <c:pt idx="60">
                  <c:v>88.196854846823641</c:v>
                </c:pt>
                <c:pt idx="61">
                  <c:v>88.234679908817341</c:v>
                </c:pt>
                <c:pt idx="62">
                  <c:v>88.270915631845298</c:v>
                </c:pt>
                <c:pt idx="63">
                  <c:v>88.305635346724813</c:v>
                </c:pt>
                <c:pt idx="64">
                  <c:v>88.338907951793828</c:v>
                </c:pt>
                <c:pt idx="65">
                  <c:v>88.37079824281949</c:v>
                </c:pt>
                <c:pt idx="66">
                  <c:v>88.401367213872973</c:v>
                </c:pt>
                <c:pt idx="67">
                  <c:v>88.430672332108244</c:v>
                </c:pt>
                <c:pt idx="68">
                  <c:v>88.458767789048025</c:v>
                </c:pt>
                <c:pt idx="69">
                  <c:v>88.485704730687175</c:v>
                </c:pt>
                <c:pt idx="70">
                  <c:v>88.511531468467851</c:v>
                </c:pt>
                <c:pt idx="71">
                  <c:v>88.536293672956504</c:v>
                </c:pt>
                <c:pt idx="72">
                  <c:v>88.560034551854642</c:v>
                </c:pt>
                <c:pt idx="73">
                  <c:v>88.582795013802468</c:v>
                </c:pt>
                <c:pt idx="74">
                  <c:v>88.604613819280758</c:v>
                </c:pt>
                <c:pt idx="75">
                  <c:v>88.625527719781175</c:v>
                </c:pt>
                <c:pt idx="76">
                  <c:v>88.645571586295418</c:v>
                </c:pt>
                <c:pt idx="77">
                  <c:v>88.664778528067615</c:v>
                </c:pt>
                <c:pt idx="78">
                  <c:v>88.683180002460006</c:v>
                </c:pt>
                <c:pt idx="79">
                  <c:v>88.700805916698172</c:v>
                </c:pt>
                <c:pt idx="80">
                  <c:v>88.717684722187556</c:v>
                </c:pt>
                <c:pt idx="81">
                  <c:v>88.733843502026517</c:v>
                </c:pt>
                <c:pt idx="82">
                  <c:v>88.749308052281563</c:v>
                </c:pt>
                <c:pt idx="83">
                  <c:v>88.764102957537531</c:v>
                </c:pt>
                <c:pt idx="84">
                  <c:v>88.778251661187568</c:v>
                </c:pt>
                <c:pt idx="85">
                  <c:v>88.791776530885514</c:v>
                </c:pt>
                <c:pt idx="86">
                  <c:v>88.804698919544506</c:v>
                </c:pt>
                <c:pt idx="87">
                  <c:v>88.817039222231529</c:v>
                </c:pt>
                <c:pt idx="88">
                  <c:v>88.828816929276513</c:v>
                </c:pt>
                <c:pt idx="89">
                  <c:v>88.840050675886388</c:v>
                </c:pt>
                <c:pt idx="90">
                  <c:v>88.850758288529903</c:v>
                </c:pt>
                <c:pt idx="91">
                  <c:v>88.860956828335318</c:v>
                </c:pt>
                <c:pt idx="92">
                  <c:v>88.870662631723476</c:v>
                </c:pt>
                <c:pt idx="93">
                  <c:v>88.879891348479148</c:v>
                </c:pt>
                <c:pt idx="94">
                  <c:v>88.888657977447551</c:v>
                </c:pt>
                <c:pt idx="95">
                  <c:v>88.896976900026587</c:v>
                </c:pt>
                <c:pt idx="96">
                  <c:v>88.904861911612457</c:v>
                </c:pt>
                <c:pt idx="97">
                  <c:v>88.912326251142858</c:v>
                </c:pt>
                <c:pt idx="98">
                  <c:v>88.919382628870608</c:v>
                </c:pt>
                <c:pt idx="99">
                  <c:v>88.926043252490288</c:v>
                </c:pt>
                <c:pt idx="100">
                  <c:v>88.932319851730881</c:v>
                </c:pt>
                <c:pt idx="101">
                  <c:v>88.938223701517998</c:v>
                </c:pt>
                <c:pt idx="102">
                  <c:v>88.943765643802251</c:v>
                </c:pt>
                <c:pt idx="103">
                  <c:v>88.948956108142454</c:v>
                </c:pt>
                <c:pt idx="104">
                  <c:v>88.953805131125549</c:v>
                </c:pt>
                <c:pt idx="105">
                  <c:v>88.958322374699449</c:v>
                </c:pt>
                <c:pt idx="106">
                  <c:v>88.962517143489009</c:v>
                </c:pt>
                <c:pt idx="107">
                  <c:v>88.966398401160447</c:v>
                </c:pt>
                <c:pt idx="108">
                  <c:v>88.969974785894507</c:v>
                </c:pt>
                <c:pt idx="109">
                  <c:v>88.973254625024694</c:v>
                </c:pt>
                <c:pt idx="110">
                  <c:v>88.976245948892341</c:v>
                </c:pt>
                <c:pt idx="111">
                  <c:v>88.978956503967439</c:v>
                </c:pt>
                <c:pt idx="112">
                  <c:v>88.981393765279734</c:v>
                </c:pt>
                <c:pt idx="113">
                  <c:v>88.983564948202414</c:v>
                </c:pt>
                <c:pt idx="114">
                  <c:v>88.985477019627098</c:v>
                </c:pt>
                <c:pt idx="115">
                  <c:v>88.98713670856668</c:v>
                </c:pt>
                <c:pt idx="116">
                  <c:v>88.98855051621986</c:v>
                </c:pt>
                <c:pt idx="117">
                  <c:v>88.989724725528959</c:v>
                </c:pt>
                <c:pt idx="118">
                  <c:v>88.990665410260533</c:v>
                </c:pt>
                <c:pt idx="119">
                  <c:v>88.991378443636378</c:v>
                </c:pt>
                <c:pt idx="120">
                  <c:v>88.991869506540766</c:v>
                </c:pt>
                <c:pt idx="121">
                  <c:v>88.992144095327646</c:v>
                </c:pt>
                <c:pt idx="122">
                  <c:v>88.99220752925099</c:v>
                </c:pt>
                <c:pt idx="123">
                  <c:v>88.992064957538645</c:v>
                </c:pt>
                <c:pt idx="124">
                  <c:v>88.991721366130008</c:v>
                </c:pt>
                <c:pt idx="125">
                  <c:v>88.991181584095784</c:v>
                </c:pt>
                <c:pt idx="126">
                  <c:v>88.990450289757192</c:v>
                </c:pt>
                <c:pt idx="127">
                  <c:v>88.989532016521025</c:v>
                </c:pt>
                <c:pt idx="128">
                  <c:v>88.988431158445692</c:v>
                </c:pt>
                <c:pt idx="129">
                  <c:v>88.987151975552663</c:v>
                </c:pt>
                <c:pt idx="130">
                  <c:v>88.985698598896875</c:v>
                </c:pt>
                <c:pt idx="131">
                  <c:v>88.984075035408807</c:v>
                </c:pt>
                <c:pt idx="132">
                  <c:v>88.982285172519639</c:v>
                </c:pt>
                <c:pt idx="133">
                  <c:v>88.98033278258157</c:v>
                </c:pt>
                <c:pt idx="134">
                  <c:v>88.978221527093154</c:v>
                </c:pt>
                <c:pt idx="135">
                  <c:v>88.975954960739813</c:v>
                </c:pt>
                <c:pt idx="136">
                  <c:v>88.973536535258944</c:v>
                </c:pt>
                <c:pt idx="137">
                  <c:v>88.970969603138471</c:v>
                </c:pt>
                <c:pt idx="138">
                  <c:v>88.968257421156892</c:v>
                </c:pt>
                <c:pt idx="139">
                  <c:v>88.965403153773096</c:v>
                </c:pt>
                <c:pt idx="140">
                  <c:v>88.962409876373044</c:v>
                </c:pt>
                <c:pt idx="141">
                  <c:v>88.959280578380287</c:v>
                </c:pt>
                <c:pt idx="142">
                  <c:v>88.956018166237172</c:v>
                </c:pt>
                <c:pt idx="143">
                  <c:v>88.95262546626283</c:v>
                </c:pt>
                <c:pt idx="144">
                  <c:v>88.949105227393829</c:v>
                </c:pt>
                <c:pt idx="145">
                  <c:v>88.945460123813007</c:v>
                </c:pt>
                <c:pt idx="146">
                  <c:v>88.941692757472012</c:v>
                </c:pt>
                <c:pt idx="147">
                  <c:v>88.937805660512325</c:v>
                </c:pt>
                <c:pt idx="148">
                  <c:v>88.933801297589511</c:v>
                </c:pt>
                <c:pt idx="149">
                  <c:v>88.929682068105251</c:v>
                </c:pt>
                <c:pt idx="150">
                  <c:v>88.925450308351429</c:v>
                </c:pt>
              </c:numCache>
            </c:numRef>
          </c:yVal>
          <c:smooth val="0"/>
          <c:extLst>
            <c:ext xmlns:c16="http://schemas.microsoft.com/office/drawing/2014/chart" uri="{C3380CC4-5D6E-409C-BE32-E72D297353CC}">
              <c16:uniqueId val="{00000000-7DAF-432D-B540-E0424C156B7E}"/>
            </c:ext>
          </c:extLst>
        </c:ser>
        <c:dLbls>
          <c:showLegendKey val="0"/>
          <c:showVal val="0"/>
          <c:showCatName val="0"/>
          <c:showSerName val="0"/>
          <c:showPercent val="0"/>
          <c:showBubbleSize val="0"/>
        </c:dLbls>
        <c:axId val="522488064"/>
        <c:axId val="522489856"/>
      </c:scatterChart>
      <c:scatterChart>
        <c:scatterStyle val="smoothMarker"/>
        <c:varyColors val="0"/>
        <c:ser>
          <c:idx val="1"/>
          <c:order val="1"/>
          <c:tx>
            <c:v>LS MOSFET</c:v>
          </c:tx>
          <c:spPr>
            <a:ln>
              <a:solidFill>
                <a:schemeClr val="tx2">
                  <a:lumMod val="75000"/>
                </a:schemeClr>
              </a:solidFill>
              <a:prstDash val="dashDot"/>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Eff_vs_IOUT!$AI$7:$AI$157</c:f>
              <c:numCache>
                <c:formatCode>General</c:formatCode>
                <c:ptCount val="151"/>
                <c:pt idx="0">
                  <c:v>6.0141166935471857E-3</c:v>
                </c:pt>
                <c:pt idx="1">
                  <c:v>0.18394351180648014</c:v>
                </c:pt>
                <c:pt idx="2">
                  <c:v>0.36206533005990893</c:v>
                </c:pt>
                <c:pt idx="3">
                  <c:v>0.54037957145383353</c:v>
                </c:pt>
                <c:pt idx="4">
                  <c:v>0.71888623598825419</c:v>
                </c:pt>
                <c:pt idx="5">
                  <c:v>0.89758532366317068</c:v>
                </c:pt>
                <c:pt idx="6">
                  <c:v>1.0764768344785829</c:v>
                </c:pt>
                <c:pt idx="7">
                  <c:v>1.2555607684344916</c:v>
                </c:pt>
                <c:pt idx="8">
                  <c:v>1.4348371255308952</c:v>
                </c:pt>
                <c:pt idx="9">
                  <c:v>1.6143059057677949</c:v>
                </c:pt>
                <c:pt idx="10">
                  <c:v>1.7939671091451908</c:v>
                </c:pt>
                <c:pt idx="11">
                  <c:v>1.9738207356630826</c:v>
                </c:pt>
                <c:pt idx="12">
                  <c:v>2.1538667853214695</c:v>
                </c:pt>
                <c:pt idx="13">
                  <c:v>2.3341052581203536</c:v>
                </c:pt>
                <c:pt idx="14">
                  <c:v>2.5145361540597335</c:v>
                </c:pt>
                <c:pt idx="15">
                  <c:v>2.6951594731396078</c:v>
                </c:pt>
                <c:pt idx="16">
                  <c:v>2.8759752153599787</c:v>
                </c:pt>
                <c:pt idx="17">
                  <c:v>3.0569833807208457</c:v>
                </c:pt>
                <c:pt idx="18">
                  <c:v>3.2381839692222081</c:v>
                </c:pt>
                <c:pt idx="19">
                  <c:v>3.419576980864067</c:v>
                </c:pt>
                <c:pt idx="20">
                  <c:v>3.6011624156464213</c:v>
                </c:pt>
                <c:pt idx="21">
                  <c:v>3.7829402735692708</c:v>
                </c:pt>
                <c:pt idx="22">
                  <c:v>3.9649105546326182</c:v>
                </c:pt>
                <c:pt idx="23">
                  <c:v>4.1470732588364605</c:v>
                </c:pt>
                <c:pt idx="24">
                  <c:v>4.3294283861807967</c:v>
                </c:pt>
                <c:pt idx="25">
                  <c:v>4.5119759366656318</c:v>
                </c:pt>
                <c:pt idx="26">
                  <c:v>4.6947159102909612</c:v>
                </c:pt>
                <c:pt idx="27">
                  <c:v>4.8776483070567869</c:v>
                </c:pt>
                <c:pt idx="28">
                  <c:v>5.0607731269631095</c:v>
                </c:pt>
                <c:pt idx="29">
                  <c:v>5.2440903700099248</c:v>
                </c:pt>
                <c:pt idx="30">
                  <c:v>5.427600036197239</c:v>
                </c:pt>
                <c:pt idx="31">
                  <c:v>5.6113021255250475</c:v>
                </c:pt>
                <c:pt idx="32">
                  <c:v>5.7951966379933522</c:v>
                </c:pt>
                <c:pt idx="33">
                  <c:v>5.979283573602153</c:v>
                </c:pt>
                <c:pt idx="34">
                  <c:v>6.1635629323514509</c:v>
                </c:pt>
                <c:pt idx="35">
                  <c:v>6.3480347142412423</c:v>
                </c:pt>
                <c:pt idx="36">
                  <c:v>6.5326989192715299</c:v>
                </c:pt>
                <c:pt idx="37">
                  <c:v>6.7175555474423136</c:v>
                </c:pt>
                <c:pt idx="38">
                  <c:v>6.9026045987535953</c:v>
                </c:pt>
                <c:pt idx="39">
                  <c:v>7.0878460732053714</c:v>
                </c:pt>
                <c:pt idx="40">
                  <c:v>7.2732799707976428</c:v>
                </c:pt>
                <c:pt idx="41">
                  <c:v>7.4589062915304112</c:v>
                </c:pt>
                <c:pt idx="42">
                  <c:v>7.6447250354036722</c:v>
                </c:pt>
                <c:pt idx="43">
                  <c:v>7.830736202417433</c:v>
                </c:pt>
                <c:pt idx="44">
                  <c:v>8.016939792571689</c:v>
                </c:pt>
                <c:pt idx="45">
                  <c:v>8.2033358058664394</c:v>
                </c:pt>
                <c:pt idx="46">
                  <c:v>8.3899242423016869</c:v>
                </c:pt>
                <c:pt idx="47">
                  <c:v>8.5767051018774296</c:v>
                </c:pt>
                <c:pt idx="48">
                  <c:v>8.7636783845936659</c:v>
                </c:pt>
                <c:pt idx="49">
                  <c:v>8.9508440904504027</c:v>
                </c:pt>
                <c:pt idx="50">
                  <c:v>9.1382022194476331</c:v>
                </c:pt>
                <c:pt idx="51">
                  <c:v>9.3257527715853605</c:v>
                </c:pt>
                <c:pt idx="52">
                  <c:v>9.5134957468635832</c:v>
                </c:pt>
                <c:pt idx="53">
                  <c:v>9.7014311452823012</c:v>
                </c:pt>
                <c:pt idx="54">
                  <c:v>9.8895589668415145</c:v>
                </c:pt>
                <c:pt idx="55">
                  <c:v>10.077879211541223</c:v>
                </c:pt>
                <c:pt idx="56">
                  <c:v>10.266391879381432</c:v>
                </c:pt>
                <c:pt idx="57">
                  <c:v>10.455096970362133</c:v>
                </c:pt>
                <c:pt idx="58">
                  <c:v>10.643994484483327</c:v>
                </c:pt>
                <c:pt idx="59">
                  <c:v>10.833084421745021</c:v>
                </c:pt>
                <c:pt idx="60">
                  <c:v>11.022366782147211</c:v>
                </c:pt>
                <c:pt idx="61">
                  <c:v>11.211841565689895</c:v>
                </c:pt>
                <c:pt idx="62">
                  <c:v>11.401508772373077</c:v>
                </c:pt>
                <c:pt idx="63">
                  <c:v>11.591368402196755</c:v>
                </c:pt>
                <c:pt idx="64">
                  <c:v>11.781420455160925</c:v>
                </c:pt>
                <c:pt idx="65">
                  <c:v>11.971664931265593</c:v>
                </c:pt>
                <c:pt idx="66">
                  <c:v>12.162101830510759</c:v>
                </c:pt>
                <c:pt idx="67">
                  <c:v>12.352731152896418</c:v>
                </c:pt>
                <c:pt idx="68">
                  <c:v>12.543552898422577</c:v>
                </c:pt>
                <c:pt idx="69">
                  <c:v>12.734567067089227</c:v>
                </c:pt>
                <c:pt idx="70">
                  <c:v>12.925773658896377</c:v>
                </c:pt>
                <c:pt idx="71">
                  <c:v>13.117172673844019</c:v>
                </c:pt>
                <c:pt idx="72">
                  <c:v>13.308764111932156</c:v>
                </c:pt>
                <c:pt idx="73">
                  <c:v>13.500547973160792</c:v>
                </c:pt>
                <c:pt idx="74">
                  <c:v>13.692524257529923</c:v>
                </c:pt>
                <c:pt idx="75">
                  <c:v>13.884692965039552</c:v>
                </c:pt>
                <c:pt idx="76">
                  <c:v>14.077054095689677</c:v>
                </c:pt>
                <c:pt idx="77">
                  <c:v>14.269607649480296</c:v>
                </c:pt>
                <c:pt idx="78">
                  <c:v>14.46235362641141</c:v>
                </c:pt>
                <c:pt idx="79">
                  <c:v>14.65529202648302</c:v>
                </c:pt>
                <c:pt idx="80">
                  <c:v>14.848422849695126</c:v>
                </c:pt>
                <c:pt idx="81">
                  <c:v>15.041746096047728</c:v>
                </c:pt>
                <c:pt idx="82">
                  <c:v>15.23526176554083</c:v>
                </c:pt>
                <c:pt idx="83">
                  <c:v>15.428969858174423</c:v>
                </c:pt>
                <c:pt idx="84">
                  <c:v>15.622870373948508</c:v>
                </c:pt>
                <c:pt idx="85">
                  <c:v>15.816963312863095</c:v>
                </c:pt>
                <c:pt idx="86">
                  <c:v>16.011248674918178</c:v>
                </c:pt>
                <c:pt idx="87">
                  <c:v>16.205726460113755</c:v>
                </c:pt>
                <c:pt idx="88">
                  <c:v>16.400396668449829</c:v>
                </c:pt>
                <c:pt idx="89">
                  <c:v>16.595259299926401</c:v>
                </c:pt>
                <c:pt idx="90">
                  <c:v>16.790314354543462</c:v>
                </c:pt>
                <c:pt idx="91">
                  <c:v>16.985561832301023</c:v>
                </c:pt>
                <c:pt idx="92">
                  <c:v>17.181001733199082</c:v>
                </c:pt>
                <c:pt idx="93">
                  <c:v>17.376634057237638</c:v>
                </c:pt>
                <c:pt idx="94">
                  <c:v>17.572458804416684</c:v>
                </c:pt>
                <c:pt idx="95">
                  <c:v>17.76847597473623</c:v>
                </c:pt>
                <c:pt idx="96">
                  <c:v>17.964685568196266</c:v>
                </c:pt>
                <c:pt idx="97">
                  <c:v>18.161087584796807</c:v>
                </c:pt>
                <c:pt idx="98">
                  <c:v>18.357682024537837</c:v>
                </c:pt>
                <c:pt idx="99">
                  <c:v>18.554468887419361</c:v>
                </c:pt>
                <c:pt idx="100">
                  <c:v>18.751448173441389</c:v>
                </c:pt>
                <c:pt idx="101">
                  <c:v>18.948619882603911</c:v>
                </c:pt>
                <c:pt idx="102">
                  <c:v>19.145984014906926</c:v>
                </c:pt>
                <c:pt idx="103">
                  <c:v>19.343540570350434</c:v>
                </c:pt>
                <c:pt idx="104">
                  <c:v>19.541289548934444</c:v>
                </c:pt>
                <c:pt idx="105">
                  <c:v>19.73923095065895</c:v>
                </c:pt>
                <c:pt idx="106">
                  <c:v>19.937364775523946</c:v>
                </c:pt>
                <c:pt idx="107">
                  <c:v>20.135691023529439</c:v>
                </c:pt>
                <c:pt idx="108">
                  <c:v>20.334209694675433</c:v>
                </c:pt>
                <c:pt idx="109">
                  <c:v>20.532920788961917</c:v>
                </c:pt>
                <c:pt idx="110">
                  <c:v>20.731824306388901</c:v>
                </c:pt>
                <c:pt idx="111">
                  <c:v>20.930920246956383</c:v>
                </c:pt>
                <c:pt idx="112">
                  <c:v>21.130208610664361</c:v>
                </c:pt>
                <c:pt idx="113">
                  <c:v>21.329689397512823</c:v>
                </c:pt>
                <c:pt idx="114">
                  <c:v>21.529362607501792</c:v>
                </c:pt>
                <c:pt idx="115">
                  <c:v>21.729228240631254</c:v>
                </c:pt>
                <c:pt idx="116">
                  <c:v>21.929286296901207</c:v>
                </c:pt>
                <c:pt idx="117">
                  <c:v>22.12953677631166</c:v>
                </c:pt>
                <c:pt idx="118">
                  <c:v>22.32997967886261</c:v>
                </c:pt>
                <c:pt idx="119">
                  <c:v>22.530615004554058</c:v>
                </c:pt>
                <c:pt idx="120">
                  <c:v>22.731442753385998</c:v>
                </c:pt>
                <c:pt idx="121">
                  <c:v>22.932462925358433</c:v>
                </c:pt>
                <c:pt idx="122">
                  <c:v>23.133675520471364</c:v>
                </c:pt>
                <c:pt idx="123">
                  <c:v>23.335080538724792</c:v>
                </c:pt>
                <c:pt idx="124">
                  <c:v>23.536677980118721</c:v>
                </c:pt>
                <c:pt idx="125">
                  <c:v>23.73846784465314</c:v>
                </c:pt>
                <c:pt idx="126">
                  <c:v>23.94045013232806</c:v>
                </c:pt>
                <c:pt idx="127">
                  <c:v>24.142624843143473</c:v>
                </c:pt>
                <c:pt idx="128">
                  <c:v>24.344991977099379</c:v>
                </c:pt>
                <c:pt idx="129">
                  <c:v>24.547551534195787</c:v>
                </c:pt>
                <c:pt idx="130">
                  <c:v>24.75030351443268</c:v>
                </c:pt>
                <c:pt idx="131">
                  <c:v>24.953247917810081</c:v>
                </c:pt>
                <c:pt idx="132">
                  <c:v>25.156384744327973</c:v>
                </c:pt>
                <c:pt idx="133">
                  <c:v>25.359713993986354</c:v>
                </c:pt>
                <c:pt idx="134">
                  <c:v>25.563235666785239</c:v>
                </c:pt>
                <c:pt idx="135">
                  <c:v>25.766949762724622</c:v>
                </c:pt>
                <c:pt idx="136">
                  <c:v>25.970856281804501</c:v>
                </c:pt>
                <c:pt idx="137">
                  <c:v>26.17495522402487</c:v>
                </c:pt>
                <c:pt idx="138">
                  <c:v>26.379246589385733</c:v>
                </c:pt>
                <c:pt idx="139">
                  <c:v>26.5837303778871</c:v>
                </c:pt>
                <c:pt idx="140">
                  <c:v>26.788406589528957</c:v>
                </c:pt>
                <c:pt idx="141">
                  <c:v>26.993275224311311</c:v>
                </c:pt>
                <c:pt idx="142">
                  <c:v>27.198336282234163</c:v>
                </c:pt>
                <c:pt idx="143">
                  <c:v>27.403589763297504</c:v>
                </c:pt>
                <c:pt idx="144">
                  <c:v>27.609035667501345</c:v>
                </c:pt>
                <c:pt idx="145">
                  <c:v>27.814673994845688</c:v>
                </c:pt>
                <c:pt idx="146">
                  <c:v>28.020504745330516</c:v>
                </c:pt>
                <c:pt idx="147">
                  <c:v>28.226527918955849</c:v>
                </c:pt>
                <c:pt idx="148">
                  <c:v>28.432743515721672</c:v>
                </c:pt>
                <c:pt idx="149">
                  <c:v>28.639151535627992</c:v>
                </c:pt>
                <c:pt idx="150">
                  <c:v>28.845751978674812</c:v>
                </c:pt>
              </c:numCache>
            </c:numRef>
          </c:yVal>
          <c:smooth val="1"/>
          <c:extLst>
            <c:ext xmlns:c16="http://schemas.microsoft.com/office/drawing/2014/chart" uri="{C3380CC4-5D6E-409C-BE32-E72D297353CC}">
              <c16:uniqueId val="{00000001-7DAF-432D-B540-E0424C156B7E}"/>
            </c:ext>
          </c:extLst>
        </c:ser>
        <c:ser>
          <c:idx val="2"/>
          <c:order val="2"/>
          <c:tx>
            <c:v>HS MOSFET</c:v>
          </c:tx>
          <c:spPr>
            <a:ln>
              <a:solidFill>
                <a:schemeClr val="bg2">
                  <a:lumMod val="50000"/>
                </a:schemeClr>
              </a:solidFill>
              <a:prstDash val="sysDash"/>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Eff_vs_IOUT!$AO$7:$AO$157</c:f>
              <c:numCache>
                <c:formatCode>General</c:formatCode>
                <c:ptCount val="151"/>
                <c:pt idx="0">
                  <c:v>5.4839020256536072E-2</c:v>
                </c:pt>
                <c:pt idx="1">
                  <c:v>5.8754831165626978E-2</c:v>
                </c:pt>
                <c:pt idx="2">
                  <c:v>6.2720445711081541E-2</c:v>
                </c:pt>
                <c:pt idx="3">
                  <c:v>6.6735863892899705E-2</c:v>
                </c:pt>
                <c:pt idx="4">
                  <c:v>7.0801085711081541E-2</c:v>
                </c:pt>
                <c:pt idx="5">
                  <c:v>7.4916111165626978E-2</c:v>
                </c:pt>
                <c:pt idx="6">
                  <c:v>7.9080940256536086E-2</c:v>
                </c:pt>
                <c:pt idx="7">
                  <c:v>8.3295572983808797E-2</c:v>
                </c:pt>
                <c:pt idx="8">
                  <c:v>8.7560009347445178E-2</c:v>
                </c:pt>
                <c:pt idx="9">
                  <c:v>9.1874249347445161E-2</c:v>
                </c:pt>
                <c:pt idx="10">
                  <c:v>9.6238292983808815E-2</c:v>
                </c:pt>
                <c:pt idx="11">
                  <c:v>0.10065214025653609</c:v>
                </c:pt>
                <c:pt idx="12">
                  <c:v>0.105115791165627</c:v>
                </c:pt>
                <c:pt idx="13">
                  <c:v>0.10962924571108154</c:v>
                </c:pt>
                <c:pt idx="14">
                  <c:v>0.11419250389289973</c:v>
                </c:pt>
                <c:pt idx="15">
                  <c:v>0.11880556571108154</c:v>
                </c:pt>
                <c:pt idx="16">
                  <c:v>0.12346843116562699</c:v>
                </c:pt>
                <c:pt idx="17">
                  <c:v>0.12818110025653606</c:v>
                </c:pt>
                <c:pt idx="18">
                  <c:v>0.13294357298380879</c:v>
                </c:pt>
                <c:pt idx="19">
                  <c:v>0.13775584934744517</c:v>
                </c:pt>
                <c:pt idx="20">
                  <c:v>0.14261792934744516</c:v>
                </c:pt>
                <c:pt idx="21">
                  <c:v>0.14752981298380879</c:v>
                </c:pt>
                <c:pt idx="22">
                  <c:v>0.15249150025653607</c:v>
                </c:pt>
                <c:pt idx="23">
                  <c:v>0.15750299116562699</c:v>
                </c:pt>
                <c:pt idx="24">
                  <c:v>0.16256428571108153</c:v>
                </c:pt>
                <c:pt idx="25">
                  <c:v>0.16767538389289971</c:v>
                </c:pt>
                <c:pt idx="26">
                  <c:v>0.17283628571108156</c:v>
                </c:pt>
                <c:pt idx="27">
                  <c:v>0.178046991165627</c:v>
                </c:pt>
                <c:pt idx="28">
                  <c:v>0.18330750025653608</c:v>
                </c:pt>
                <c:pt idx="29">
                  <c:v>0.18861781298380881</c:v>
                </c:pt>
                <c:pt idx="30">
                  <c:v>0.19397792934744518</c:v>
                </c:pt>
                <c:pt idx="31">
                  <c:v>0.19938784934744519</c:v>
                </c:pt>
                <c:pt idx="32">
                  <c:v>0.20484757298380879</c:v>
                </c:pt>
                <c:pt idx="33">
                  <c:v>0.21035710025653612</c:v>
                </c:pt>
                <c:pt idx="34">
                  <c:v>0.21591643116562703</c:v>
                </c:pt>
                <c:pt idx="35">
                  <c:v>0.22152556571108156</c:v>
                </c:pt>
                <c:pt idx="36">
                  <c:v>0.22718450389289968</c:v>
                </c:pt>
                <c:pt idx="37">
                  <c:v>0.23289324571108153</c:v>
                </c:pt>
                <c:pt idx="38">
                  <c:v>0.23865179116562701</c:v>
                </c:pt>
                <c:pt idx="39">
                  <c:v>0.24446014025653615</c:v>
                </c:pt>
                <c:pt idx="40">
                  <c:v>0.25031829298380881</c:v>
                </c:pt>
                <c:pt idx="41">
                  <c:v>0.2562262493474452</c:v>
                </c:pt>
                <c:pt idx="42">
                  <c:v>0.26218400934744518</c:v>
                </c:pt>
                <c:pt idx="43">
                  <c:v>0.2681915729838088</c:v>
                </c:pt>
                <c:pt idx="44">
                  <c:v>0.27424894025653612</c:v>
                </c:pt>
                <c:pt idx="45">
                  <c:v>0.28035611116562698</c:v>
                </c:pt>
                <c:pt idx="46">
                  <c:v>0.28651308571108158</c:v>
                </c:pt>
                <c:pt idx="47">
                  <c:v>0.29271986389289978</c:v>
                </c:pt>
                <c:pt idx="48">
                  <c:v>0.29897644571108151</c:v>
                </c:pt>
                <c:pt idx="49">
                  <c:v>0.30528283116562699</c:v>
                </c:pt>
                <c:pt idx="50">
                  <c:v>0.31163902025653611</c:v>
                </c:pt>
                <c:pt idx="51">
                  <c:v>0.31804501298380883</c:v>
                </c:pt>
                <c:pt idx="52">
                  <c:v>0.32450080934744524</c:v>
                </c:pt>
                <c:pt idx="53">
                  <c:v>0.33100640934744519</c:v>
                </c:pt>
                <c:pt idx="54">
                  <c:v>0.33756181298380888</c:v>
                </c:pt>
                <c:pt idx="55">
                  <c:v>0.34416702025653617</c:v>
                </c:pt>
                <c:pt idx="56">
                  <c:v>0.3508220311656271</c:v>
                </c:pt>
                <c:pt idx="57">
                  <c:v>0.35752684571108162</c:v>
                </c:pt>
                <c:pt idx="58">
                  <c:v>0.36428146389289973</c:v>
                </c:pt>
                <c:pt idx="59">
                  <c:v>0.37108588571108148</c:v>
                </c:pt>
                <c:pt idx="60">
                  <c:v>0.37794011116562709</c:v>
                </c:pt>
                <c:pt idx="61">
                  <c:v>0.38484414025653613</c:v>
                </c:pt>
                <c:pt idx="62">
                  <c:v>0.39179797298380886</c:v>
                </c:pt>
                <c:pt idx="63">
                  <c:v>0.39880160934744519</c:v>
                </c:pt>
                <c:pt idx="64">
                  <c:v>0.40585504934744521</c:v>
                </c:pt>
                <c:pt idx="65">
                  <c:v>0.41295829298380882</c:v>
                </c:pt>
                <c:pt idx="66">
                  <c:v>0.42011134025653618</c:v>
                </c:pt>
                <c:pt idx="67">
                  <c:v>0.42731419116562697</c:v>
                </c:pt>
                <c:pt idx="68">
                  <c:v>0.43456684571108162</c:v>
                </c:pt>
                <c:pt idx="69">
                  <c:v>0.4418693038928998</c:v>
                </c:pt>
                <c:pt idx="70">
                  <c:v>0.44922156571108152</c:v>
                </c:pt>
                <c:pt idx="71">
                  <c:v>0.45662363116562699</c:v>
                </c:pt>
                <c:pt idx="72">
                  <c:v>0.46407550025653599</c:v>
                </c:pt>
                <c:pt idx="73">
                  <c:v>0.47157717298380875</c:v>
                </c:pt>
                <c:pt idx="74">
                  <c:v>0.47912864934744515</c:v>
                </c:pt>
                <c:pt idx="75">
                  <c:v>0.48672992934744513</c:v>
                </c:pt>
                <c:pt idx="76">
                  <c:v>0.49438101298380882</c:v>
                </c:pt>
                <c:pt idx="77">
                  <c:v>0.5020819002565361</c:v>
                </c:pt>
                <c:pt idx="78">
                  <c:v>0.50983259116562707</c:v>
                </c:pt>
                <c:pt idx="79">
                  <c:v>0.51763308571108158</c:v>
                </c:pt>
                <c:pt idx="80">
                  <c:v>0.52548338389289972</c:v>
                </c:pt>
                <c:pt idx="81">
                  <c:v>0.53338348571108152</c:v>
                </c:pt>
                <c:pt idx="82">
                  <c:v>0.54133339116562706</c:v>
                </c:pt>
                <c:pt idx="83">
                  <c:v>0.54933310025653614</c:v>
                </c:pt>
                <c:pt idx="84">
                  <c:v>0.55738261298380876</c:v>
                </c:pt>
                <c:pt idx="85">
                  <c:v>0.56548192934744512</c:v>
                </c:pt>
                <c:pt idx="86">
                  <c:v>0.57363104934744524</c:v>
                </c:pt>
                <c:pt idx="87">
                  <c:v>0.5818299729838089</c:v>
                </c:pt>
                <c:pt idx="88">
                  <c:v>0.59007870025653619</c:v>
                </c:pt>
                <c:pt idx="89">
                  <c:v>0.59837723116562702</c:v>
                </c:pt>
                <c:pt idx="90">
                  <c:v>0.60672556571108149</c:v>
                </c:pt>
                <c:pt idx="91">
                  <c:v>0.61512370389289972</c:v>
                </c:pt>
                <c:pt idx="92">
                  <c:v>0.62357164571108159</c:v>
                </c:pt>
                <c:pt idx="93">
                  <c:v>0.63206939116562721</c:v>
                </c:pt>
                <c:pt idx="94">
                  <c:v>0.64061694025653615</c:v>
                </c:pt>
                <c:pt idx="95">
                  <c:v>0.64921429298380895</c:v>
                </c:pt>
                <c:pt idx="96">
                  <c:v>0.65786144934744517</c:v>
                </c:pt>
                <c:pt idx="97">
                  <c:v>0.66655840934744526</c:v>
                </c:pt>
                <c:pt idx="98">
                  <c:v>0.67530517298380899</c:v>
                </c:pt>
                <c:pt idx="99">
                  <c:v>0.68410174025653592</c:v>
                </c:pt>
                <c:pt idx="100">
                  <c:v>0.69294811116562682</c:v>
                </c:pt>
                <c:pt idx="101">
                  <c:v>0.70184428571108171</c:v>
                </c:pt>
                <c:pt idx="102">
                  <c:v>0.71079026389289979</c:v>
                </c:pt>
                <c:pt idx="103">
                  <c:v>0.71978604571108162</c:v>
                </c:pt>
                <c:pt idx="104">
                  <c:v>0.7288316311656271</c:v>
                </c:pt>
                <c:pt idx="105">
                  <c:v>0.73792702025653645</c:v>
                </c:pt>
                <c:pt idx="106">
                  <c:v>0.74707221298380888</c:v>
                </c:pt>
                <c:pt idx="107">
                  <c:v>0.75626720934744529</c:v>
                </c:pt>
                <c:pt idx="108">
                  <c:v>0.76551200934744523</c:v>
                </c:pt>
                <c:pt idx="109">
                  <c:v>0.77480661298380904</c:v>
                </c:pt>
                <c:pt idx="110">
                  <c:v>0.78415102025653627</c:v>
                </c:pt>
                <c:pt idx="111">
                  <c:v>0.79354523116562725</c:v>
                </c:pt>
                <c:pt idx="112">
                  <c:v>0.80298924571108188</c:v>
                </c:pt>
                <c:pt idx="113">
                  <c:v>0.81248306389289993</c:v>
                </c:pt>
                <c:pt idx="114">
                  <c:v>0.82202668571108184</c:v>
                </c:pt>
                <c:pt idx="115">
                  <c:v>0.83162011116562717</c:v>
                </c:pt>
                <c:pt idx="116">
                  <c:v>0.84126334025653615</c:v>
                </c:pt>
                <c:pt idx="117">
                  <c:v>0.85095637298380877</c:v>
                </c:pt>
                <c:pt idx="118">
                  <c:v>0.86069920934744504</c:v>
                </c:pt>
                <c:pt idx="119">
                  <c:v>0.87049184934744539</c:v>
                </c:pt>
                <c:pt idx="120">
                  <c:v>0.88033429298380894</c:v>
                </c:pt>
                <c:pt idx="121">
                  <c:v>0.89022654025653614</c:v>
                </c:pt>
                <c:pt idx="122">
                  <c:v>0.90016859116562709</c:v>
                </c:pt>
                <c:pt idx="123">
                  <c:v>0.91016044571108146</c:v>
                </c:pt>
                <c:pt idx="124">
                  <c:v>0.92020210389290003</c:v>
                </c:pt>
                <c:pt idx="125">
                  <c:v>0.93029356571108157</c:v>
                </c:pt>
                <c:pt idx="126">
                  <c:v>0.94043483116562709</c:v>
                </c:pt>
                <c:pt idx="127">
                  <c:v>0.95062590025653637</c:v>
                </c:pt>
                <c:pt idx="128">
                  <c:v>0.96086677298380896</c:v>
                </c:pt>
                <c:pt idx="129">
                  <c:v>0.9711574493474453</c:v>
                </c:pt>
                <c:pt idx="130">
                  <c:v>0.98149792934744529</c:v>
                </c:pt>
                <c:pt idx="131">
                  <c:v>0.99188821298380903</c:v>
                </c:pt>
                <c:pt idx="132">
                  <c:v>1.0023283002565364</c:v>
                </c:pt>
                <c:pt idx="133">
                  <c:v>1.0128181911656271</c:v>
                </c:pt>
                <c:pt idx="134">
                  <c:v>1.0233578857110814</c:v>
                </c:pt>
                <c:pt idx="135">
                  <c:v>1.0339473838928999</c:v>
                </c:pt>
                <c:pt idx="136">
                  <c:v>1.0445866857110819</c:v>
                </c:pt>
                <c:pt idx="137">
                  <c:v>1.055275791165627</c:v>
                </c:pt>
                <c:pt idx="138">
                  <c:v>1.0660147002565363</c:v>
                </c:pt>
                <c:pt idx="139">
                  <c:v>1.0768034129838093</c:v>
                </c:pt>
                <c:pt idx="140">
                  <c:v>1.0876419293474453</c:v>
                </c:pt>
                <c:pt idx="141">
                  <c:v>1.0985302493474454</c:v>
                </c:pt>
                <c:pt idx="142">
                  <c:v>1.1094683729838088</c:v>
                </c:pt>
                <c:pt idx="143">
                  <c:v>1.120456300256536</c:v>
                </c:pt>
                <c:pt idx="144">
                  <c:v>1.131494031165627</c:v>
                </c:pt>
                <c:pt idx="145">
                  <c:v>1.1425815657110818</c:v>
                </c:pt>
                <c:pt idx="146">
                  <c:v>1.1537189038928999</c:v>
                </c:pt>
                <c:pt idx="147">
                  <c:v>1.1649060457110816</c:v>
                </c:pt>
                <c:pt idx="148">
                  <c:v>1.1761429911656269</c:v>
                </c:pt>
                <c:pt idx="149">
                  <c:v>1.1874297402565361</c:v>
                </c:pt>
                <c:pt idx="150">
                  <c:v>1.1987662929838092</c:v>
                </c:pt>
              </c:numCache>
            </c:numRef>
          </c:yVal>
          <c:smooth val="1"/>
          <c:extLst>
            <c:ext xmlns:c16="http://schemas.microsoft.com/office/drawing/2014/chart" uri="{C3380CC4-5D6E-409C-BE32-E72D297353CC}">
              <c16:uniqueId val="{00000002-7DAF-432D-B540-E0424C156B7E}"/>
            </c:ext>
          </c:extLst>
        </c:ser>
        <c:ser>
          <c:idx val="3"/>
          <c:order val="3"/>
          <c:tx>
            <c:v>RCS</c:v>
          </c:tx>
          <c:spPr>
            <a:ln>
              <a:solidFill>
                <a:schemeClr val="accent5">
                  <a:lumMod val="75000"/>
                </a:schemeClr>
              </a:solidFill>
              <a:prstDash val="lgDashDotDot"/>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Eff_vs_IOUT!$AP$7:$AP$157</c:f>
              <c:numCache>
                <c:formatCode>General</c:formatCode>
                <c:ptCount val="151"/>
                <c:pt idx="0">
                  <c:v>2.8390168509244825E-3</c:v>
                </c:pt>
                <c:pt idx="1">
                  <c:v>2.8844343715856398E-3</c:v>
                </c:pt>
                <c:pt idx="2">
                  <c:v>3.0206869335691108E-3</c:v>
                </c:pt>
                <c:pt idx="3">
                  <c:v>3.2477745368748958E-3</c:v>
                </c:pt>
                <c:pt idx="4">
                  <c:v>3.565697181502995E-3</c:v>
                </c:pt>
                <c:pt idx="5">
                  <c:v>3.9744548674534082E-3</c:v>
                </c:pt>
                <c:pt idx="6">
                  <c:v>4.4740475947261348E-3</c:v>
                </c:pt>
                <c:pt idx="7">
                  <c:v>5.0644753633211758E-3</c:v>
                </c:pt>
                <c:pt idx="8">
                  <c:v>5.7457381732385331E-3</c:v>
                </c:pt>
                <c:pt idx="9">
                  <c:v>6.5178360244782007E-3</c:v>
                </c:pt>
                <c:pt idx="10">
                  <c:v>7.3807689170401845E-3</c:v>
                </c:pt>
                <c:pt idx="11">
                  <c:v>8.3345368509244819E-3</c:v>
                </c:pt>
                <c:pt idx="12">
                  <c:v>9.379139826131094E-3</c:v>
                </c:pt>
                <c:pt idx="13">
                  <c:v>1.0514577842660021E-2</c:v>
                </c:pt>
                <c:pt idx="14">
                  <c:v>1.1740850900511262E-2</c:v>
                </c:pt>
                <c:pt idx="15">
                  <c:v>1.3057958999684814E-2</c:v>
                </c:pt>
                <c:pt idx="16">
                  <c:v>1.4465902140180682E-2</c:v>
                </c:pt>
                <c:pt idx="17">
                  <c:v>1.5964680321998864E-2</c:v>
                </c:pt>
                <c:pt idx="18">
                  <c:v>1.7554293545139356E-2</c:v>
                </c:pt>
                <c:pt idx="19">
                  <c:v>1.9234741809602166E-2</c:v>
                </c:pt>
                <c:pt idx="20">
                  <c:v>2.1006025115387298E-2</c:v>
                </c:pt>
                <c:pt idx="21">
                  <c:v>2.2868143462494731E-2</c:v>
                </c:pt>
                <c:pt idx="22">
                  <c:v>2.4821096850924484E-2</c:v>
                </c:pt>
                <c:pt idx="23">
                  <c:v>2.6864885280676553E-2</c:v>
                </c:pt>
                <c:pt idx="24">
                  <c:v>2.8999508751750922E-2</c:v>
                </c:pt>
                <c:pt idx="25">
                  <c:v>3.1224967264147623E-2</c:v>
                </c:pt>
                <c:pt idx="26">
                  <c:v>3.3541260817866632E-2</c:v>
                </c:pt>
                <c:pt idx="27">
                  <c:v>3.5948389412907948E-2</c:v>
                </c:pt>
                <c:pt idx="28">
                  <c:v>3.8446353049271596E-2</c:v>
                </c:pt>
                <c:pt idx="29">
                  <c:v>4.1035151726957528E-2</c:v>
                </c:pt>
                <c:pt idx="30">
                  <c:v>4.3714785445965812E-2</c:v>
                </c:pt>
                <c:pt idx="31">
                  <c:v>4.6485254206296379E-2</c:v>
                </c:pt>
                <c:pt idx="32">
                  <c:v>4.9346558007949286E-2</c:v>
                </c:pt>
                <c:pt idx="33">
                  <c:v>5.2298696850924475E-2</c:v>
                </c:pt>
                <c:pt idx="34">
                  <c:v>5.5341670735222018E-2</c:v>
                </c:pt>
                <c:pt idx="35">
                  <c:v>5.8475479660841843E-2</c:v>
                </c:pt>
                <c:pt idx="36">
                  <c:v>6.1700123627783973E-2</c:v>
                </c:pt>
                <c:pt idx="37">
                  <c:v>6.5015602636048428E-2</c:v>
                </c:pt>
                <c:pt idx="38">
                  <c:v>6.8421916685635242E-2</c:v>
                </c:pt>
                <c:pt idx="39">
                  <c:v>7.1919065776544319E-2</c:v>
                </c:pt>
                <c:pt idx="40">
                  <c:v>7.5507049908775728E-2</c:v>
                </c:pt>
                <c:pt idx="41">
                  <c:v>7.9185869082329469E-2</c:v>
                </c:pt>
                <c:pt idx="42">
                  <c:v>8.295552329720543E-2</c:v>
                </c:pt>
                <c:pt idx="43">
                  <c:v>8.6816012553403793E-2</c:v>
                </c:pt>
                <c:pt idx="44">
                  <c:v>9.0767336850924488E-2</c:v>
                </c:pt>
                <c:pt idx="45">
                  <c:v>9.4809496189767445E-2</c:v>
                </c:pt>
                <c:pt idx="46">
                  <c:v>9.8942490569932748E-2</c:v>
                </c:pt>
                <c:pt idx="47">
                  <c:v>0.10316631999142033</c:v>
                </c:pt>
                <c:pt idx="48">
                  <c:v>0.10748098445423024</c:v>
                </c:pt>
                <c:pt idx="49">
                  <c:v>0.11188648395836247</c:v>
                </c:pt>
                <c:pt idx="50">
                  <c:v>0.11638281850381701</c:v>
                </c:pt>
                <c:pt idx="51">
                  <c:v>0.12096998809059389</c:v>
                </c:pt>
                <c:pt idx="52">
                  <c:v>0.12564799271869309</c:v>
                </c:pt>
                <c:pt idx="53">
                  <c:v>0.13041683238811455</c:v>
                </c:pt>
                <c:pt idx="54">
                  <c:v>0.13527650709885836</c:v>
                </c:pt>
                <c:pt idx="55">
                  <c:v>0.14022701685092451</c:v>
                </c:pt>
                <c:pt idx="56">
                  <c:v>0.14526836164431292</c:v>
                </c:pt>
                <c:pt idx="57">
                  <c:v>0.15040054147902371</c:v>
                </c:pt>
                <c:pt idx="58">
                  <c:v>0.15562355635505667</c:v>
                </c:pt>
                <c:pt idx="59">
                  <c:v>0.16093740627241204</c:v>
                </c:pt>
                <c:pt idx="60">
                  <c:v>0.16634209123108984</c:v>
                </c:pt>
                <c:pt idx="61">
                  <c:v>0.17183761123108982</c:v>
                </c:pt>
                <c:pt idx="62">
                  <c:v>0.17742396627241211</c:v>
                </c:pt>
                <c:pt idx="63">
                  <c:v>0.18310115635505669</c:v>
                </c:pt>
                <c:pt idx="64">
                  <c:v>0.18886918147902368</c:v>
                </c:pt>
                <c:pt idx="65">
                  <c:v>0.1947280416443129</c:v>
                </c:pt>
                <c:pt idx="66">
                  <c:v>0.20067773685092452</c:v>
                </c:pt>
                <c:pt idx="67">
                  <c:v>0.20671826709885835</c:v>
                </c:pt>
                <c:pt idx="68">
                  <c:v>0.21284963238811463</c:v>
                </c:pt>
                <c:pt idx="69">
                  <c:v>0.21907183271869315</c:v>
                </c:pt>
                <c:pt idx="70">
                  <c:v>0.22538486809059388</c:v>
                </c:pt>
                <c:pt idx="71">
                  <c:v>0.23178873850381704</c:v>
                </c:pt>
                <c:pt idx="72">
                  <c:v>0.23828344395836246</c:v>
                </c:pt>
                <c:pt idx="73">
                  <c:v>0.24486898445423025</c:v>
                </c:pt>
                <c:pt idx="74">
                  <c:v>0.2515453599914203</c:v>
                </c:pt>
                <c:pt idx="75">
                  <c:v>0.25831257056993279</c:v>
                </c:pt>
                <c:pt idx="76">
                  <c:v>0.26517061618976751</c:v>
                </c:pt>
                <c:pt idx="77">
                  <c:v>0.27211949685092451</c:v>
                </c:pt>
                <c:pt idx="78">
                  <c:v>0.27915921255340387</c:v>
                </c:pt>
                <c:pt idx="79">
                  <c:v>0.28628976329720546</c:v>
                </c:pt>
                <c:pt idx="80">
                  <c:v>0.29351114908232945</c:v>
                </c:pt>
                <c:pt idx="81">
                  <c:v>0.30082336990877567</c:v>
                </c:pt>
                <c:pt idx="82">
                  <c:v>0.30822642577654447</c:v>
                </c:pt>
                <c:pt idx="83">
                  <c:v>0.31572031668563522</c:v>
                </c:pt>
                <c:pt idx="84">
                  <c:v>0.32330504263604842</c:v>
                </c:pt>
                <c:pt idx="85">
                  <c:v>0.33098060362778386</c:v>
                </c:pt>
                <c:pt idx="86">
                  <c:v>0.33874699966084176</c:v>
                </c:pt>
                <c:pt idx="87">
                  <c:v>0.3466042307352219</c:v>
                </c:pt>
                <c:pt idx="88">
                  <c:v>0.35455229685092438</c:v>
                </c:pt>
                <c:pt idx="89">
                  <c:v>0.36259119800794926</c:v>
                </c:pt>
                <c:pt idx="90">
                  <c:v>0.3707209342062962</c:v>
                </c:pt>
                <c:pt idx="91">
                  <c:v>0.37894150544596583</c:v>
                </c:pt>
                <c:pt idx="92">
                  <c:v>0.38725291172695747</c:v>
                </c:pt>
                <c:pt idx="93">
                  <c:v>0.39565515304927162</c:v>
                </c:pt>
                <c:pt idx="94">
                  <c:v>0.40414822941290784</c:v>
                </c:pt>
                <c:pt idx="95">
                  <c:v>0.41273214081786658</c:v>
                </c:pt>
                <c:pt idx="96">
                  <c:v>0.4214068872641476</c:v>
                </c:pt>
                <c:pt idx="97">
                  <c:v>0.43017246875175097</c:v>
                </c:pt>
                <c:pt idx="98">
                  <c:v>0.43902888528067641</c:v>
                </c:pt>
                <c:pt idx="99">
                  <c:v>0.44797613685092436</c:v>
                </c:pt>
                <c:pt idx="100">
                  <c:v>0.45701422346249465</c:v>
                </c:pt>
                <c:pt idx="101">
                  <c:v>0.46614314511538746</c:v>
                </c:pt>
                <c:pt idx="102">
                  <c:v>0.47536290180960211</c:v>
                </c:pt>
                <c:pt idx="103">
                  <c:v>0.48467349354513933</c:v>
                </c:pt>
                <c:pt idx="104">
                  <c:v>0.49407492032199885</c:v>
                </c:pt>
                <c:pt idx="105">
                  <c:v>0.5035671821401807</c:v>
                </c:pt>
                <c:pt idx="106">
                  <c:v>0.51315027899968468</c:v>
                </c:pt>
                <c:pt idx="107">
                  <c:v>0.52282421090051123</c:v>
                </c:pt>
                <c:pt idx="108">
                  <c:v>0.53258897784266002</c:v>
                </c:pt>
                <c:pt idx="109">
                  <c:v>0.54244457982613103</c:v>
                </c:pt>
                <c:pt idx="110">
                  <c:v>0.55239101685092451</c:v>
                </c:pt>
                <c:pt idx="111">
                  <c:v>0.56242828891704022</c:v>
                </c:pt>
                <c:pt idx="112">
                  <c:v>0.57255639602447839</c:v>
                </c:pt>
                <c:pt idx="113">
                  <c:v>0.58277533817323857</c:v>
                </c:pt>
                <c:pt idx="114">
                  <c:v>0.59308511536332131</c:v>
                </c:pt>
                <c:pt idx="115">
                  <c:v>0.60348572759472607</c:v>
                </c:pt>
                <c:pt idx="116">
                  <c:v>0.61397717486745318</c:v>
                </c:pt>
                <c:pt idx="117">
                  <c:v>0.62455945718150296</c:v>
                </c:pt>
                <c:pt idx="118">
                  <c:v>0.63523257453687465</c:v>
                </c:pt>
                <c:pt idx="119">
                  <c:v>0.64599652693356902</c:v>
                </c:pt>
                <c:pt idx="120">
                  <c:v>0.65685131437158573</c:v>
                </c:pt>
                <c:pt idx="121">
                  <c:v>0.66779693685092434</c:v>
                </c:pt>
                <c:pt idx="122">
                  <c:v>0.67883339437158574</c:v>
                </c:pt>
                <c:pt idx="123">
                  <c:v>0.68996068693356871</c:v>
                </c:pt>
                <c:pt idx="124">
                  <c:v>0.70117881453687492</c:v>
                </c:pt>
                <c:pt idx="125">
                  <c:v>0.7124877771815028</c:v>
                </c:pt>
                <c:pt idx="126">
                  <c:v>0.72388757486745325</c:v>
                </c:pt>
                <c:pt idx="127">
                  <c:v>0.73537820759472627</c:v>
                </c:pt>
                <c:pt idx="128">
                  <c:v>0.7469596753633212</c:v>
                </c:pt>
                <c:pt idx="129">
                  <c:v>0.75863197817323846</c:v>
                </c:pt>
                <c:pt idx="130">
                  <c:v>0.77039511602447808</c:v>
                </c:pt>
                <c:pt idx="131">
                  <c:v>0.78224908891704026</c:v>
                </c:pt>
                <c:pt idx="132">
                  <c:v>0.79419389685092467</c:v>
                </c:pt>
                <c:pt idx="133">
                  <c:v>0.80622953982613088</c:v>
                </c:pt>
                <c:pt idx="134">
                  <c:v>0.81835601784265988</c:v>
                </c:pt>
                <c:pt idx="135">
                  <c:v>0.83057333090051133</c:v>
                </c:pt>
                <c:pt idx="136">
                  <c:v>0.84288147899968491</c:v>
                </c:pt>
                <c:pt idx="137">
                  <c:v>0.8552804621401805</c:v>
                </c:pt>
                <c:pt idx="138">
                  <c:v>0.8677702803219991</c:v>
                </c:pt>
                <c:pt idx="139">
                  <c:v>0.8803509335451396</c:v>
                </c:pt>
                <c:pt idx="140">
                  <c:v>0.89302242180960234</c:v>
                </c:pt>
                <c:pt idx="141">
                  <c:v>0.90578474511538742</c:v>
                </c:pt>
                <c:pt idx="142">
                  <c:v>0.91863790346249452</c:v>
                </c:pt>
                <c:pt idx="143">
                  <c:v>0.93158189685092407</c:v>
                </c:pt>
                <c:pt idx="144">
                  <c:v>0.94461672528067619</c:v>
                </c:pt>
                <c:pt idx="145">
                  <c:v>0.95774238875175077</c:v>
                </c:pt>
                <c:pt idx="146">
                  <c:v>0.97095888726414759</c:v>
                </c:pt>
                <c:pt idx="147">
                  <c:v>0.98426622081786641</c:v>
                </c:pt>
                <c:pt idx="148">
                  <c:v>0.99766438941290758</c:v>
                </c:pt>
                <c:pt idx="149">
                  <c:v>1.0111533930492718</c:v>
                </c:pt>
                <c:pt idx="150">
                  <c:v>1.0247332317269575</c:v>
                </c:pt>
              </c:numCache>
            </c:numRef>
          </c:yVal>
          <c:smooth val="1"/>
          <c:extLst>
            <c:ext xmlns:c16="http://schemas.microsoft.com/office/drawing/2014/chart" uri="{C3380CC4-5D6E-409C-BE32-E72D297353CC}">
              <c16:uniqueId val="{00000003-7DAF-432D-B540-E0424C156B7E}"/>
            </c:ext>
          </c:extLst>
        </c:ser>
        <c:dLbls>
          <c:showLegendKey val="0"/>
          <c:showVal val="0"/>
          <c:showCatName val="0"/>
          <c:showSerName val="0"/>
          <c:showPercent val="0"/>
          <c:showBubbleSize val="0"/>
        </c:dLbls>
        <c:axId val="522502144"/>
        <c:axId val="522491776"/>
      </c:scatterChart>
      <c:valAx>
        <c:axId val="522488064"/>
        <c:scaling>
          <c:orientation val="minMax"/>
        </c:scaling>
        <c:delete val="0"/>
        <c:axPos val="b"/>
        <c:majorGridlines/>
        <c:numFmt formatCode="General" sourceLinked="1"/>
        <c:majorTickMark val="out"/>
        <c:minorTickMark val="none"/>
        <c:tickLblPos val="nextTo"/>
        <c:crossAx val="522489856"/>
        <c:crosses val="autoZero"/>
        <c:crossBetween val="midCat"/>
      </c:valAx>
      <c:valAx>
        <c:axId val="522489856"/>
        <c:scaling>
          <c:orientation val="minMax"/>
          <c:max val="100"/>
          <c:min val="60"/>
        </c:scaling>
        <c:delete val="0"/>
        <c:axPos val="l"/>
        <c:majorGridlines/>
        <c:title>
          <c:tx>
            <c:rich>
              <a:bodyPr rot="-5400000" vert="horz"/>
              <a:lstStyle/>
              <a:p>
                <a:pPr>
                  <a:defRPr sz="1400"/>
                </a:pPr>
                <a:r>
                  <a:rPr lang="en-US" sz="1400"/>
                  <a:t>Efficiency</a:t>
                </a:r>
                <a:r>
                  <a:rPr lang="en-US" sz="1400" baseline="0"/>
                  <a:t> (%)</a:t>
                </a:r>
                <a:endParaRPr lang="en-US" sz="1400"/>
              </a:p>
            </c:rich>
          </c:tx>
          <c:overlay val="0"/>
        </c:title>
        <c:numFmt formatCode="General" sourceLinked="1"/>
        <c:majorTickMark val="out"/>
        <c:minorTickMark val="none"/>
        <c:tickLblPos val="nextTo"/>
        <c:crossAx val="522488064"/>
        <c:crosses val="autoZero"/>
        <c:crossBetween val="midCat"/>
      </c:valAx>
      <c:valAx>
        <c:axId val="522491776"/>
        <c:scaling>
          <c:orientation val="minMax"/>
        </c:scaling>
        <c:delete val="0"/>
        <c:axPos val="r"/>
        <c:title>
          <c:tx>
            <c:rich>
              <a:bodyPr rot="-5400000" vert="horz"/>
              <a:lstStyle/>
              <a:p>
                <a:pPr>
                  <a:defRPr sz="1400"/>
                </a:pPr>
                <a:r>
                  <a:rPr lang="en-US" sz="1400"/>
                  <a:t>Losses</a:t>
                </a:r>
                <a:r>
                  <a:rPr lang="en-US" sz="1400" baseline="0"/>
                  <a:t> (W)</a:t>
                </a:r>
                <a:endParaRPr lang="en-US" sz="1400"/>
              </a:p>
            </c:rich>
          </c:tx>
          <c:overlay val="0"/>
        </c:title>
        <c:numFmt formatCode="General" sourceLinked="1"/>
        <c:majorTickMark val="out"/>
        <c:minorTickMark val="none"/>
        <c:tickLblPos val="nextTo"/>
        <c:crossAx val="522502144"/>
        <c:crosses val="max"/>
        <c:crossBetween val="midCat"/>
      </c:valAx>
      <c:valAx>
        <c:axId val="522502144"/>
        <c:scaling>
          <c:orientation val="minMax"/>
        </c:scaling>
        <c:delete val="1"/>
        <c:axPos val="b"/>
        <c:title>
          <c:tx>
            <c:rich>
              <a:bodyPr/>
              <a:lstStyle/>
              <a:p>
                <a:pPr>
                  <a:defRPr/>
                </a:pPr>
                <a:r>
                  <a:rPr lang="en-US"/>
                  <a:t>Loac</a:t>
                </a:r>
                <a:r>
                  <a:rPr lang="en-US" baseline="0"/>
                  <a:t> Current (A)</a:t>
                </a:r>
                <a:endParaRPr lang="en-US"/>
              </a:p>
            </c:rich>
          </c:tx>
          <c:overlay val="0"/>
        </c:title>
        <c:numFmt formatCode="General" sourceLinked="1"/>
        <c:majorTickMark val="out"/>
        <c:minorTickMark val="none"/>
        <c:tickLblPos val="nextTo"/>
        <c:crossAx val="522491776"/>
        <c:crosses val="autoZero"/>
        <c:crossBetween val="midCat"/>
      </c:valAx>
    </c:plotArea>
    <c:legend>
      <c:legendPos val="r"/>
      <c:layout>
        <c:manualLayout>
          <c:xMode val="edge"/>
          <c:yMode val="edge"/>
          <c:x val="0.51894403926190358"/>
          <c:y val="6.4862204724409449E-3"/>
          <c:w val="0.39609572935704079"/>
          <c:h val="0.12183653099700564"/>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Efficiency</a:t>
            </a:r>
          </a:p>
        </c:rich>
      </c:tx>
      <c:overlay val="0"/>
    </c:title>
    <c:autoTitleDeleted val="0"/>
    <c:plotArea>
      <c:layout/>
      <c:scatterChart>
        <c:scatterStyle val="smoothMarker"/>
        <c:varyColors val="0"/>
        <c:ser>
          <c:idx val="0"/>
          <c:order val="0"/>
          <c:tx>
            <c:v>Eff</c:v>
          </c:tx>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Eff_vs_IOUT!$AW$7:$AW$157</c:f>
              <c:numCache>
                <c:formatCode>General</c:formatCode>
                <c:ptCount val="151"/>
                <c:pt idx="0">
                  <c:v>0</c:v>
                </c:pt>
                <c:pt idx="1">
                  <c:v>29.013924589787056</c:v>
                </c:pt>
                <c:pt idx="2">
                  <c:v>44.130468327747458</c:v>
                </c:pt>
                <c:pt idx="3">
                  <c:v>53.402353596393169</c:v>
                </c:pt>
                <c:pt idx="4">
                  <c:v>59.667989916367837</c:v>
                </c:pt>
                <c:pt idx="5">
                  <c:v>64.183927063420271</c:v>
                </c:pt>
                <c:pt idx="6">
                  <c:v>67.592069583278615</c:v>
                </c:pt>
                <c:pt idx="7">
                  <c:v>70.254545772265018</c:v>
                </c:pt>
                <c:pt idx="8">
                  <c:v>72.39115746059926</c:v>
                </c:pt>
                <c:pt idx="9">
                  <c:v>74.143047091751811</c:v>
                </c:pt>
                <c:pt idx="10">
                  <c:v>75.604995008849372</c:v>
                </c:pt>
                <c:pt idx="11">
                  <c:v>76.843010976860413</c:v>
                </c:pt>
                <c:pt idx="12">
                  <c:v>77.904480817655539</c:v>
                </c:pt>
                <c:pt idx="13">
                  <c:v>78.824301830001602</c:v>
                </c:pt>
                <c:pt idx="14">
                  <c:v>79.628742657062773</c:v>
                </c:pt>
                <c:pt idx="15">
                  <c:v>80.337954916872064</c:v>
                </c:pt>
                <c:pt idx="16">
                  <c:v>80.967655793231827</c:v>
                </c:pt>
                <c:pt idx="17">
                  <c:v>81.530284197271257</c:v>
                </c:pt>
                <c:pt idx="18">
                  <c:v>82.03581313001142</c:v>
                </c:pt>
                <c:pt idx="19">
                  <c:v>82.492331885624253</c:v>
                </c:pt>
                <c:pt idx="20">
                  <c:v>82.906470742099671</c:v>
                </c:pt>
                <c:pt idx="21">
                  <c:v>83.283715711015617</c:v>
                </c:pt>
                <c:pt idx="22">
                  <c:v>83.628645177225167</c:v>
                </c:pt>
                <c:pt idx="23">
                  <c:v>83.945110145183165</c:v>
                </c:pt>
                <c:pt idx="24">
                  <c:v>84.23637317184911</c:v>
                </c:pt>
                <c:pt idx="25">
                  <c:v>84.505216627139745</c:v>
                </c:pt>
                <c:pt idx="26">
                  <c:v>84.754027901766833</c:v>
                </c:pt>
                <c:pt idx="27">
                  <c:v>84.984867093052827</c:v>
                </c:pt>
                <c:pt idx="28">
                  <c:v>85.199521233161917</c:v>
                </c:pt>
                <c:pt idx="29">
                  <c:v>85.399548081265323</c:v>
                </c:pt>
                <c:pt idx="30">
                  <c:v>85.586311749944201</c:v>
                </c:pt>
                <c:pt idx="31">
                  <c:v>85.761011888699883</c:v>
                </c:pt>
                <c:pt idx="32">
                  <c:v>85.924707744164181</c:v>
                </c:pt>
                <c:pt idx="33">
                  <c:v>86.078338116502778</c:v>
                </c:pt>
                <c:pt idx="34">
                  <c:v>86.222738006060666</c:v>
                </c:pt>
                <c:pt idx="35">
                  <c:v>86.358652573432877</c:v>
                </c:pt>
                <c:pt idx="36">
                  <c:v>86.486748905555487</c:v>
                </c:pt>
                <c:pt idx="37">
                  <c:v>86.60762597982567</c:v>
                </c:pt>
                <c:pt idx="38">
                  <c:v>86.721823140202929</c:v>
                </c:pt>
                <c:pt idx="39">
                  <c:v>86.829827338249117</c:v>
                </c:pt>
                <c:pt idx="40">
                  <c:v>86.932079344085111</c:v>
                </c:pt>
                <c:pt idx="41">
                  <c:v>87.028979094262951</c:v>
                </c:pt>
                <c:pt idx="42">
                  <c:v>87.120890313311122</c:v>
                </c:pt>
                <c:pt idx="43">
                  <c:v>87.208144521493551</c:v>
                </c:pt>
                <c:pt idx="44">
                  <c:v>87.291044521825498</c:v>
                </c:pt>
                <c:pt idx="45">
                  <c:v>87.369867443612549</c:v>
                </c:pt>
                <c:pt idx="46">
                  <c:v>87.444867406947935</c:v>
                </c:pt>
                <c:pt idx="47">
                  <c:v>87.516277862121967</c:v>
                </c:pt>
                <c:pt idx="48">
                  <c:v>87.584313649294671</c:v>
                </c:pt>
                <c:pt idx="49">
                  <c:v>87.649172816694104</c:v>
                </c:pt>
                <c:pt idx="50">
                  <c:v>87.711038229735749</c:v>
                </c:pt>
                <c:pt idx="51">
                  <c:v>87.770078998585106</c:v>
                </c:pt>
                <c:pt idx="52">
                  <c:v>87.826451747621689</c:v>
                </c:pt>
                <c:pt idx="53">
                  <c:v>87.880301746861278</c:v>
                </c:pt>
                <c:pt idx="54">
                  <c:v>87.931763922537016</c:v>
                </c:pt>
                <c:pt idx="55">
                  <c:v>87.980963761633873</c:v>
                </c:pt>
                <c:pt idx="56">
                  <c:v>88.028018123135539</c:v>
                </c:pt>
                <c:pt idx="57">
                  <c:v>88.073035967019294</c:v>
                </c:pt>
                <c:pt idx="58">
                  <c:v>88.116119010566166</c:v>
                </c:pt>
                <c:pt idx="59">
                  <c:v>88.157362320303008</c:v>
                </c:pt>
                <c:pt idx="60">
                  <c:v>88.196854846823641</c:v>
                </c:pt>
                <c:pt idx="61">
                  <c:v>88.234679908817341</c:v>
                </c:pt>
                <c:pt idx="62">
                  <c:v>88.270915631845298</c:v>
                </c:pt>
                <c:pt idx="63">
                  <c:v>88.305635346724813</c:v>
                </c:pt>
                <c:pt idx="64">
                  <c:v>88.338907951793828</c:v>
                </c:pt>
                <c:pt idx="65">
                  <c:v>88.37079824281949</c:v>
                </c:pt>
                <c:pt idx="66">
                  <c:v>88.401367213872973</c:v>
                </c:pt>
                <c:pt idx="67">
                  <c:v>88.430672332108244</c:v>
                </c:pt>
                <c:pt idx="68">
                  <c:v>88.458767789048025</c:v>
                </c:pt>
                <c:pt idx="69">
                  <c:v>88.485704730687175</c:v>
                </c:pt>
                <c:pt idx="70">
                  <c:v>88.511531468467851</c:v>
                </c:pt>
                <c:pt idx="71">
                  <c:v>88.536293672956504</c:v>
                </c:pt>
                <c:pt idx="72">
                  <c:v>88.560034551854642</c:v>
                </c:pt>
                <c:pt idx="73">
                  <c:v>88.582795013802468</c:v>
                </c:pt>
                <c:pt idx="74">
                  <c:v>88.604613819280758</c:v>
                </c:pt>
                <c:pt idx="75">
                  <c:v>88.625527719781175</c:v>
                </c:pt>
                <c:pt idx="76">
                  <c:v>88.645571586295418</c:v>
                </c:pt>
                <c:pt idx="77">
                  <c:v>88.664778528067615</c:v>
                </c:pt>
                <c:pt idx="78">
                  <c:v>88.683180002460006</c:v>
                </c:pt>
                <c:pt idx="79">
                  <c:v>88.700805916698172</c:v>
                </c:pt>
                <c:pt idx="80">
                  <c:v>88.717684722187556</c:v>
                </c:pt>
                <c:pt idx="81">
                  <c:v>88.733843502026517</c:v>
                </c:pt>
                <c:pt idx="82">
                  <c:v>88.749308052281563</c:v>
                </c:pt>
                <c:pt idx="83">
                  <c:v>88.764102957537531</c:v>
                </c:pt>
                <c:pt idx="84">
                  <c:v>88.778251661187568</c:v>
                </c:pt>
                <c:pt idx="85">
                  <c:v>88.791776530885514</c:v>
                </c:pt>
                <c:pt idx="86">
                  <c:v>88.804698919544506</c:v>
                </c:pt>
                <c:pt idx="87">
                  <c:v>88.817039222231529</c:v>
                </c:pt>
                <c:pt idx="88">
                  <c:v>88.828816929276513</c:v>
                </c:pt>
                <c:pt idx="89">
                  <c:v>88.840050675886388</c:v>
                </c:pt>
                <c:pt idx="90">
                  <c:v>88.850758288529903</c:v>
                </c:pt>
                <c:pt idx="91">
                  <c:v>88.860956828335318</c:v>
                </c:pt>
                <c:pt idx="92">
                  <c:v>88.870662631723476</c:v>
                </c:pt>
                <c:pt idx="93">
                  <c:v>88.879891348479148</c:v>
                </c:pt>
                <c:pt idx="94">
                  <c:v>88.888657977447551</c:v>
                </c:pt>
                <c:pt idx="95">
                  <c:v>88.896976900026587</c:v>
                </c:pt>
                <c:pt idx="96">
                  <c:v>88.904861911612457</c:v>
                </c:pt>
                <c:pt idx="97">
                  <c:v>88.912326251142858</c:v>
                </c:pt>
                <c:pt idx="98">
                  <c:v>88.919382628870608</c:v>
                </c:pt>
                <c:pt idx="99">
                  <c:v>88.926043252490288</c:v>
                </c:pt>
                <c:pt idx="100">
                  <c:v>88.932319851730881</c:v>
                </c:pt>
                <c:pt idx="101">
                  <c:v>88.938223701517998</c:v>
                </c:pt>
                <c:pt idx="102">
                  <c:v>88.943765643802251</c:v>
                </c:pt>
                <c:pt idx="103">
                  <c:v>88.948956108142454</c:v>
                </c:pt>
                <c:pt idx="104">
                  <c:v>88.953805131125549</c:v>
                </c:pt>
                <c:pt idx="105">
                  <c:v>88.958322374699449</c:v>
                </c:pt>
                <c:pt idx="106">
                  <c:v>88.962517143489009</c:v>
                </c:pt>
                <c:pt idx="107">
                  <c:v>88.966398401160447</c:v>
                </c:pt>
                <c:pt idx="108">
                  <c:v>88.969974785894507</c:v>
                </c:pt>
                <c:pt idx="109">
                  <c:v>88.973254625024694</c:v>
                </c:pt>
                <c:pt idx="110">
                  <c:v>88.976245948892341</c:v>
                </c:pt>
                <c:pt idx="111">
                  <c:v>88.978956503967439</c:v>
                </c:pt>
                <c:pt idx="112">
                  <c:v>88.981393765279734</c:v>
                </c:pt>
                <c:pt idx="113">
                  <c:v>88.983564948202414</c:v>
                </c:pt>
                <c:pt idx="114">
                  <c:v>88.985477019627098</c:v>
                </c:pt>
                <c:pt idx="115">
                  <c:v>88.98713670856668</c:v>
                </c:pt>
                <c:pt idx="116">
                  <c:v>88.98855051621986</c:v>
                </c:pt>
                <c:pt idx="117">
                  <c:v>88.989724725528959</c:v>
                </c:pt>
                <c:pt idx="118">
                  <c:v>88.990665410260533</c:v>
                </c:pt>
                <c:pt idx="119">
                  <c:v>88.991378443636378</c:v>
                </c:pt>
                <c:pt idx="120">
                  <c:v>88.991869506540766</c:v>
                </c:pt>
                <c:pt idx="121">
                  <c:v>88.992144095327646</c:v>
                </c:pt>
                <c:pt idx="122">
                  <c:v>88.99220752925099</c:v>
                </c:pt>
                <c:pt idx="123">
                  <c:v>88.992064957538645</c:v>
                </c:pt>
                <c:pt idx="124">
                  <c:v>88.991721366130008</c:v>
                </c:pt>
                <c:pt idx="125">
                  <c:v>88.991181584095784</c:v>
                </c:pt>
                <c:pt idx="126">
                  <c:v>88.990450289757192</c:v>
                </c:pt>
                <c:pt idx="127">
                  <c:v>88.989532016521025</c:v>
                </c:pt>
                <c:pt idx="128">
                  <c:v>88.988431158445692</c:v>
                </c:pt>
                <c:pt idx="129">
                  <c:v>88.987151975552663</c:v>
                </c:pt>
                <c:pt idx="130">
                  <c:v>88.985698598896875</c:v>
                </c:pt>
                <c:pt idx="131">
                  <c:v>88.984075035408807</c:v>
                </c:pt>
                <c:pt idx="132">
                  <c:v>88.982285172519639</c:v>
                </c:pt>
                <c:pt idx="133">
                  <c:v>88.98033278258157</c:v>
                </c:pt>
                <c:pt idx="134">
                  <c:v>88.978221527093154</c:v>
                </c:pt>
                <c:pt idx="135">
                  <c:v>88.975954960739813</c:v>
                </c:pt>
                <c:pt idx="136">
                  <c:v>88.973536535258944</c:v>
                </c:pt>
                <c:pt idx="137">
                  <c:v>88.970969603138471</c:v>
                </c:pt>
                <c:pt idx="138">
                  <c:v>88.968257421156892</c:v>
                </c:pt>
                <c:pt idx="139">
                  <c:v>88.965403153773096</c:v>
                </c:pt>
                <c:pt idx="140">
                  <c:v>88.962409876373044</c:v>
                </c:pt>
                <c:pt idx="141">
                  <c:v>88.959280578380287</c:v>
                </c:pt>
                <c:pt idx="142">
                  <c:v>88.956018166237172</c:v>
                </c:pt>
                <c:pt idx="143">
                  <c:v>88.95262546626283</c:v>
                </c:pt>
                <c:pt idx="144">
                  <c:v>88.949105227393829</c:v>
                </c:pt>
                <c:pt idx="145">
                  <c:v>88.945460123813007</c:v>
                </c:pt>
                <c:pt idx="146">
                  <c:v>88.941692757472012</c:v>
                </c:pt>
                <c:pt idx="147">
                  <c:v>88.937805660512325</c:v>
                </c:pt>
                <c:pt idx="148">
                  <c:v>88.933801297589511</c:v>
                </c:pt>
                <c:pt idx="149">
                  <c:v>88.929682068105251</c:v>
                </c:pt>
                <c:pt idx="150">
                  <c:v>88.925450308351429</c:v>
                </c:pt>
              </c:numCache>
            </c:numRef>
          </c:yVal>
          <c:smooth val="0"/>
          <c:extLst>
            <c:ext xmlns:c16="http://schemas.microsoft.com/office/drawing/2014/chart" uri="{C3380CC4-5D6E-409C-BE32-E72D297353CC}">
              <c16:uniqueId val="{00000000-F850-4D08-8BFC-748D436DD73B}"/>
            </c:ext>
          </c:extLst>
        </c:ser>
        <c:dLbls>
          <c:showLegendKey val="0"/>
          <c:showVal val="0"/>
          <c:showCatName val="0"/>
          <c:showSerName val="0"/>
          <c:showPercent val="0"/>
          <c:showBubbleSize val="0"/>
        </c:dLbls>
        <c:axId val="224130176"/>
        <c:axId val="224131712"/>
      </c:scatterChart>
      <c:scatterChart>
        <c:scatterStyle val="smoothMarker"/>
        <c:varyColors val="0"/>
        <c:ser>
          <c:idx val="1"/>
          <c:order val="1"/>
          <c:tx>
            <c:v>MOSFET</c:v>
          </c:tx>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Eff_vs_IOUT!$AI$7:$AI$157</c:f>
              <c:numCache>
                <c:formatCode>General</c:formatCode>
                <c:ptCount val="151"/>
                <c:pt idx="0">
                  <c:v>6.0141166935471857E-3</c:v>
                </c:pt>
                <c:pt idx="1">
                  <c:v>0.18394351180648014</c:v>
                </c:pt>
                <c:pt idx="2">
                  <c:v>0.36206533005990893</c:v>
                </c:pt>
                <c:pt idx="3">
                  <c:v>0.54037957145383353</c:v>
                </c:pt>
                <c:pt idx="4">
                  <c:v>0.71888623598825419</c:v>
                </c:pt>
                <c:pt idx="5">
                  <c:v>0.89758532366317068</c:v>
                </c:pt>
                <c:pt idx="6">
                  <c:v>1.0764768344785829</c:v>
                </c:pt>
                <c:pt idx="7">
                  <c:v>1.2555607684344916</c:v>
                </c:pt>
                <c:pt idx="8">
                  <c:v>1.4348371255308952</c:v>
                </c:pt>
                <c:pt idx="9">
                  <c:v>1.6143059057677949</c:v>
                </c:pt>
                <c:pt idx="10">
                  <c:v>1.7939671091451908</c:v>
                </c:pt>
                <c:pt idx="11">
                  <c:v>1.9738207356630826</c:v>
                </c:pt>
                <c:pt idx="12">
                  <c:v>2.1538667853214695</c:v>
                </c:pt>
                <c:pt idx="13">
                  <c:v>2.3341052581203536</c:v>
                </c:pt>
                <c:pt idx="14">
                  <c:v>2.5145361540597335</c:v>
                </c:pt>
                <c:pt idx="15">
                  <c:v>2.6951594731396078</c:v>
                </c:pt>
                <c:pt idx="16">
                  <c:v>2.8759752153599787</c:v>
                </c:pt>
                <c:pt idx="17">
                  <c:v>3.0569833807208457</c:v>
                </c:pt>
                <c:pt idx="18">
                  <c:v>3.2381839692222081</c:v>
                </c:pt>
                <c:pt idx="19">
                  <c:v>3.419576980864067</c:v>
                </c:pt>
                <c:pt idx="20">
                  <c:v>3.6011624156464213</c:v>
                </c:pt>
                <c:pt idx="21">
                  <c:v>3.7829402735692708</c:v>
                </c:pt>
                <c:pt idx="22">
                  <c:v>3.9649105546326182</c:v>
                </c:pt>
                <c:pt idx="23">
                  <c:v>4.1470732588364605</c:v>
                </c:pt>
                <c:pt idx="24">
                  <c:v>4.3294283861807967</c:v>
                </c:pt>
                <c:pt idx="25">
                  <c:v>4.5119759366656318</c:v>
                </c:pt>
                <c:pt idx="26">
                  <c:v>4.6947159102909612</c:v>
                </c:pt>
                <c:pt idx="27">
                  <c:v>4.8776483070567869</c:v>
                </c:pt>
                <c:pt idx="28">
                  <c:v>5.0607731269631095</c:v>
                </c:pt>
                <c:pt idx="29">
                  <c:v>5.2440903700099248</c:v>
                </c:pt>
                <c:pt idx="30">
                  <c:v>5.427600036197239</c:v>
                </c:pt>
                <c:pt idx="31">
                  <c:v>5.6113021255250475</c:v>
                </c:pt>
                <c:pt idx="32">
                  <c:v>5.7951966379933522</c:v>
                </c:pt>
                <c:pt idx="33">
                  <c:v>5.979283573602153</c:v>
                </c:pt>
                <c:pt idx="34">
                  <c:v>6.1635629323514509</c:v>
                </c:pt>
                <c:pt idx="35">
                  <c:v>6.3480347142412423</c:v>
                </c:pt>
                <c:pt idx="36">
                  <c:v>6.5326989192715299</c:v>
                </c:pt>
                <c:pt idx="37">
                  <c:v>6.7175555474423136</c:v>
                </c:pt>
                <c:pt idx="38">
                  <c:v>6.9026045987535953</c:v>
                </c:pt>
                <c:pt idx="39">
                  <c:v>7.0878460732053714</c:v>
                </c:pt>
                <c:pt idx="40">
                  <c:v>7.2732799707976428</c:v>
                </c:pt>
                <c:pt idx="41">
                  <c:v>7.4589062915304112</c:v>
                </c:pt>
                <c:pt idx="42">
                  <c:v>7.6447250354036722</c:v>
                </c:pt>
                <c:pt idx="43">
                  <c:v>7.830736202417433</c:v>
                </c:pt>
                <c:pt idx="44">
                  <c:v>8.016939792571689</c:v>
                </c:pt>
                <c:pt idx="45">
                  <c:v>8.2033358058664394</c:v>
                </c:pt>
                <c:pt idx="46">
                  <c:v>8.3899242423016869</c:v>
                </c:pt>
                <c:pt idx="47">
                  <c:v>8.5767051018774296</c:v>
                </c:pt>
                <c:pt idx="48">
                  <c:v>8.7636783845936659</c:v>
                </c:pt>
                <c:pt idx="49">
                  <c:v>8.9508440904504027</c:v>
                </c:pt>
                <c:pt idx="50">
                  <c:v>9.1382022194476331</c:v>
                </c:pt>
                <c:pt idx="51">
                  <c:v>9.3257527715853605</c:v>
                </c:pt>
                <c:pt idx="52">
                  <c:v>9.5134957468635832</c:v>
                </c:pt>
                <c:pt idx="53">
                  <c:v>9.7014311452823012</c:v>
                </c:pt>
                <c:pt idx="54">
                  <c:v>9.8895589668415145</c:v>
                </c:pt>
                <c:pt idx="55">
                  <c:v>10.077879211541223</c:v>
                </c:pt>
                <c:pt idx="56">
                  <c:v>10.266391879381432</c:v>
                </c:pt>
                <c:pt idx="57">
                  <c:v>10.455096970362133</c:v>
                </c:pt>
                <c:pt idx="58">
                  <c:v>10.643994484483327</c:v>
                </c:pt>
                <c:pt idx="59">
                  <c:v>10.833084421745021</c:v>
                </c:pt>
                <c:pt idx="60">
                  <c:v>11.022366782147211</c:v>
                </c:pt>
                <c:pt idx="61">
                  <c:v>11.211841565689895</c:v>
                </c:pt>
                <c:pt idx="62">
                  <c:v>11.401508772373077</c:v>
                </c:pt>
                <c:pt idx="63">
                  <c:v>11.591368402196755</c:v>
                </c:pt>
                <c:pt idx="64">
                  <c:v>11.781420455160925</c:v>
                </c:pt>
                <c:pt idx="65">
                  <c:v>11.971664931265593</c:v>
                </c:pt>
                <c:pt idx="66">
                  <c:v>12.162101830510759</c:v>
                </c:pt>
                <c:pt idx="67">
                  <c:v>12.352731152896418</c:v>
                </c:pt>
                <c:pt idx="68">
                  <c:v>12.543552898422577</c:v>
                </c:pt>
                <c:pt idx="69">
                  <c:v>12.734567067089227</c:v>
                </c:pt>
                <c:pt idx="70">
                  <c:v>12.925773658896377</c:v>
                </c:pt>
                <c:pt idx="71">
                  <c:v>13.117172673844019</c:v>
                </c:pt>
                <c:pt idx="72">
                  <c:v>13.308764111932156</c:v>
                </c:pt>
                <c:pt idx="73">
                  <c:v>13.500547973160792</c:v>
                </c:pt>
                <c:pt idx="74">
                  <c:v>13.692524257529923</c:v>
                </c:pt>
                <c:pt idx="75">
                  <c:v>13.884692965039552</c:v>
                </c:pt>
                <c:pt idx="76">
                  <c:v>14.077054095689677</c:v>
                </c:pt>
                <c:pt idx="77">
                  <c:v>14.269607649480296</c:v>
                </c:pt>
                <c:pt idx="78">
                  <c:v>14.46235362641141</c:v>
                </c:pt>
                <c:pt idx="79">
                  <c:v>14.65529202648302</c:v>
                </c:pt>
                <c:pt idx="80">
                  <c:v>14.848422849695126</c:v>
                </c:pt>
                <c:pt idx="81">
                  <c:v>15.041746096047728</c:v>
                </c:pt>
                <c:pt idx="82">
                  <c:v>15.23526176554083</c:v>
                </c:pt>
                <c:pt idx="83">
                  <c:v>15.428969858174423</c:v>
                </c:pt>
                <c:pt idx="84">
                  <c:v>15.622870373948508</c:v>
                </c:pt>
                <c:pt idx="85">
                  <c:v>15.816963312863095</c:v>
                </c:pt>
                <c:pt idx="86">
                  <c:v>16.011248674918178</c:v>
                </c:pt>
                <c:pt idx="87">
                  <c:v>16.205726460113755</c:v>
                </c:pt>
                <c:pt idx="88">
                  <c:v>16.400396668449829</c:v>
                </c:pt>
                <c:pt idx="89">
                  <c:v>16.595259299926401</c:v>
                </c:pt>
                <c:pt idx="90">
                  <c:v>16.790314354543462</c:v>
                </c:pt>
                <c:pt idx="91">
                  <c:v>16.985561832301023</c:v>
                </c:pt>
                <c:pt idx="92">
                  <c:v>17.181001733199082</c:v>
                </c:pt>
                <c:pt idx="93">
                  <c:v>17.376634057237638</c:v>
                </c:pt>
                <c:pt idx="94">
                  <c:v>17.572458804416684</c:v>
                </c:pt>
                <c:pt idx="95">
                  <c:v>17.76847597473623</c:v>
                </c:pt>
                <c:pt idx="96">
                  <c:v>17.964685568196266</c:v>
                </c:pt>
                <c:pt idx="97">
                  <c:v>18.161087584796807</c:v>
                </c:pt>
                <c:pt idx="98">
                  <c:v>18.357682024537837</c:v>
                </c:pt>
                <c:pt idx="99">
                  <c:v>18.554468887419361</c:v>
                </c:pt>
                <c:pt idx="100">
                  <c:v>18.751448173441389</c:v>
                </c:pt>
                <c:pt idx="101">
                  <c:v>18.948619882603911</c:v>
                </c:pt>
                <c:pt idx="102">
                  <c:v>19.145984014906926</c:v>
                </c:pt>
                <c:pt idx="103">
                  <c:v>19.343540570350434</c:v>
                </c:pt>
                <c:pt idx="104">
                  <c:v>19.541289548934444</c:v>
                </c:pt>
                <c:pt idx="105">
                  <c:v>19.73923095065895</c:v>
                </c:pt>
                <c:pt idx="106">
                  <c:v>19.937364775523946</c:v>
                </c:pt>
                <c:pt idx="107">
                  <c:v>20.135691023529439</c:v>
                </c:pt>
                <c:pt idx="108">
                  <c:v>20.334209694675433</c:v>
                </c:pt>
                <c:pt idx="109">
                  <c:v>20.532920788961917</c:v>
                </c:pt>
                <c:pt idx="110">
                  <c:v>20.731824306388901</c:v>
                </c:pt>
                <c:pt idx="111">
                  <c:v>20.930920246956383</c:v>
                </c:pt>
                <c:pt idx="112">
                  <c:v>21.130208610664361</c:v>
                </c:pt>
                <c:pt idx="113">
                  <c:v>21.329689397512823</c:v>
                </c:pt>
                <c:pt idx="114">
                  <c:v>21.529362607501792</c:v>
                </c:pt>
                <c:pt idx="115">
                  <c:v>21.729228240631254</c:v>
                </c:pt>
                <c:pt idx="116">
                  <c:v>21.929286296901207</c:v>
                </c:pt>
                <c:pt idx="117">
                  <c:v>22.12953677631166</c:v>
                </c:pt>
                <c:pt idx="118">
                  <c:v>22.32997967886261</c:v>
                </c:pt>
                <c:pt idx="119">
                  <c:v>22.530615004554058</c:v>
                </c:pt>
                <c:pt idx="120">
                  <c:v>22.731442753385998</c:v>
                </c:pt>
                <c:pt idx="121">
                  <c:v>22.932462925358433</c:v>
                </c:pt>
                <c:pt idx="122">
                  <c:v>23.133675520471364</c:v>
                </c:pt>
                <c:pt idx="123">
                  <c:v>23.335080538724792</c:v>
                </c:pt>
                <c:pt idx="124">
                  <c:v>23.536677980118721</c:v>
                </c:pt>
                <c:pt idx="125">
                  <c:v>23.73846784465314</c:v>
                </c:pt>
                <c:pt idx="126">
                  <c:v>23.94045013232806</c:v>
                </c:pt>
                <c:pt idx="127">
                  <c:v>24.142624843143473</c:v>
                </c:pt>
                <c:pt idx="128">
                  <c:v>24.344991977099379</c:v>
                </c:pt>
                <c:pt idx="129">
                  <c:v>24.547551534195787</c:v>
                </c:pt>
                <c:pt idx="130">
                  <c:v>24.75030351443268</c:v>
                </c:pt>
                <c:pt idx="131">
                  <c:v>24.953247917810081</c:v>
                </c:pt>
                <c:pt idx="132">
                  <c:v>25.156384744327973</c:v>
                </c:pt>
                <c:pt idx="133">
                  <c:v>25.359713993986354</c:v>
                </c:pt>
                <c:pt idx="134">
                  <c:v>25.563235666785239</c:v>
                </c:pt>
                <c:pt idx="135">
                  <c:v>25.766949762724622</c:v>
                </c:pt>
                <c:pt idx="136">
                  <c:v>25.970856281804501</c:v>
                </c:pt>
                <c:pt idx="137">
                  <c:v>26.17495522402487</c:v>
                </c:pt>
                <c:pt idx="138">
                  <c:v>26.379246589385733</c:v>
                </c:pt>
                <c:pt idx="139">
                  <c:v>26.5837303778871</c:v>
                </c:pt>
                <c:pt idx="140">
                  <c:v>26.788406589528957</c:v>
                </c:pt>
                <c:pt idx="141">
                  <c:v>26.993275224311311</c:v>
                </c:pt>
                <c:pt idx="142">
                  <c:v>27.198336282234163</c:v>
                </c:pt>
                <c:pt idx="143">
                  <c:v>27.403589763297504</c:v>
                </c:pt>
                <c:pt idx="144">
                  <c:v>27.609035667501345</c:v>
                </c:pt>
                <c:pt idx="145">
                  <c:v>27.814673994845688</c:v>
                </c:pt>
                <c:pt idx="146">
                  <c:v>28.020504745330516</c:v>
                </c:pt>
                <c:pt idx="147">
                  <c:v>28.226527918955849</c:v>
                </c:pt>
                <c:pt idx="148">
                  <c:v>28.432743515721672</c:v>
                </c:pt>
                <c:pt idx="149">
                  <c:v>28.639151535627992</c:v>
                </c:pt>
                <c:pt idx="150">
                  <c:v>28.845751978674812</c:v>
                </c:pt>
              </c:numCache>
            </c:numRef>
          </c:yVal>
          <c:smooth val="1"/>
          <c:extLst>
            <c:ext xmlns:c16="http://schemas.microsoft.com/office/drawing/2014/chart" uri="{C3380CC4-5D6E-409C-BE32-E72D297353CC}">
              <c16:uniqueId val="{00000001-F850-4D08-8BFC-748D436DD73B}"/>
            </c:ext>
          </c:extLst>
        </c:ser>
        <c:ser>
          <c:idx val="2"/>
          <c:order val="2"/>
          <c:tx>
            <c:v>Diode</c:v>
          </c:tx>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Eff_vs_IOUT!$AO$7:$AO$157</c:f>
              <c:numCache>
                <c:formatCode>General</c:formatCode>
                <c:ptCount val="151"/>
                <c:pt idx="0">
                  <c:v>5.4839020256536072E-2</c:v>
                </c:pt>
                <c:pt idx="1">
                  <c:v>5.8754831165626978E-2</c:v>
                </c:pt>
                <c:pt idx="2">
                  <c:v>6.2720445711081541E-2</c:v>
                </c:pt>
                <c:pt idx="3">
                  <c:v>6.6735863892899705E-2</c:v>
                </c:pt>
                <c:pt idx="4">
                  <c:v>7.0801085711081541E-2</c:v>
                </c:pt>
                <c:pt idx="5">
                  <c:v>7.4916111165626978E-2</c:v>
                </c:pt>
                <c:pt idx="6">
                  <c:v>7.9080940256536086E-2</c:v>
                </c:pt>
                <c:pt idx="7">
                  <c:v>8.3295572983808797E-2</c:v>
                </c:pt>
                <c:pt idx="8">
                  <c:v>8.7560009347445178E-2</c:v>
                </c:pt>
                <c:pt idx="9">
                  <c:v>9.1874249347445161E-2</c:v>
                </c:pt>
                <c:pt idx="10">
                  <c:v>9.6238292983808815E-2</c:v>
                </c:pt>
                <c:pt idx="11">
                  <c:v>0.10065214025653609</c:v>
                </c:pt>
                <c:pt idx="12">
                  <c:v>0.105115791165627</c:v>
                </c:pt>
                <c:pt idx="13">
                  <c:v>0.10962924571108154</c:v>
                </c:pt>
                <c:pt idx="14">
                  <c:v>0.11419250389289973</c:v>
                </c:pt>
                <c:pt idx="15">
                  <c:v>0.11880556571108154</c:v>
                </c:pt>
                <c:pt idx="16">
                  <c:v>0.12346843116562699</c:v>
                </c:pt>
                <c:pt idx="17">
                  <c:v>0.12818110025653606</c:v>
                </c:pt>
                <c:pt idx="18">
                  <c:v>0.13294357298380879</c:v>
                </c:pt>
                <c:pt idx="19">
                  <c:v>0.13775584934744517</c:v>
                </c:pt>
                <c:pt idx="20">
                  <c:v>0.14261792934744516</c:v>
                </c:pt>
                <c:pt idx="21">
                  <c:v>0.14752981298380879</c:v>
                </c:pt>
                <c:pt idx="22">
                  <c:v>0.15249150025653607</c:v>
                </c:pt>
                <c:pt idx="23">
                  <c:v>0.15750299116562699</c:v>
                </c:pt>
                <c:pt idx="24">
                  <c:v>0.16256428571108153</c:v>
                </c:pt>
                <c:pt idx="25">
                  <c:v>0.16767538389289971</c:v>
                </c:pt>
                <c:pt idx="26">
                  <c:v>0.17283628571108156</c:v>
                </c:pt>
                <c:pt idx="27">
                  <c:v>0.178046991165627</c:v>
                </c:pt>
                <c:pt idx="28">
                  <c:v>0.18330750025653608</c:v>
                </c:pt>
                <c:pt idx="29">
                  <c:v>0.18861781298380881</c:v>
                </c:pt>
                <c:pt idx="30">
                  <c:v>0.19397792934744518</c:v>
                </c:pt>
                <c:pt idx="31">
                  <c:v>0.19938784934744519</c:v>
                </c:pt>
                <c:pt idx="32">
                  <c:v>0.20484757298380879</c:v>
                </c:pt>
                <c:pt idx="33">
                  <c:v>0.21035710025653612</c:v>
                </c:pt>
                <c:pt idx="34">
                  <c:v>0.21591643116562703</c:v>
                </c:pt>
                <c:pt idx="35">
                  <c:v>0.22152556571108156</c:v>
                </c:pt>
                <c:pt idx="36">
                  <c:v>0.22718450389289968</c:v>
                </c:pt>
                <c:pt idx="37">
                  <c:v>0.23289324571108153</c:v>
                </c:pt>
                <c:pt idx="38">
                  <c:v>0.23865179116562701</c:v>
                </c:pt>
                <c:pt idx="39">
                  <c:v>0.24446014025653615</c:v>
                </c:pt>
                <c:pt idx="40">
                  <c:v>0.25031829298380881</c:v>
                </c:pt>
                <c:pt idx="41">
                  <c:v>0.2562262493474452</c:v>
                </c:pt>
                <c:pt idx="42">
                  <c:v>0.26218400934744518</c:v>
                </c:pt>
                <c:pt idx="43">
                  <c:v>0.2681915729838088</c:v>
                </c:pt>
                <c:pt idx="44">
                  <c:v>0.27424894025653612</c:v>
                </c:pt>
                <c:pt idx="45">
                  <c:v>0.28035611116562698</c:v>
                </c:pt>
                <c:pt idx="46">
                  <c:v>0.28651308571108158</c:v>
                </c:pt>
                <c:pt idx="47">
                  <c:v>0.29271986389289978</c:v>
                </c:pt>
                <c:pt idx="48">
                  <c:v>0.29897644571108151</c:v>
                </c:pt>
                <c:pt idx="49">
                  <c:v>0.30528283116562699</c:v>
                </c:pt>
                <c:pt idx="50">
                  <c:v>0.31163902025653611</c:v>
                </c:pt>
                <c:pt idx="51">
                  <c:v>0.31804501298380883</c:v>
                </c:pt>
                <c:pt idx="52">
                  <c:v>0.32450080934744524</c:v>
                </c:pt>
                <c:pt idx="53">
                  <c:v>0.33100640934744519</c:v>
                </c:pt>
                <c:pt idx="54">
                  <c:v>0.33756181298380888</c:v>
                </c:pt>
                <c:pt idx="55">
                  <c:v>0.34416702025653617</c:v>
                </c:pt>
                <c:pt idx="56">
                  <c:v>0.3508220311656271</c:v>
                </c:pt>
                <c:pt idx="57">
                  <c:v>0.35752684571108162</c:v>
                </c:pt>
                <c:pt idx="58">
                  <c:v>0.36428146389289973</c:v>
                </c:pt>
                <c:pt idx="59">
                  <c:v>0.37108588571108148</c:v>
                </c:pt>
                <c:pt idx="60">
                  <c:v>0.37794011116562709</c:v>
                </c:pt>
                <c:pt idx="61">
                  <c:v>0.38484414025653613</c:v>
                </c:pt>
                <c:pt idx="62">
                  <c:v>0.39179797298380886</c:v>
                </c:pt>
                <c:pt idx="63">
                  <c:v>0.39880160934744519</c:v>
                </c:pt>
                <c:pt idx="64">
                  <c:v>0.40585504934744521</c:v>
                </c:pt>
                <c:pt idx="65">
                  <c:v>0.41295829298380882</c:v>
                </c:pt>
                <c:pt idx="66">
                  <c:v>0.42011134025653618</c:v>
                </c:pt>
                <c:pt idx="67">
                  <c:v>0.42731419116562697</c:v>
                </c:pt>
                <c:pt idx="68">
                  <c:v>0.43456684571108162</c:v>
                </c:pt>
                <c:pt idx="69">
                  <c:v>0.4418693038928998</c:v>
                </c:pt>
                <c:pt idx="70">
                  <c:v>0.44922156571108152</c:v>
                </c:pt>
                <c:pt idx="71">
                  <c:v>0.45662363116562699</c:v>
                </c:pt>
                <c:pt idx="72">
                  <c:v>0.46407550025653599</c:v>
                </c:pt>
                <c:pt idx="73">
                  <c:v>0.47157717298380875</c:v>
                </c:pt>
                <c:pt idx="74">
                  <c:v>0.47912864934744515</c:v>
                </c:pt>
                <c:pt idx="75">
                  <c:v>0.48672992934744513</c:v>
                </c:pt>
                <c:pt idx="76">
                  <c:v>0.49438101298380882</c:v>
                </c:pt>
                <c:pt idx="77">
                  <c:v>0.5020819002565361</c:v>
                </c:pt>
                <c:pt idx="78">
                  <c:v>0.50983259116562707</c:v>
                </c:pt>
                <c:pt idx="79">
                  <c:v>0.51763308571108158</c:v>
                </c:pt>
                <c:pt idx="80">
                  <c:v>0.52548338389289972</c:v>
                </c:pt>
                <c:pt idx="81">
                  <c:v>0.53338348571108152</c:v>
                </c:pt>
                <c:pt idx="82">
                  <c:v>0.54133339116562706</c:v>
                </c:pt>
                <c:pt idx="83">
                  <c:v>0.54933310025653614</c:v>
                </c:pt>
                <c:pt idx="84">
                  <c:v>0.55738261298380876</c:v>
                </c:pt>
                <c:pt idx="85">
                  <c:v>0.56548192934744512</c:v>
                </c:pt>
                <c:pt idx="86">
                  <c:v>0.57363104934744524</c:v>
                </c:pt>
                <c:pt idx="87">
                  <c:v>0.5818299729838089</c:v>
                </c:pt>
                <c:pt idx="88">
                  <c:v>0.59007870025653619</c:v>
                </c:pt>
                <c:pt idx="89">
                  <c:v>0.59837723116562702</c:v>
                </c:pt>
                <c:pt idx="90">
                  <c:v>0.60672556571108149</c:v>
                </c:pt>
                <c:pt idx="91">
                  <c:v>0.61512370389289972</c:v>
                </c:pt>
                <c:pt idx="92">
                  <c:v>0.62357164571108159</c:v>
                </c:pt>
                <c:pt idx="93">
                  <c:v>0.63206939116562721</c:v>
                </c:pt>
                <c:pt idx="94">
                  <c:v>0.64061694025653615</c:v>
                </c:pt>
                <c:pt idx="95">
                  <c:v>0.64921429298380895</c:v>
                </c:pt>
                <c:pt idx="96">
                  <c:v>0.65786144934744517</c:v>
                </c:pt>
                <c:pt idx="97">
                  <c:v>0.66655840934744526</c:v>
                </c:pt>
                <c:pt idx="98">
                  <c:v>0.67530517298380899</c:v>
                </c:pt>
                <c:pt idx="99">
                  <c:v>0.68410174025653592</c:v>
                </c:pt>
                <c:pt idx="100">
                  <c:v>0.69294811116562682</c:v>
                </c:pt>
                <c:pt idx="101">
                  <c:v>0.70184428571108171</c:v>
                </c:pt>
                <c:pt idx="102">
                  <c:v>0.71079026389289979</c:v>
                </c:pt>
                <c:pt idx="103">
                  <c:v>0.71978604571108162</c:v>
                </c:pt>
                <c:pt idx="104">
                  <c:v>0.7288316311656271</c:v>
                </c:pt>
                <c:pt idx="105">
                  <c:v>0.73792702025653645</c:v>
                </c:pt>
                <c:pt idx="106">
                  <c:v>0.74707221298380888</c:v>
                </c:pt>
                <c:pt idx="107">
                  <c:v>0.75626720934744529</c:v>
                </c:pt>
                <c:pt idx="108">
                  <c:v>0.76551200934744523</c:v>
                </c:pt>
                <c:pt idx="109">
                  <c:v>0.77480661298380904</c:v>
                </c:pt>
                <c:pt idx="110">
                  <c:v>0.78415102025653627</c:v>
                </c:pt>
                <c:pt idx="111">
                  <c:v>0.79354523116562725</c:v>
                </c:pt>
                <c:pt idx="112">
                  <c:v>0.80298924571108188</c:v>
                </c:pt>
                <c:pt idx="113">
                  <c:v>0.81248306389289993</c:v>
                </c:pt>
                <c:pt idx="114">
                  <c:v>0.82202668571108184</c:v>
                </c:pt>
                <c:pt idx="115">
                  <c:v>0.83162011116562717</c:v>
                </c:pt>
                <c:pt idx="116">
                  <c:v>0.84126334025653615</c:v>
                </c:pt>
                <c:pt idx="117">
                  <c:v>0.85095637298380877</c:v>
                </c:pt>
                <c:pt idx="118">
                  <c:v>0.86069920934744504</c:v>
                </c:pt>
                <c:pt idx="119">
                  <c:v>0.87049184934744539</c:v>
                </c:pt>
                <c:pt idx="120">
                  <c:v>0.88033429298380894</c:v>
                </c:pt>
                <c:pt idx="121">
                  <c:v>0.89022654025653614</c:v>
                </c:pt>
                <c:pt idx="122">
                  <c:v>0.90016859116562709</c:v>
                </c:pt>
                <c:pt idx="123">
                  <c:v>0.91016044571108146</c:v>
                </c:pt>
                <c:pt idx="124">
                  <c:v>0.92020210389290003</c:v>
                </c:pt>
                <c:pt idx="125">
                  <c:v>0.93029356571108157</c:v>
                </c:pt>
                <c:pt idx="126">
                  <c:v>0.94043483116562709</c:v>
                </c:pt>
                <c:pt idx="127">
                  <c:v>0.95062590025653637</c:v>
                </c:pt>
                <c:pt idx="128">
                  <c:v>0.96086677298380896</c:v>
                </c:pt>
                <c:pt idx="129">
                  <c:v>0.9711574493474453</c:v>
                </c:pt>
                <c:pt idx="130">
                  <c:v>0.98149792934744529</c:v>
                </c:pt>
                <c:pt idx="131">
                  <c:v>0.99188821298380903</c:v>
                </c:pt>
                <c:pt idx="132">
                  <c:v>1.0023283002565364</c:v>
                </c:pt>
                <c:pt idx="133">
                  <c:v>1.0128181911656271</c:v>
                </c:pt>
                <c:pt idx="134">
                  <c:v>1.0233578857110814</c:v>
                </c:pt>
                <c:pt idx="135">
                  <c:v>1.0339473838928999</c:v>
                </c:pt>
                <c:pt idx="136">
                  <c:v>1.0445866857110819</c:v>
                </c:pt>
                <c:pt idx="137">
                  <c:v>1.055275791165627</c:v>
                </c:pt>
                <c:pt idx="138">
                  <c:v>1.0660147002565363</c:v>
                </c:pt>
                <c:pt idx="139">
                  <c:v>1.0768034129838093</c:v>
                </c:pt>
                <c:pt idx="140">
                  <c:v>1.0876419293474453</c:v>
                </c:pt>
                <c:pt idx="141">
                  <c:v>1.0985302493474454</c:v>
                </c:pt>
                <c:pt idx="142">
                  <c:v>1.1094683729838088</c:v>
                </c:pt>
                <c:pt idx="143">
                  <c:v>1.120456300256536</c:v>
                </c:pt>
                <c:pt idx="144">
                  <c:v>1.131494031165627</c:v>
                </c:pt>
                <c:pt idx="145">
                  <c:v>1.1425815657110818</c:v>
                </c:pt>
                <c:pt idx="146">
                  <c:v>1.1537189038928999</c:v>
                </c:pt>
                <c:pt idx="147">
                  <c:v>1.1649060457110816</c:v>
                </c:pt>
                <c:pt idx="148">
                  <c:v>1.1761429911656269</c:v>
                </c:pt>
                <c:pt idx="149">
                  <c:v>1.1874297402565361</c:v>
                </c:pt>
                <c:pt idx="150">
                  <c:v>1.1987662929838092</c:v>
                </c:pt>
              </c:numCache>
            </c:numRef>
          </c:yVal>
          <c:smooth val="1"/>
          <c:extLst>
            <c:ext xmlns:c16="http://schemas.microsoft.com/office/drawing/2014/chart" uri="{C3380CC4-5D6E-409C-BE32-E72D297353CC}">
              <c16:uniqueId val="{00000002-F850-4D08-8BFC-748D436DD73B}"/>
            </c:ext>
          </c:extLst>
        </c:ser>
        <c:ser>
          <c:idx val="3"/>
          <c:order val="3"/>
          <c:tx>
            <c:v>RCS</c:v>
          </c:tx>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Eff_vs_IOUT!$AP$7:$AP$157</c:f>
              <c:numCache>
                <c:formatCode>General</c:formatCode>
                <c:ptCount val="151"/>
                <c:pt idx="0">
                  <c:v>2.8390168509244825E-3</c:v>
                </c:pt>
                <c:pt idx="1">
                  <c:v>2.8844343715856398E-3</c:v>
                </c:pt>
                <c:pt idx="2">
                  <c:v>3.0206869335691108E-3</c:v>
                </c:pt>
                <c:pt idx="3">
                  <c:v>3.2477745368748958E-3</c:v>
                </c:pt>
                <c:pt idx="4">
                  <c:v>3.565697181502995E-3</c:v>
                </c:pt>
                <c:pt idx="5">
                  <c:v>3.9744548674534082E-3</c:v>
                </c:pt>
                <c:pt idx="6">
                  <c:v>4.4740475947261348E-3</c:v>
                </c:pt>
                <c:pt idx="7">
                  <c:v>5.0644753633211758E-3</c:v>
                </c:pt>
                <c:pt idx="8">
                  <c:v>5.7457381732385331E-3</c:v>
                </c:pt>
                <c:pt idx="9">
                  <c:v>6.5178360244782007E-3</c:v>
                </c:pt>
                <c:pt idx="10">
                  <c:v>7.3807689170401845E-3</c:v>
                </c:pt>
                <c:pt idx="11">
                  <c:v>8.3345368509244819E-3</c:v>
                </c:pt>
                <c:pt idx="12">
                  <c:v>9.379139826131094E-3</c:v>
                </c:pt>
                <c:pt idx="13">
                  <c:v>1.0514577842660021E-2</c:v>
                </c:pt>
                <c:pt idx="14">
                  <c:v>1.1740850900511262E-2</c:v>
                </c:pt>
                <c:pt idx="15">
                  <c:v>1.3057958999684814E-2</c:v>
                </c:pt>
                <c:pt idx="16">
                  <c:v>1.4465902140180682E-2</c:v>
                </c:pt>
                <c:pt idx="17">
                  <c:v>1.5964680321998864E-2</c:v>
                </c:pt>
                <c:pt idx="18">
                  <c:v>1.7554293545139356E-2</c:v>
                </c:pt>
                <c:pt idx="19">
                  <c:v>1.9234741809602166E-2</c:v>
                </c:pt>
                <c:pt idx="20">
                  <c:v>2.1006025115387298E-2</c:v>
                </c:pt>
                <c:pt idx="21">
                  <c:v>2.2868143462494731E-2</c:v>
                </c:pt>
                <c:pt idx="22">
                  <c:v>2.4821096850924484E-2</c:v>
                </c:pt>
                <c:pt idx="23">
                  <c:v>2.6864885280676553E-2</c:v>
                </c:pt>
                <c:pt idx="24">
                  <c:v>2.8999508751750922E-2</c:v>
                </c:pt>
                <c:pt idx="25">
                  <c:v>3.1224967264147623E-2</c:v>
                </c:pt>
                <c:pt idx="26">
                  <c:v>3.3541260817866632E-2</c:v>
                </c:pt>
                <c:pt idx="27">
                  <c:v>3.5948389412907948E-2</c:v>
                </c:pt>
                <c:pt idx="28">
                  <c:v>3.8446353049271596E-2</c:v>
                </c:pt>
                <c:pt idx="29">
                  <c:v>4.1035151726957528E-2</c:v>
                </c:pt>
                <c:pt idx="30">
                  <c:v>4.3714785445965812E-2</c:v>
                </c:pt>
                <c:pt idx="31">
                  <c:v>4.6485254206296379E-2</c:v>
                </c:pt>
                <c:pt idx="32">
                  <c:v>4.9346558007949286E-2</c:v>
                </c:pt>
                <c:pt idx="33">
                  <c:v>5.2298696850924475E-2</c:v>
                </c:pt>
                <c:pt idx="34">
                  <c:v>5.5341670735222018E-2</c:v>
                </c:pt>
                <c:pt idx="35">
                  <c:v>5.8475479660841843E-2</c:v>
                </c:pt>
                <c:pt idx="36">
                  <c:v>6.1700123627783973E-2</c:v>
                </c:pt>
                <c:pt idx="37">
                  <c:v>6.5015602636048428E-2</c:v>
                </c:pt>
                <c:pt idx="38">
                  <c:v>6.8421916685635242E-2</c:v>
                </c:pt>
                <c:pt idx="39">
                  <c:v>7.1919065776544319E-2</c:v>
                </c:pt>
                <c:pt idx="40">
                  <c:v>7.5507049908775728E-2</c:v>
                </c:pt>
                <c:pt idx="41">
                  <c:v>7.9185869082329469E-2</c:v>
                </c:pt>
                <c:pt idx="42">
                  <c:v>8.295552329720543E-2</c:v>
                </c:pt>
                <c:pt idx="43">
                  <c:v>8.6816012553403793E-2</c:v>
                </c:pt>
                <c:pt idx="44">
                  <c:v>9.0767336850924488E-2</c:v>
                </c:pt>
                <c:pt idx="45">
                  <c:v>9.4809496189767445E-2</c:v>
                </c:pt>
                <c:pt idx="46">
                  <c:v>9.8942490569932748E-2</c:v>
                </c:pt>
                <c:pt idx="47">
                  <c:v>0.10316631999142033</c:v>
                </c:pt>
                <c:pt idx="48">
                  <c:v>0.10748098445423024</c:v>
                </c:pt>
                <c:pt idx="49">
                  <c:v>0.11188648395836247</c:v>
                </c:pt>
                <c:pt idx="50">
                  <c:v>0.11638281850381701</c:v>
                </c:pt>
                <c:pt idx="51">
                  <c:v>0.12096998809059389</c:v>
                </c:pt>
                <c:pt idx="52">
                  <c:v>0.12564799271869309</c:v>
                </c:pt>
                <c:pt idx="53">
                  <c:v>0.13041683238811455</c:v>
                </c:pt>
                <c:pt idx="54">
                  <c:v>0.13527650709885836</c:v>
                </c:pt>
                <c:pt idx="55">
                  <c:v>0.14022701685092451</c:v>
                </c:pt>
                <c:pt idx="56">
                  <c:v>0.14526836164431292</c:v>
                </c:pt>
                <c:pt idx="57">
                  <c:v>0.15040054147902371</c:v>
                </c:pt>
                <c:pt idx="58">
                  <c:v>0.15562355635505667</c:v>
                </c:pt>
                <c:pt idx="59">
                  <c:v>0.16093740627241204</c:v>
                </c:pt>
                <c:pt idx="60">
                  <c:v>0.16634209123108984</c:v>
                </c:pt>
                <c:pt idx="61">
                  <c:v>0.17183761123108982</c:v>
                </c:pt>
                <c:pt idx="62">
                  <c:v>0.17742396627241211</c:v>
                </c:pt>
                <c:pt idx="63">
                  <c:v>0.18310115635505669</c:v>
                </c:pt>
                <c:pt idx="64">
                  <c:v>0.18886918147902368</c:v>
                </c:pt>
                <c:pt idx="65">
                  <c:v>0.1947280416443129</c:v>
                </c:pt>
                <c:pt idx="66">
                  <c:v>0.20067773685092452</c:v>
                </c:pt>
                <c:pt idx="67">
                  <c:v>0.20671826709885835</c:v>
                </c:pt>
                <c:pt idx="68">
                  <c:v>0.21284963238811463</c:v>
                </c:pt>
                <c:pt idx="69">
                  <c:v>0.21907183271869315</c:v>
                </c:pt>
                <c:pt idx="70">
                  <c:v>0.22538486809059388</c:v>
                </c:pt>
                <c:pt idx="71">
                  <c:v>0.23178873850381704</c:v>
                </c:pt>
                <c:pt idx="72">
                  <c:v>0.23828344395836246</c:v>
                </c:pt>
                <c:pt idx="73">
                  <c:v>0.24486898445423025</c:v>
                </c:pt>
                <c:pt idx="74">
                  <c:v>0.2515453599914203</c:v>
                </c:pt>
                <c:pt idx="75">
                  <c:v>0.25831257056993279</c:v>
                </c:pt>
                <c:pt idx="76">
                  <c:v>0.26517061618976751</c:v>
                </c:pt>
                <c:pt idx="77">
                  <c:v>0.27211949685092451</c:v>
                </c:pt>
                <c:pt idx="78">
                  <c:v>0.27915921255340387</c:v>
                </c:pt>
                <c:pt idx="79">
                  <c:v>0.28628976329720546</c:v>
                </c:pt>
                <c:pt idx="80">
                  <c:v>0.29351114908232945</c:v>
                </c:pt>
                <c:pt idx="81">
                  <c:v>0.30082336990877567</c:v>
                </c:pt>
                <c:pt idx="82">
                  <c:v>0.30822642577654447</c:v>
                </c:pt>
                <c:pt idx="83">
                  <c:v>0.31572031668563522</c:v>
                </c:pt>
                <c:pt idx="84">
                  <c:v>0.32330504263604842</c:v>
                </c:pt>
                <c:pt idx="85">
                  <c:v>0.33098060362778386</c:v>
                </c:pt>
                <c:pt idx="86">
                  <c:v>0.33874699966084176</c:v>
                </c:pt>
                <c:pt idx="87">
                  <c:v>0.3466042307352219</c:v>
                </c:pt>
                <c:pt idx="88">
                  <c:v>0.35455229685092438</c:v>
                </c:pt>
                <c:pt idx="89">
                  <c:v>0.36259119800794926</c:v>
                </c:pt>
                <c:pt idx="90">
                  <c:v>0.3707209342062962</c:v>
                </c:pt>
                <c:pt idx="91">
                  <c:v>0.37894150544596583</c:v>
                </c:pt>
                <c:pt idx="92">
                  <c:v>0.38725291172695747</c:v>
                </c:pt>
                <c:pt idx="93">
                  <c:v>0.39565515304927162</c:v>
                </c:pt>
                <c:pt idx="94">
                  <c:v>0.40414822941290784</c:v>
                </c:pt>
                <c:pt idx="95">
                  <c:v>0.41273214081786658</c:v>
                </c:pt>
                <c:pt idx="96">
                  <c:v>0.4214068872641476</c:v>
                </c:pt>
                <c:pt idx="97">
                  <c:v>0.43017246875175097</c:v>
                </c:pt>
                <c:pt idx="98">
                  <c:v>0.43902888528067641</c:v>
                </c:pt>
                <c:pt idx="99">
                  <c:v>0.44797613685092436</c:v>
                </c:pt>
                <c:pt idx="100">
                  <c:v>0.45701422346249465</c:v>
                </c:pt>
                <c:pt idx="101">
                  <c:v>0.46614314511538746</c:v>
                </c:pt>
                <c:pt idx="102">
                  <c:v>0.47536290180960211</c:v>
                </c:pt>
                <c:pt idx="103">
                  <c:v>0.48467349354513933</c:v>
                </c:pt>
                <c:pt idx="104">
                  <c:v>0.49407492032199885</c:v>
                </c:pt>
                <c:pt idx="105">
                  <c:v>0.5035671821401807</c:v>
                </c:pt>
                <c:pt idx="106">
                  <c:v>0.51315027899968468</c:v>
                </c:pt>
                <c:pt idx="107">
                  <c:v>0.52282421090051123</c:v>
                </c:pt>
                <c:pt idx="108">
                  <c:v>0.53258897784266002</c:v>
                </c:pt>
                <c:pt idx="109">
                  <c:v>0.54244457982613103</c:v>
                </c:pt>
                <c:pt idx="110">
                  <c:v>0.55239101685092451</c:v>
                </c:pt>
                <c:pt idx="111">
                  <c:v>0.56242828891704022</c:v>
                </c:pt>
                <c:pt idx="112">
                  <c:v>0.57255639602447839</c:v>
                </c:pt>
                <c:pt idx="113">
                  <c:v>0.58277533817323857</c:v>
                </c:pt>
                <c:pt idx="114">
                  <c:v>0.59308511536332131</c:v>
                </c:pt>
                <c:pt idx="115">
                  <c:v>0.60348572759472607</c:v>
                </c:pt>
                <c:pt idx="116">
                  <c:v>0.61397717486745318</c:v>
                </c:pt>
                <c:pt idx="117">
                  <c:v>0.62455945718150296</c:v>
                </c:pt>
                <c:pt idx="118">
                  <c:v>0.63523257453687465</c:v>
                </c:pt>
                <c:pt idx="119">
                  <c:v>0.64599652693356902</c:v>
                </c:pt>
                <c:pt idx="120">
                  <c:v>0.65685131437158573</c:v>
                </c:pt>
                <c:pt idx="121">
                  <c:v>0.66779693685092434</c:v>
                </c:pt>
                <c:pt idx="122">
                  <c:v>0.67883339437158574</c:v>
                </c:pt>
                <c:pt idx="123">
                  <c:v>0.68996068693356871</c:v>
                </c:pt>
                <c:pt idx="124">
                  <c:v>0.70117881453687492</c:v>
                </c:pt>
                <c:pt idx="125">
                  <c:v>0.7124877771815028</c:v>
                </c:pt>
                <c:pt idx="126">
                  <c:v>0.72388757486745325</c:v>
                </c:pt>
                <c:pt idx="127">
                  <c:v>0.73537820759472627</c:v>
                </c:pt>
                <c:pt idx="128">
                  <c:v>0.7469596753633212</c:v>
                </c:pt>
                <c:pt idx="129">
                  <c:v>0.75863197817323846</c:v>
                </c:pt>
                <c:pt idx="130">
                  <c:v>0.77039511602447808</c:v>
                </c:pt>
                <c:pt idx="131">
                  <c:v>0.78224908891704026</c:v>
                </c:pt>
                <c:pt idx="132">
                  <c:v>0.79419389685092467</c:v>
                </c:pt>
                <c:pt idx="133">
                  <c:v>0.80622953982613088</c:v>
                </c:pt>
                <c:pt idx="134">
                  <c:v>0.81835601784265988</c:v>
                </c:pt>
                <c:pt idx="135">
                  <c:v>0.83057333090051133</c:v>
                </c:pt>
                <c:pt idx="136">
                  <c:v>0.84288147899968491</c:v>
                </c:pt>
                <c:pt idx="137">
                  <c:v>0.8552804621401805</c:v>
                </c:pt>
                <c:pt idx="138">
                  <c:v>0.8677702803219991</c:v>
                </c:pt>
                <c:pt idx="139">
                  <c:v>0.8803509335451396</c:v>
                </c:pt>
                <c:pt idx="140">
                  <c:v>0.89302242180960234</c:v>
                </c:pt>
                <c:pt idx="141">
                  <c:v>0.90578474511538742</c:v>
                </c:pt>
                <c:pt idx="142">
                  <c:v>0.91863790346249452</c:v>
                </c:pt>
                <c:pt idx="143">
                  <c:v>0.93158189685092407</c:v>
                </c:pt>
                <c:pt idx="144">
                  <c:v>0.94461672528067619</c:v>
                </c:pt>
                <c:pt idx="145">
                  <c:v>0.95774238875175077</c:v>
                </c:pt>
                <c:pt idx="146">
                  <c:v>0.97095888726414759</c:v>
                </c:pt>
                <c:pt idx="147">
                  <c:v>0.98426622081786641</c:v>
                </c:pt>
                <c:pt idx="148">
                  <c:v>0.99766438941290758</c:v>
                </c:pt>
                <c:pt idx="149">
                  <c:v>1.0111533930492718</c:v>
                </c:pt>
                <c:pt idx="150">
                  <c:v>1.0247332317269575</c:v>
                </c:pt>
              </c:numCache>
            </c:numRef>
          </c:yVal>
          <c:smooth val="1"/>
          <c:extLst>
            <c:ext xmlns:c16="http://schemas.microsoft.com/office/drawing/2014/chart" uri="{C3380CC4-5D6E-409C-BE32-E72D297353CC}">
              <c16:uniqueId val="{00000003-F850-4D08-8BFC-748D436DD73B}"/>
            </c:ext>
          </c:extLst>
        </c:ser>
        <c:dLbls>
          <c:showLegendKey val="0"/>
          <c:showVal val="0"/>
          <c:showCatName val="0"/>
          <c:showSerName val="0"/>
          <c:showPercent val="0"/>
          <c:showBubbleSize val="0"/>
        </c:dLbls>
        <c:axId val="543660288"/>
        <c:axId val="543658752"/>
      </c:scatterChart>
      <c:valAx>
        <c:axId val="224130176"/>
        <c:scaling>
          <c:orientation val="minMax"/>
          <c:max val="6"/>
        </c:scaling>
        <c:delete val="0"/>
        <c:axPos val="b"/>
        <c:majorGridlines/>
        <c:numFmt formatCode="General" sourceLinked="1"/>
        <c:majorTickMark val="out"/>
        <c:minorTickMark val="none"/>
        <c:tickLblPos val="nextTo"/>
        <c:crossAx val="224131712"/>
        <c:crosses val="autoZero"/>
        <c:crossBetween val="midCat"/>
      </c:valAx>
      <c:valAx>
        <c:axId val="224131712"/>
        <c:scaling>
          <c:orientation val="minMax"/>
          <c:max val="100"/>
          <c:min val="60"/>
        </c:scaling>
        <c:delete val="0"/>
        <c:axPos val="l"/>
        <c:majorGridlines/>
        <c:title>
          <c:overlay val="0"/>
          <c:txPr>
            <a:bodyPr rot="-5400000" vert="horz"/>
            <a:lstStyle/>
            <a:p>
              <a:pPr>
                <a:defRPr/>
              </a:pPr>
              <a:endParaRPr lang="en-DE"/>
            </a:p>
          </c:txPr>
        </c:title>
        <c:numFmt formatCode="General" sourceLinked="1"/>
        <c:majorTickMark val="out"/>
        <c:minorTickMark val="none"/>
        <c:tickLblPos val="nextTo"/>
        <c:crossAx val="224130176"/>
        <c:crosses val="autoZero"/>
        <c:crossBetween val="midCat"/>
      </c:valAx>
      <c:valAx>
        <c:axId val="543658752"/>
        <c:scaling>
          <c:orientation val="minMax"/>
        </c:scaling>
        <c:delete val="0"/>
        <c:axPos val="r"/>
        <c:numFmt formatCode="General" sourceLinked="1"/>
        <c:majorTickMark val="out"/>
        <c:minorTickMark val="none"/>
        <c:tickLblPos val="nextTo"/>
        <c:crossAx val="543660288"/>
        <c:crosses val="max"/>
        <c:crossBetween val="midCat"/>
      </c:valAx>
      <c:valAx>
        <c:axId val="543660288"/>
        <c:scaling>
          <c:orientation val="minMax"/>
        </c:scaling>
        <c:delete val="1"/>
        <c:axPos val="b"/>
        <c:numFmt formatCode="General" sourceLinked="1"/>
        <c:majorTickMark val="out"/>
        <c:minorTickMark val="none"/>
        <c:tickLblPos val="nextTo"/>
        <c:crossAx val="543658752"/>
        <c:crosses val="autoZero"/>
        <c:crossBetween val="midCat"/>
      </c:valAx>
    </c:plotArea>
    <c:legend>
      <c:legendPos val="r"/>
      <c:overlay val="1"/>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2400"/>
            </a:pPr>
            <a:r>
              <a:rPr lang="el-GR" sz="2400"/>
              <a:t>η</a:t>
            </a:r>
            <a:endParaRPr lang="en-US" sz="2400"/>
          </a:p>
        </c:rich>
      </c:tx>
      <c:layout>
        <c:manualLayout>
          <c:xMode val="edge"/>
          <c:yMode val="edge"/>
          <c:x val="9.2321838295158831E-2"/>
          <c:y val="6.7069081153588199E-3"/>
        </c:manualLayout>
      </c:layout>
      <c:overlay val="1"/>
    </c:title>
    <c:autoTitleDeleted val="0"/>
    <c:plotArea>
      <c:layout>
        <c:manualLayout>
          <c:layoutTarget val="inner"/>
          <c:xMode val="edge"/>
          <c:yMode val="edge"/>
          <c:x val="9.4343575816580413E-2"/>
          <c:y val="0.12777504924560487"/>
          <c:w val="0.82170691922728745"/>
          <c:h val="0.74982770867653059"/>
        </c:manualLayout>
      </c:layout>
      <c:scatterChart>
        <c:scatterStyle val="smoothMarker"/>
        <c:varyColors val="0"/>
        <c:ser>
          <c:idx val="0"/>
          <c:order val="0"/>
          <c:tx>
            <c:v>Eff</c:v>
          </c:tx>
          <c:spPr>
            <a:ln>
              <a:solidFill>
                <a:srgbClr val="FF0000"/>
              </a:solidFill>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Eff_vs_IOUT!$AW$7:$AW$157</c:f>
              <c:numCache>
                <c:formatCode>General</c:formatCode>
                <c:ptCount val="151"/>
                <c:pt idx="0">
                  <c:v>0</c:v>
                </c:pt>
                <c:pt idx="1">
                  <c:v>29.013924589787056</c:v>
                </c:pt>
                <c:pt idx="2">
                  <c:v>44.130468327747458</c:v>
                </c:pt>
                <c:pt idx="3">
                  <c:v>53.402353596393169</c:v>
                </c:pt>
                <c:pt idx="4">
                  <c:v>59.667989916367837</c:v>
                </c:pt>
                <c:pt idx="5">
                  <c:v>64.183927063420271</c:v>
                </c:pt>
                <c:pt idx="6">
                  <c:v>67.592069583278615</c:v>
                </c:pt>
                <c:pt idx="7">
                  <c:v>70.254545772265018</c:v>
                </c:pt>
                <c:pt idx="8">
                  <c:v>72.39115746059926</c:v>
                </c:pt>
                <c:pt idx="9">
                  <c:v>74.143047091751811</c:v>
                </c:pt>
                <c:pt idx="10">
                  <c:v>75.604995008849372</c:v>
                </c:pt>
                <c:pt idx="11">
                  <c:v>76.843010976860413</c:v>
                </c:pt>
                <c:pt idx="12">
                  <c:v>77.904480817655539</c:v>
                </c:pt>
                <c:pt idx="13">
                  <c:v>78.824301830001602</c:v>
                </c:pt>
                <c:pt idx="14">
                  <c:v>79.628742657062773</c:v>
                </c:pt>
                <c:pt idx="15">
                  <c:v>80.337954916872064</c:v>
                </c:pt>
                <c:pt idx="16">
                  <c:v>80.967655793231827</c:v>
                </c:pt>
                <c:pt idx="17">
                  <c:v>81.530284197271257</c:v>
                </c:pt>
                <c:pt idx="18">
                  <c:v>82.03581313001142</c:v>
                </c:pt>
                <c:pt idx="19">
                  <c:v>82.492331885624253</c:v>
                </c:pt>
                <c:pt idx="20">
                  <c:v>82.906470742099671</c:v>
                </c:pt>
                <c:pt idx="21">
                  <c:v>83.283715711015617</c:v>
                </c:pt>
                <c:pt idx="22">
                  <c:v>83.628645177225167</c:v>
                </c:pt>
                <c:pt idx="23">
                  <c:v>83.945110145183165</c:v>
                </c:pt>
                <c:pt idx="24">
                  <c:v>84.23637317184911</c:v>
                </c:pt>
                <c:pt idx="25">
                  <c:v>84.505216627139745</c:v>
                </c:pt>
                <c:pt idx="26">
                  <c:v>84.754027901766833</c:v>
                </c:pt>
                <c:pt idx="27">
                  <c:v>84.984867093052827</c:v>
                </c:pt>
                <c:pt idx="28">
                  <c:v>85.199521233161917</c:v>
                </c:pt>
                <c:pt idx="29">
                  <c:v>85.399548081265323</c:v>
                </c:pt>
                <c:pt idx="30">
                  <c:v>85.586311749944201</c:v>
                </c:pt>
                <c:pt idx="31">
                  <c:v>85.761011888699883</c:v>
                </c:pt>
                <c:pt idx="32">
                  <c:v>85.924707744164181</c:v>
                </c:pt>
                <c:pt idx="33">
                  <c:v>86.078338116502778</c:v>
                </c:pt>
                <c:pt idx="34">
                  <c:v>86.222738006060666</c:v>
                </c:pt>
                <c:pt idx="35">
                  <c:v>86.358652573432877</c:v>
                </c:pt>
                <c:pt idx="36">
                  <c:v>86.486748905555487</c:v>
                </c:pt>
                <c:pt idx="37">
                  <c:v>86.60762597982567</c:v>
                </c:pt>
                <c:pt idx="38">
                  <c:v>86.721823140202929</c:v>
                </c:pt>
                <c:pt idx="39">
                  <c:v>86.829827338249117</c:v>
                </c:pt>
                <c:pt idx="40">
                  <c:v>86.932079344085111</c:v>
                </c:pt>
                <c:pt idx="41">
                  <c:v>87.028979094262951</c:v>
                </c:pt>
                <c:pt idx="42">
                  <c:v>87.120890313311122</c:v>
                </c:pt>
                <c:pt idx="43">
                  <c:v>87.208144521493551</c:v>
                </c:pt>
                <c:pt idx="44">
                  <c:v>87.291044521825498</c:v>
                </c:pt>
                <c:pt idx="45">
                  <c:v>87.369867443612549</c:v>
                </c:pt>
                <c:pt idx="46">
                  <c:v>87.444867406947935</c:v>
                </c:pt>
                <c:pt idx="47">
                  <c:v>87.516277862121967</c:v>
                </c:pt>
                <c:pt idx="48">
                  <c:v>87.584313649294671</c:v>
                </c:pt>
                <c:pt idx="49">
                  <c:v>87.649172816694104</c:v>
                </c:pt>
                <c:pt idx="50">
                  <c:v>87.711038229735749</c:v>
                </c:pt>
                <c:pt idx="51">
                  <c:v>87.770078998585106</c:v>
                </c:pt>
                <c:pt idx="52">
                  <c:v>87.826451747621689</c:v>
                </c:pt>
                <c:pt idx="53">
                  <c:v>87.880301746861278</c:v>
                </c:pt>
                <c:pt idx="54">
                  <c:v>87.931763922537016</c:v>
                </c:pt>
                <c:pt idx="55">
                  <c:v>87.980963761633873</c:v>
                </c:pt>
                <c:pt idx="56">
                  <c:v>88.028018123135539</c:v>
                </c:pt>
                <c:pt idx="57">
                  <c:v>88.073035967019294</c:v>
                </c:pt>
                <c:pt idx="58">
                  <c:v>88.116119010566166</c:v>
                </c:pt>
                <c:pt idx="59">
                  <c:v>88.157362320303008</c:v>
                </c:pt>
                <c:pt idx="60">
                  <c:v>88.196854846823641</c:v>
                </c:pt>
                <c:pt idx="61">
                  <c:v>88.234679908817341</c:v>
                </c:pt>
                <c:pt idx="62">
                  <c:v>88.270915631845298</c:v>
                </c:pt>
                <c:pt idx="63">
                  <c:v>88.305635346724813</c:v>
                </c:pt>
                <c:pt idx="64">
                  <c:v>88.338907951793828</c:v>
                </c:pt>
                <c:pt idx="65">
                  <c:v>88.37079824281949</c:v>
                </c:pt>
                <c:pt idx="66">
                  <c:v>88.401367213872973</c:v>
                </c:pt>
                <c:pt idx="67">
                  <c:v>88.430672332108244</c:v>
                </c:pt>
                <c:pt idx="68">
                  <c:v>88.458767789048025</c:v>
                </c:pt>
                <c:pt idx="69">
                  <c:v>88.485704730687175</c:v>
                </c:pt>
                <c:pt idx="70">
                  <c:v>88.511531468467851</c:v>
                </c:pt>
                <c:pt idx="71">
                  <c:v>88.536293672956504</c:v>
                </c:pt>
                <c:pt idx="72">
                  <c:v>88.560034551854642</c:v>
                </c:pt>
                <c:pt idx="73">
                  <c:v>88.582795013802468</c:v>
                </c:pt>
                <c:pt idx="74">
                  <c:v>88.604613819280758</c:v>
                </c:pt>
                <c:pt idx="75">
                  <c:v>88.625527719781175</c:v>
                </c:pt>
                <c:pt idx="76">
                  <c:v>88.645571586295418</c:v>
                </c:pt>
                <c:pt idx="77">
                  <c:v>88.664778528067615</c:v>
                </c:pt>
                <c:pt idx="78">
                  <c:v>88.683180002460006</c:v>
                </c:pt>
                <c:pt idx="79">
                  <c:v>88.700805916698172</c:v>
                </c:pt>
                <c:pt idx="80">
                  <c:v>88.717684722187556</c:v>
                </c:pt>
                <c:pt idx="81">
                  <c:v>88.733843502026517</c:v>
                </c:pt>
                <c:pt idx="82">
                  <c:v>88.749308052281563</c:v>
                </c:pt>
                <c:pt idx="83">
                  <c:v>88.764102957537531</c:v>
                </c:pt>
                <c:pt idx="84">
                  <c:v>88.778251661187568</c:v>
                </c:pt>
                <c:pt idx="85">
                  <c:v>88.791776530885514</c:v>
                </c:pt>
                <c:pt idx="86">
                  <c:v>88.804698919544506</c:v>
                </c:pt>
                <c:pt idx="87">
                  <c:v>88.817039222231529</c:v>
                </c:pt>
                <c:pt idx="88">
                  <c:v>88.828816929276513</c:v>
                </c:pt>
                <c:pt idx="89">
                  <c:v>88.840050675886388</c:v>
                </c:pt>
                <c:pt idx="90">
                  <c:v>88.850758288529903</c:v>
                </c:pt>
                <c:pt idx="91">
                  <c:v>88.860956828335318</c:v>
                </c:pt>
                <c:pt idx="92">
                  <c:v>88.870662631723476</c:v>
                </c:pt>
                <c:pt idx="93">
                  <c:v>88.879891348479148</c:v>
                </c:pt>
                <c:pt idx="94">
                  <c:v>88.888657977447551</c:v>
                </c:pt>
                <c:pt idx="95">
                  <c:v>88.896976900026587</c:v>
                </c:pt>
                <c:pt idx="96">
                  <c:v>88.904861911612457</c:v>
                </c:pt>
                <c:pt idx="97">
                  <c:v>88.912326251142858</c:v>
                </c:pt>
                <c:pt idx="98">
                  <c:v>88.919382628870608</c:v>
                </c:pt>
                <c:pt idx="99">
                  <c:v>88.926043252490288</c:v>
                </c:pt>
                <c:pt idx="100">
                  <c:v>88.932319851730881</c:v>
                </c:pt>
                <c:pt idx="101">
                  <c:v>88.938223701517998</c:v>
                </c:pt>
                <c:pt idx="102">
                  <c:v>88.943765643802251</c:v>
                </c:pt>
                <c:pt idx="103">
                  <c:v>88.948956108142454</c:v>
                </c:pt>
                <c:pt idx="104">
                  <c:v>88.953805131125549</c:v>
                </c:pt>
                <c:pt idx="105">
                  <c:v>88.958322374699449</c:v>
                </c:pt>
                <c:pt idx="106">
                  <c:v>88.962517143489009</c:v>
                </c:pt>
                <c:pt idx="107">
                  <c:v>88.966398401160447</c:v>
                </c:pt>
                <c:pt idx="108">
                  <c:v>88.969974785894507</c:v>
                </c:pt>
                <c:pt idx="109">
                  <c:v>88.973254625024694</c:v>
                </c:pt>
                <c:pt idx="110">
                  <c:v>88.976245948892341</c:v>
                </c:pt>
                <c:pt idx="111">
                  <c:v>88.978956503967439</c:v>
                </c:pt>
                <c:pt idx="112">
                  <c:v>88.981393765279734</c:v>
                </c:pt>
                <c:pt idx="113">
                  <c:v>88.983564948202414</c:v>
                </c:pt>
                <c:pt idx="114">
                  <c:v>88.985477019627098</c:v>
                </c:pt>
                <c:pt idx="115">
                  <c:v>88.98713670856668</c:v>
                </c:pt>
                <c:pt idx="116">
                  <c:v>88.98855051621986</c:v>
                </c:pt>
                <c:pt idx="117">
                  <c:v>88.989724725528959</c:v>
                </c:pt>
                <c:pt idx="118">
                  <c:v>88.990665410260533</c:v>
                </c:pt>
                <c:pt idx="119">
                  <c:v>88.991378443636378</c:v>
                </c:pt>
                <c:pt idx="120">
                  <c:v>88.991869506540766</c:v>
                </c:pt>
                <c:pt idx="121">
                  <c:v>88.992144095327646</c:v>
                </c:pt>
                <c:pt idx="122">
                  <c:v>88.99220752925099</c:v>
                </c:pt>
                <c:pt idx="123">
                  <c:v>88.992064957538645</c:v>
                </c:pt>
                <c:pt idx="124">
                  <c:v>88.991721366130008</c:v>
                </c:pt>
                <c:pt idx="125">
                  <c:v>88.991181584095784</c:v>
                </c:pt>
                <c:pt idx="126">
                  <c:v>88.990450289757192</c:v>
                </c:pt>
                <c:pt idx="127">
                  <c:v>88.989532016521025</c:v>
                </c:pt>
                <c:pt idx="128">
                  <c:v>88.988431158445692</c:v>
                </c:pt>
                <c:pt idx="129">
                  <c:v>88.987151975552663</c:v>
                </c:pt>
                <c:pt idx="130">
                  <c:v>88.985698598896875</c:v>
                </c:pt>
                <c:pt idx="131">
                  <c:v>88.984075035408807</c:v>
                </c:pt>
                <c:pt idx="132">
                  <c:v>88.982285172519639</c:v>
                </c:pt>
                <c:pt idx="133">
                  <c:v>88.98033278258157</c:v>
                </c:pt>
                <c:pt idx="134">
                  <c:v>88.978221527093154</c:v>
                </c:pt>
                <c:pt idx="135">
                  <c:v>88.975954960739813</c:v>
                </c:pt>
                <c:pt idx="136">
                  <c:v>88.973536535258944</c:v>
                </c:pt>
                <c:pt idx="137">
                  <c:v>88.970969603138471</c:v>
                </c:pt>
                <c:pt idx="138">
                  <c:v>88.968257421156892</c:v>
                </c:pt>
                <c:pt idx="139">
                  <c:v>88.965403153773096</c:v>
                </c:pt>
                <c:pt idx="140">
                  <c:v>88.962409876373044</c:v>
                </c:pt>
                <c:pt idx="141">
                  <c:v>88.959280578380287</c:v>
                </c:pt>
                <c:pt idx="142">
                  <c:v>88.956018166237172</c:v>
                </c:pt>
                <c:pt idx="143">
                  <c:v>88.95262546626283</c:v>
                </c:pt>
                <c:pt idx="144">
                  <c:v>88.949105227393829</c:v>
                </c:pt>
                <c:pt idx="145">
                  <c:v>88.945460123813007</c:v>
                </c:pt>
                <c:pt idx="146">
                  <c:v>88.941692757472012</c:v>
                </c:pt>
                <c:pt idx="147">
                  <c:v>88.937805660512325</c:v>
                </c:pt>
                <c:pt idx="148">
                  <c:v>88.933801297589511</c:v>
                </c:pt>
                <c:pt idx="149">
                  <c:v>88.929682068105251</c:v>
                </c:pt>
                <c:pt idx="150">
                  <c:v>88.925450308351429</c:v>
                </c:pt>
              </c:numCache>
            </c:numRef>
          </c:yVal>
          <c:smooth val="0"/>
          <c:extLst>
            <c:ext xmlns:c16="http://schemas.microsoft.com/office/drawing/2014/chart" uri="{C3380CC4-5D6E-409C-BE32-E72D297353CC}">
              <c16:uniqueId val="{00000000-901A-4CE4-83F4-75906C9CC573}"/>
            </c:ext>
          </c:extLst>
        </c:ser>
        <c:dLbls>
          <c:showLegendKey val="0"/>
          <c:showVal val="0"/>
          <c:showCatName val="0"/>
          <c:showSerName val="0"/>
          <c:showPercent val="0"/>
          <c:showBubbleSize val="0"/>
        </c:dLbls>
        <c:axId val="361445248"/>
        <c:axId val="361446784"/>
      </c:scatterChart>
      <c:scatterChart>
        <c:scatterStyle val="smoothMarker"/>
        <c:varyColors val="0"/>
        <c:ser>
          <c:idx val="1"/>
          <c:order val="1"/>
          <c:tx>
            <c:v>LS MOSFET</c:v>
          </c:tx>
          <c:spPr>
            <a:ln>
              <a:solidFill>
                <a:schemeClr val="tx2">
                  <a:lumMod val="75000"/>
                </a:schemeClr>
              </a:solidFill>
              <a:prstDash val="dashDot"/>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Eff_vs_IOUT!$AI$7:$AI$157</c:f>
              <c:numCache>
                <c:formatCode>General</c:formatCode>
                <c:ptCount val="151"/>
                <c:pt idx="0">
                  <c:v>6.0141166935471857E-3</c:v>
                </c:pt>
                <c:pt idx="1">
                  <c:v>0.18394351180648014</c:v>
                </c:pt>
                <c:pt idx="2">
                  <c:v>0.36206533005990893</c:v>
                </c:pt>
                <c:pt idx="3">
                  <c:v>0.54037957145383353</c:v>
                </c:pt>
                <c:pt idx="4">
                  <c:v>0.71888623598825419</c:v>
                </c:pt>
                <c:pt idx="5">
                  <c:v>0.89758532366317068</c:v>
                </c:pt>
                <c:pt idx="6">
                  <c:v>1.0764768344785829</c:v>
                </c:pt>
                <c:pt idx="7">
                  <c:v>1.2555607684344916</c:v>
                </c:pt>
                <c:pt idx="8">
                  <c:v>1.4348371255308952</c:v>
                </c:pt>
                <c:pt idx="9">
                  <c:v>1.6143059057677949</c:v>
                </c:pt>
                <c:pt idx="10">
                  <c:v>1.7939671091451908</c:v>
                </c:pt>
                <c:pt idx="11">
                  <c:v>1.9738207356630826</c:v>
                </c:pt>
                <c:pt idx="12">
                  <c:v>2.1538667853214695</c:v>
                </c:pt>
                <c:pt idx="13">
                  <c:v>2.3341052581203536</c:v>
                </c:pt>
                <c:pt idx="14">
                  <c:v>2.5145361540597335</c:v>
                </c:pt>
                <c:pt idx="15">
                  <c:v>2.6951594731396078</c:v>
                </c:pt>
                <c:pt idx="16">
                  <c:v>2.8759752153599787</c:v>
                </c:pt>
                <c:pt idx="17">
                  <c:v>3.0569833807208457</c:v>
                </c:pt>
                <c:pt idx="18">
                  <c:v>3.2381839692222081</c:v>
                </c:pt>
                <c:pt idx="19">
                  <c:v>3.419576980864067</c:v>
                </c:pt>
                <c:pt idx="20">
                  <c:v>3.6011624156464213</c:v>
                </c:pt>
                <c:pt idx="21">
                  <c:v>3.7829402735692708</c:v>
                </c:pt>
                <c:pt idx="22">
                  <c:v>3.9649105546326182</c:v>
                </c:pt>
                <c:pt idx="23">
                  <c:v>4.1470732588364605</c:v>
                </c:pt>
                <c:pt idx="24">
                  <c:v>4.3294283861807967</c:v>
                </c:pt>
                <c:pt idx="25">
                  <c:v>4.5119759366656318</c:v>
                </c:pt>
                <c:pt idx="26">
                  <c:v>4.6947159102909612</c:v>
                </c:pt>
                <c:pt idx="27">
                  <c:v>4.8776483070567869</c:v>
                </c:pt>
                <c:pt idx="28">
                  <c:v>5.0607731269631095</c:v>
                </c:pt>
                <c:pt idx="29">
                  <c:v>5.2440903700099248</c:v>
                </c:pt>
                <c:pt idx="30">
                  <c:v>5.427600036197239</c:v>
                </c:pt>
                <c:pt idx="31">
                  <c:v>5.6113021255250475</c:v>
                </c:pt>
                <c:pt idx="32">
                  <c:v>5.7951966379933522</c:v>
                </c:pt>
                <c:pt idx="33">
                  <c:v>5.979283573602153</c:v>
                </c:pt>
                <c:pt idx="34">
                  <c:v>6.1635629323514509</c:v>
                </c:pt>
                <c:pt idx="35">
                  <c:v>6.3480347142412423</c:v>
                </c:pt>
                <c:pt idx="36">
                  <c:v>6.5326989192715299</c:v>
                </c:pt>
                <c:pt idx="37">
                  <c:v>6.7175555474423136</c:v>
                </c:pt>
                <c:pt idx="38">
                  <c:v>6.9026045987535953</c:v>
                </c:pt>
                <c:pt idx="39">
                  <c:v>7.0878460732053714</c:v>
                </c:pt>
                <c:pt idx="40">
                  <c:v>7.2732799707976428</c:v>
                </c:pt>
                <c:pt idx="41">
                  <c:v>7.4589062915304112</c:v>
                </c:pt>
                <c:pt idx="42">
                  <c:v>7.6447250354036722</c:v>
                </c:pt>
                <c:pt idx="43">
                  <c:v>7.830736202417433</c:v>
                </c:pt>
                <c:pt idx="44">
                  <c:v>8.016939792571689</c:v>
                </c:pt>
                <c:pt idx="45">
                  <c:v>8.2033358058664394</c:v>
                </c:pt>
                <c:pt idx="46">
                  <c:v>8.3899242423016869</c:v>
                </c:pt>
                <c:pt idx="47">
                  <c:v>8.5767051018774296</c:v>
                </c:pt>
                <c:pt idx="48">
                  <c:v>8.7636783845936659</c:v>
                </c:pt>
                <c:pt idx="49">
                  <c:v>8.9508440904504027</c:v>
                </c:pt>
                <c:pt idx="50">
                  <c:v>9.1382022194476331</c:v>
                </c:pt>
                <c:pt idx="51">
                  <c:v>9.3257527715853605</c:v>
                </c:pt>
                <c:pt idx="52">
                  <c:v>9.5134957468635832</c:v>
                </c:pt>
                <c:pt idx="53">
                  <c:v>9.7014311452823012</c:v>
                </c:pt>
                <c:pt idx="54">
                  <c:v>9.8895589668415145</c:v>
                </c:pt>
                <c:pt idx="55">
                  <c:v>10.077879211541223</c:v>
                </c:pt>
                <c:pt idx="56">
                  <c:v>10.266391879381432</c:v>
                </c:pt>
                <c:pt idx="57">
                  <c:v>10.455096970362133</c:v>
                </c:pt>
                <c:pt idx="58">
                  <c:v>10.643994484483327</c:v>
                </c:pt>
                <c:pt idx="59">
                  <c:v>10.833084421745021</c:v>
                </c:pt>
                <c:pt idx="60">
                  <c:v>11.022366782147211</c:v>
                </c:pt>
                <c:pt idx="61">
                  <c:v>11.211841565689895</c:v>
                </c:pt>
                <c:pt idx="62">
                  <c:v>11.401508772373077</c:v>
                </c:pt>
                <c:pt idx="63">
                  <c:v>11.591368402196755</c:v>
                </c:pt>
                <c:pt idx="64">
                  <c:v>11.781420455160925</c:v>
                </c:pt>
                <c:pt idx="65">
                  <c:v>11.971664931265593</c:v>
                </c:pt>
                <c:pt idx="66">
                  <c:v>12.162101830510759</c:v>
                </c:pt>
                <c:pt idx="67">
                  <c:v>12.352731152896418</c:v>
                </c:pt>
                <c:pt idx="68">
                  <c:v>12.543552898422577</c:v>
                </c:pt>
                <c:pt idx="69">
                  <c:v>12.734567067089227</c:v>
                </c:pt>
                <c:pt idx="70">
                  <c:v>12.925773658896377</c:v>
                </c:pt>
                <c:pt idx="71">
                  <c:v>13.117172673844019</c:v>
                </c:pt>
                <c:pt idx="72">
                  <c:v>13.308764111932156</c:v>
                </c:pt>
                <c:pt idx="73">
                  <c:v>13.500547973160792</c:v>
                </c:pt>
                <c:pt idx="74">
                  <c:v>13.692524257529923</c:v>
                </c:pt>
                <c:pt idx="75">
                  <c:v>13.884692965039552</c:v>
                </c:pt>
                <c:pt idx="76">
                  <c:v>14.077054095689677</c:v>
                </c:pt>
                <c:pt idx="77">
                  <c:v>14.269607649480296</c:v>
                </c:pt>
                <c:pt idx="78">
                  <c:v>14.46235362641141</c:v>
                </c:pt>
                <c:pt idx="79">
                  <c:v>14.65529202648302</c:v>
                </c:pt>
                <c:pt idx="80">
                  <c:v>14.848422849695126</c:v>
                </c:pt>
                <c:pt idx="81">
                  <c:v>15.041746096047728</c:v>
                </c:pt>
                <c:pt idx="82">
                  <c:v>15.23526176554083</c:v>
                </c:pt>
                <c:pt idx="83">
                  <c:v>15.428969858174423</c:v>
                </c:pt>
                <c:pt idx="84">
                  <c:v>15.622870373948508</c:v>
                </c:pt>
                <c:pt idx="85">
                  <c:v>15.816963312863095</c:v>
                </c:pt>
                <c:pt idx="86">
                  <c:v>16.011248674918178</c:v>
                </c:pt>
                <c:pt idx="87">
                  <c:v>16.205726460113755</c:v>
                </c:pt>
                <c:pt idx="88">
                  <c:v>16.400396668449829</c:v>
                </c:pt>
                <c:pt idx="89">
                  <c:v>16.595259299926401</c:v>
                </c:pt>
                <c:pt idx="90">
                  <c:v>16.790314354543462</c:v>
                </c:pt>
                <c:pt idx="91">
                  <c:v>16.985561832301023</c:v>
                </c:pt>
                <c:pt idx="92">
                  <c:v>17.181001733199082</c:v>
                </c:pt>
                <c:pt idx="93">
                  <c:v>17.376634057237638</c:v>
                </c:pt>
                <c:pt idx="94">
                  <c:v>17.572458804416684</c:v>
                </c:pt>
                <c:pt idx="95">
                  <c:v>17.76847597473623</c:v>
                </c:pt>
                <c:pt idx="96">
                  <c:v>17.964685568196266</c:v>
                </c:pt>
                <c:pt idx="97">
                  <c:v>18.161087584796807</c:v>
                </c:pt>
                <c:pt idx="98">
                  <c:v>18.357682024537837</c:v>
                </c:pt>
                <c:pt idx="99">
                  <c:v>18.554468887419361</c:v>
                </c:pt>
                <c:pt idx="100">
                  <c:v>18.751448173441389</c:v>
                </c:pt>
                <c:pt idx="101">
                  <c:v>18.948619882603911</c:v>
                </c:pt>
                <c:pt idx="102">
                  <c:v>19.145984014906926</c:v>
                </c:pt>
                <c:pt idx="103">
                  <c:v>19.343540570350434</c:v>
                </c:pt>
                <c:pt idx="104">
                  <c:v>19.541289548934444</c:v>
                </c:pt>
                <c:pt idx="105">
                  <c:v>19.73923095065895</c:v>
                </c:pt>
                <c:pt idx="106">
                  <c:v>19.937364775523946</c:v>
                </c:pt>
                <c:pt idx="107">
                  <c:v>20.135691023529439</c:v>
                </c:pt>
                <c:pt idx="108">
                  <c:v>20.334209694675433</c:v>
                </c:pt>
                <c:pt idx="109">
                  <c:v>20.532920788961917</c:v>
                </c:pt>
                <c:pt idx="110">
                  <c:v>20.731824306388901</c:v>
                </c:pt>
                <c:pt idx="111">
                  <c:v>20.930920246956383</c:v>
                </c:pt>
                <c:pt idx="112">
                  <c:v>21.130208610664361</c:v>
                </c:pt>
                <c:pt idx="113">
                  <c:v>21.329689397512823</c:v>
                </c:pt>
                <c:pt idx="114">
                  <c:v>21.529362607501792</c:v>
                </c:pt>
                <c:pt idx="115">
                  <c:v>21.729228240631254</c:v>
                </c:pt>
                <c:pt idx="116">
                  <c:v>21.929286296901207</c:v>
                </c:pt>
                <c:pt idx="117">
                  <c:v>22.12953677631166</c:v>
                </c:pt>
                <c:pt idx="118">
                  <c:v>22.32997967886261</c:v>
                </c:pt>
                <c:pt idx="119">
                  <c:v>22.530615004554058</c:v>
                </c:pt>
                <c:pt idx="120">
                  <c:v>22.731442753385998</c:v>
                </c:pt>
                <c:pt idx="121">
                  <c:v>22.932462925358433</c:v>
                </c:pt>
                <c:pt idx="122">
                  <c:v>23.133675520471364</c:v>
                </c:pt>
                <c:pt idx="123">
                  <c:v>23.335080538724792</c:v>
                </c:pt>
                <c:pt idx="124">
                  <c:v>23.536677980118721</c:v>
                </c:pt>
                <c:pt idx="125">
                  <c:v>23.73846784465314</c:v>
                </c:pt>
                <c:pt idx="126">
                  <c:v>23.94045013232806</c:v>
                </c:pt>
                <c:pt idx="127">
                  <c:v>24.142624843143473</c:v>
                </c:pt>
                <c:pt idx="128">
                  <c:v>24.344991977099379</c:v>
                </c:pt>
                <c:pt idx="129">
                  <c:v>24.547551534195787</c:v>
                </c:pt>
                <c:pt idx="130">
                  <c:v>24.75030351443268</c:v>
                </c:pt>
                <c:pt idx="131">
                  <c:v>24.953247917810081</c:v>
                </c:pt>
                <c:pt idx="132">
                  <c:v>25.156384744327973</c:v>
                </c:pt>
                <c:pt idx="133">
                  <c:v>25.359713993986354</c:v>
                </c:pt>
                <c:pt idx="134">
                  <c:v>25.563235666785239</c:v>
                </c:pt>
                <c:pt idx="135">
                  <c:v>25.766949762724622</c:v>
                </c:pt>
                <c:pt idx="136">
                  <c:v>25.970856281804501</c:v>
                </c:pt>
                <c:pt idx="137">
                  <c:v>26.17495522402487</c:v>
                </c:pt>
                <c:pt idx="138">
                  <c:v>26.379246589385733</c:v>
                </c:pt>
                <c:pt idx="139">
                  <c:v>26.5837303778871</c:v>
                </c:pt>
                <c:pt idx="140">
                  <c:v>26.788406589528957</c:v>
                </c:pt>
                <c:pt idx="141">
                  <c:v>26.993275224311311</c:v>
                </c:pt>
                <c:pt idx="142">
                  <c:v>27.198336282234163</c:v>
                </c:pt>
                <c:pt idx="143">
                  <c:v>27.403589763297504</c:v>
                </c:pt>
                <c:pt idx="144">
                  <c:v>27.609035667501345</c:v>
                </c:pt>
                <c:pt idx="145">
                  <c:v>27.814673994845688</c:v>
                </c:pt>
                <c:pt idx="146">
                  <c:v>28.020504745330516</c:v>
                </c:pt>
                <c:pt idx="147">
                  <c:v>28.226527918955849</c:v>
                </c:pt>
                <c:pt idx="148">
                  <c:v>28.432743515721672</c:v>
                </c:pt>
                <c:pt idx="149">
                  <c:v>28.639151535627992</c:v>
                </c:pt>
                <c:pt idx="150">
                  <c:v>28.845751978674812</c:v>
                </c:pt>
              </c:numCache>
            </c:numRef>
          </c:yVal>
          <c:smooth val="1"/>
          <c:extLst>
            <c:ext xmlns:c16="http://schemas.microsoft.com/office/drawing/2014/chart" uri="{C3380CC4-5D6E-409C-BE32-E72D297353CC}">
              <c16:uniqueId val="{00000001-901A-4CE4-83F4-75906C9CC573}"/>
            </c:ext>
          </c:extLst>
        </c:ser>
        <c:ser>
          <c:idx val="2"/>
          <c:order val="2"/>
          <c:tx>
            <c:v>HS MOSFET</c:v>
          </c:tx>
          <c:spPr>
            <a:ln>
              <a:solidFill>
                <a:schemeClr val="bg2">
                  <a:lumMod val="50000"/>
                </a:schemeClr>
              </a:solidFill>
              <a:prstDash val="sysDash"/>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Eff_vs_IOUT!$AO$7:$AO$157</c:f>
              <c:numCache>
                <c:formatCode>General</c:formatCode>
                <c:ptCount val="151"/>
                <c:pt idx="0">
                  <c:v>5.4839020256536072E-2</c:v>
                </c:pt>
                <c:pt idx="1">
                  <c:v>5.8754831165626978E-2</c:v>
                </c:pt>
                <c:pt idx="2">
                  <c:v>6.2720445711081541E-2</c:v>
                </c:pt>
                <c:pt idx="3">
                  <c:v>6.6735863892899705E-2</c:v>
                </c:pt>
                <c:pt idx="4">
                  <c:v>7.0801085711081541E-2</c:v>
                </c:pt>
                <c:pt idx="5">
                  <c:v>7.4916111165626978E-2</c:v>
                </c:pt>
                <c:pt idx="6">
                  <c:v>7.9080940256536086E-2</c:v>
                </c:pt>
                <c:pt idx="7">
                  <c:v>8.3295572983808797E-2</c:v>
                </c:pt>
                <c:pt idx="8">
                  <c:v>8.7560009347445178E-2</c:v>
                </c:pt>
                <c:pt idx="9">
                  <c:v>9.1874249347445161E-2</c:v>
                </c:pt>
                <c:pt idx="10">
                  <c:v>9.6238292983808815E-2</c:v>
                </c:pt>
                <c:pt idx="11">
                  <c:v>0.10065214025653609</c:v>
                </c:pt>
                <c:pt idx="12">
                  <c:v>0.105115791165627</c:v>
                </c:pt>
                <c:pt idx="13">
                  <c:v>0.10962924571108154</c:v>
                </c:pt>
                <c:pt idx="14">
                  <c:v>0.11419250389289973</c:v>
                </c:pt>
                <c:pt idx="15">
                  <c:v>0.11880556571108154</c:v>
                </c:pt>
                <c:pt idx="16">
                  <c:v>0.12346843116562699</c:v>
                </c:pt>
                <c:pt idx="17">
                  <c:v>0.12818110025653606</c:v>
                </c:pt>
                <c:pt idx="18">
                  <c:v>0.13294357298380879</c:v>
                </c:pt>
                <c:pt idx="19">
                  <c:v>0.13775584934744517</c:v>
                </c:pt>
                <c:pt idx="20">
                  <c:v>0.14261792934744516</c:v>
                </c:pt>
                <c:pt idx="21">
                  <c:v>0.14752981298380879</c:v>
                </c:pt>
                <c:pt idx="22">
                  <c:v>0.15249150025653607</c:v>
                </c:pt>
                <c:pt idx="23">
                  <c:v>0.15750299116562699</c:v>
                </c:pt>
                <c:pt idx="24">
                  <c:v>0.16256428571108153</c:v>
                </c:pt>
                <c:pt idx="25">
                  <c:v>0.16767538389289971</c:v>
                </c:pt>
                <c:pt idx="26">
                  <c:v>0.17283628571108156</c:v>
                </c:pt>
                <c:pt idx="27">
                  <c:v>0.178046991165627</c:v>
                </c:pt>
                <c:pt idx="28">
                  <c:v>0.18330750025653608</c:v>
                </c:pt>
                <c:pt idx="29">
                  <c:v>0.18861781298380881</c:v>
                </c:pt>
                <c:pt idx="30">
                  <c:v>0.19397792934744518</c:v>
                </c:pt>
                <c:pt idx="31">
                  <c:v>0.19938784934744519</c:v>
                </c:pt>
                <c:pt idx="32">
                  <c:v>0.20484757298380879</c:v>
                </c:pt>
                <c:pt idx="33">
                  <c:v>0.21035710025653612</c:v>
                </c:pt>
                <c:pt idx="34">
                  <c:v>0.21591643116562703</c:v>
                </c:pt>
                <c:pt idx="35">
                  <c:v>0.22152556571108156</c:v>
                </c:pt>
                <c:pt idx="36">
                  <c:v>0.22718450389289968</c:v>
                </c:pt>
                <c:pt idx="37">
                  <c:v>0.23289324571108153</c:v>
                </c:pt>
                <c:pt idx="38">
                  <c:v>0.23865179116562701</c:v>
                </c:pt>
                <c:pt idx="39">
                  <c:v>0.24446014025653615</c:v>
                </c:pt>
                <c:pt idx="40">
                  <c:v>0.25031829298380881</c:v>
                </c:pt>
                <c:pt idx="41">
                  <c:v>0.2562262493474452</c:v>
                </c:pt>
                <c:pt idx="42">
                  <c:v>0.26218400934744518</c:v>
                </c:pt>
                <c:pt idx="43">
                  <c:v>0.2681915729838088</c:v>
                </c:pt>
                <c:pt idx="44">
                  <c:v>0.27424894025653612</c:v>
                </c:pt>
                <c:pt idx="45">
                  <c:v>0.28035611116562698</c:v>
                </c:pt>
                <c:pt idx="46">
                  <c:v>0.28651308571108158</c:v>
                </c:pt>
                <c:pt idx="47">
                  <c:v>0.29271986389289978</c:v>
                </c:pt>
                <c:pt idx="48">
                  <c:v>0.29897644571108151</c:v>
                </c:pt>
                <c:pt idx="49">
                  <c:v>0.30528283116562699</c:v>
                </c:pt>
                <c:pt idx="50">
                  <c:v>0.31163902025653611</c:v>
                </c:pt>
                <c:pt idx="51">
                  <c:v>0.31804501298380883</c:v>
                </c:pt>
                <c:pt idx="52">
                  <c:v>0.32450080934744524</c:v>
                </c:pt>
                <c:pt idx="53">
                  <c:v>0.33100640934744519</c:v>
                </c:pt>
                <c:pt idx="54">
                  <c:v>0.33756181298380888</c:v>
                </c:pt>
                <c:pt idx="55">
                  <c:v>0.34416702025653617</c:v>
                </c:pt>
                <c:pt idx="56">
                  <c:v>0.3508220311656271</c:v>
                </c:pt>
                <c:pt idx="57">
                  <c:v>0.35752684571108162</c:v>
                </c:pt>
                <c:pt idx="58">
                  <c:v>0.36428146389289973</c:v>
                </c:pt>
                <c:pt idx="59">
                  <c:v>0.37108588571108148</c:v>
                </c:pt>
                <c:pt idx="60">
                  <c:v>0.37794011116562709</c:v>
                </c:pt>
                <c:pt idx="61">
                  <c:v>0.38484414025653613</c:v>
                </c:pt>
                <c:pt idx="62">
                  <c:v>0.39179797298380886</c:v>
                </c:pt>
                <c:pt idx="63">
                  <c:v>0.39880160934744519</c:v>
                </c:pt>
                <c:pt idx="64">
                  <c:v>0.40585504934744521</c:v>
                </c:pt>
                <c:pt idx="65">
                  <c:v>0.41295829298380882</c:v>
                </c:pt>
                <c:pt idx="66">
                  <c:v>0.42011134025653618</c:v>
                </c:pt>
                <c:pt idx="67">
                  <c:v>0.42731419116562697</c:v>
                </c:pt>
                <c:pt idx="68">
                  <c:v>0.43456684571108162</c:v>
                </c:pt>
                <c:pt idx="69">
                  <c:v>0.4418693038928998</c:v>
                </c:pt>
                <c:pt idx="70">
                  <c:v>0.44922156571108152</c:v>
                </c:pt>
                <c:pt idx="71">
                  <c:v>0.45662363116562699</c:v>
                </c:pt>
                <c:pt idx="72">
                  <c:v>0.46407550025653599</c:v>
                </c:pt>
                <c:pt idx="73">
                  <c:v>0.47157717298380875</c:v>
                </c:pt>
                <c:pt idx="74">
                  <c:v>0.47912864934744515</c:v>
                </c:pt>
                <c:pt idx="75">
                  <c:v>0.48672992934744513</c:v>
                </c:pt>
                <c:pt idx="76">
                  <c:v>0.49438101298380882</c:v>
                </c:pt>
                <c:pt idx="77">
                  <c:v>0.5020819002565361</c:v>
                </c:pt>
                <c:pt idx="78">
                  <c:v>0.50983259116562707</c:v>
                </c:pt>
                <c:pt idx="79">
                  <c:v>0.51763308571108158</c:v>
                </c:pt>
                <c:pt idx="80">
                  <c:v>0.52548338389289972</c:v>
                </c:pt>
                <c:pt idx="81">
                  <c:v>0.53338348571108152</c:v>
                </c:pt>
                <c:pt idx="82">
                  <c:v>0.54133339116562706</c:v>
                </c:pt>
                <c:pt idx="83">
                  <c:v>0.54933310025653614</c:v>
                </c:pt>
                <c:pt idx="84">
                  <c:v>0.55738261298380876</c:v>
                </c:pt>
                <c:pt idx="85">
                  <c:v>0.56548192934744512</c:v>
                </c:pt>
                <c:pt idx="86">
                  <c:v>0.57363104934744524</c:v>
                </c:pt>
                <c:pt idx="87">
                  <c:v>0.5818299729838089</c:v>
                </c:pt>
                <c:pt idx="88">
                  <c:v>0.59007870025653619</c:v>
                </c:pt>
                <c:pt idx="89">
                  <c:v>0.59837723116562702</c:v>
                </c:pt>
                <c:pt idx="90">
                  <c:v>0.60672556571108149</c:v>
                </c:pt>
                <c:pt idx="91">
                  <c:v>0.61512370389289972</c:v>
                </c:pt>
                <c:pt idx="92">
                  <c:v>0.62357164571108159</c:v>
                </c:pt>
                <c:pt idx="93">
                  <c:v>0.63206939116562721</c:v>
                </c:pt>
                <c:pt idx="94">
                  <c:v>0.64061694025653615</c:v>
                </c:pt>
                <c:pt idx="95">
                  <c:v>0.64921429298380895</c:v>
                </c:pt>
                <c:pt idx="96">
                  <c:v>0.65786144934744517</c:v>
                </c:pt>
                <c:pt idx="97">
                  <c:v>0.66655840934744526</c:v>
                </c:pt>
                <c:pt idx="98">
                  <c:v>0.67530517298380899</c:v>
                </c:pt>
                <c:pt idx="99">
                  <c:v>0.68410174025653592</c:v>
                </c:pt>
                <c:pt idx="100">
                  <c:v>0.69294811116562682</c:v>
                </c:pt>
                <c:pt idx="101">
                  <c:v>0.70184428571108171</c:v>
                </c:pt>
                <c:pt idx="102">
                  <c:v>0.71079026389289979</c:v>
                </c:pt>
                <c:pt idx="103">
                  <c:v>0.71978604571108162</c:v>
                </c:pt>
                <c:pt idx="104">
                  <c:v>0.7288316311656271</c:v>
                </c:pt>
                <c:pt idx="105">
                  <c:v>0.73792702025653645</c:v>
                </c:pt>
                <c:pt idx="106">
                  <c:v>0.74707221298380888</c:v>
                </c:pt>
                <c:pt idx="107">
                  <c:v>0.75626720934744529</c:v>
                </c:pt>
                <c:pt idx="108">
                  <c:v>0.76551200934744523</c:v>
                </c:pt>
                <c:pt idx="109">
                  <c:v>0.77480661298380904</c:v>
                </c:pt>
                <c:pt idx="110">
                  <c:v>0.78415102025653627</c:v>
                </c:pt>
                <c:pt idx="111">
                  <c:v>0.79354523116562725</c:v>
                </c:pt>
                <c:pt idx="112">
                  <c:v>0.80298924571108188</c:v>
                </c:pt>
                <c:pt idx="113">
                  <c:v>0.81248306389289993</c:v>
                </c:pt>
                <c:pt idx="114">
                  <c:v>0.82202668571108184</c:v>
                </c:pt>
                <c:pt idx="115">
                  <c:v>0.83162011116562717</c:v>
                </c:pt>
                <c:pt idx="116">
                  <c:v>0.84126334025653615</c:v>
                </c:pt>
                <c:pt idx="117">
                  <c:v>0.85095637298380877</c:v>
                </c:pt>
                <c:pt idx="118">
                  <c:v>0.86069920934744504</c:v>
                </c:pt>
                <c:pt idx="119">
                  <c:v>0.87049184934744539</c:v>
                </c:pt>
                <c:pt idx="120">
                  <c:v>0.88033429298380894</c:v>
                </c:pt>
                <c:pt idx="121">
                  <c:v>0.89022654025653614</c:v>
                </c:pt>
                <c:pt idx="122">
                  <c:v>0.90016859116562709</c:v>
                </c:pt>
                <c:pt idx="123">
                  <c:v>0.91016044571108146</c:v>
                </c:pt>
                <c:pt idx="124">
                  <c:v>0.92020210389290003</c:v>
                </c:pt>
                <c:pt idx="125">
                  <c:v>0.93029356571108157</c:v>
                </c:pt>
                <c:pt idx="126">
                  <c:v>0.94043483116562709</c:v>
                </c:pt>
                <c:pt idx="127">
                  <c:v>0.95062590025653637</c:v>
                </c:pt>
                <c:pt idx="128">
                  <c:v>0.96086677298380896</c:v>
                </c:pt>
                <c:pt idx="129">
                  <c:v>0.9711574493474453</c:v>
                </c:pt>
                <c:pt idx="130">
                  <c:v>0.98149792934744529</c:v>
                </c:pt>
                <c:pt idx="131">
                  <c:v>0.99188821298380903</c:v>
                </c:pt>
                <c:pt idx="132">
                  <c:v>1.0023283002565364</c:v>
                </c:pt>
                <c:pt idx="133">
                  <c:v>1.0128181911656271</c:v>
                </c:pt>
                <c:pt idx="134">
                  <c:v>1.0233578857110814</c:v>
                </c:pt>
                <c:pt idx="135">
                  <c:v>1.0339473838928999</c:v>
                </c:pt>
                <c:pt idx="136">
                  <c:v>1.0445866857110819</c:v>
                </c:pt>
                <c:pt idx="137">
                  <c:v>1.055275791165627</c:v>
                </c:pt>
                <c:pt idx="138">
                  <c:v>1.0660147002565363</c:v>
                </c:pt>
                <c:pt idx="139">
                  <c:v>1.0768034129838093</c:v>
                </c:pt>
                <c:pt idx="140">
                  <c:v>1.0876419293474453</c:v>
                </c:pt>
                <c:pt idx="141">
                  <c:v>1.0985302493474454</c:v>
                </c:pt>
                <c:pt idx="142">
                  <c:v>1.1094683729838088</c:v>
                </c:pt>
                <c:pt idx="143">
                  <c:v>1.120456300256536</c:v>
                </c:pt>
                <c:pt idx="144">
                  <c:v>1.131494031165627</c:v>
                </c:pt>
                <c:pt idx="145">
                  <c:v>1.1425815657110818</c:v>
                </c:pt>
                <c:pt idx="146">
                  <c:v>1.1537189038928999</c:v>
                </c:pt>
                <c:pt idx="147">
                  <c:v>1.1649060457110816</c:v>
                </c:pt>
                <c:pt idx="148">
                  <c:v>1.1761429911656269</c:v>
                </c:pt>
                <c:pt idx="149">
                  <c:v>1.1874297402565361</c:v>
                </c:pt>
                <c:pt idx="150">
                  <c:v>1.1987662929838092</c:v>
                </c:pt>
              </c:numCache>
            </c:numRef>
          </c:yVal>
          <c:smooth val="1"/>
          <c:extLst>
            <c:ext xmlns:c16="http://schemas.microsoft.com/office/drawing/2014/chart" uri="{C3380CC4-5D6E-409C-BE32-E72D297353CC}">
              <c16:uniqueId val="{00000002-901A-4CE4-83F4-75906C9CC573}"/>
            </c:ext>
          </c:extLst>
        </c:ser>
        <c:ser>
          <c:idx val="3"/>
          <c:order val="3"/>
          <c:tx>
            <c:v>RCS</c:v>
          </c:tx>
          <c:spPr>
            <a:ln>
              <a:solidFill>
                <a:schemeClr val="accent5">
                  <a:lumMod val="75000"/>
                </a:schemeClr>
              </a:solidFill>
              <a:prstDash val="lgDashDotDot"/>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Eff_vs_IOUT!$AP$7:$AP$157</c:f>
              <c:numCache>
                <c:formatCode>General</c:formatCode>
                <c:ptCount val="151"/>
                <c:pt idx="0">
                  <c:v>2.8390168509244825E-3</c:v>
                </c:pt>
                <c:pt idx="1">
                  <c:v>2.8844343715856398E-3</c:v>
                </c:pt>
                <c:pt idx="2">
                  <c:v>3.0206869335691108E-3</c:v>
                </c:pt>
                <c:pt idx="3">
                  <c:v>3.2477745368748958E-3</c:v>
                </c:pt>
                <c:pt idx="4">
                  <c:v>3.565697181502995E-3</c:v>
                </c:pt>
                <c:pt idx="5">
                  <c:v>3.9744548674534082E-3</c:v>
                </c:pt>
                <c:pt idx="6">
                  <c:v>4.4740475947261348E-3</c:v>
                </c:pt>
                <c:pt idx="7">
                  <c:v>5.0644753633211758E-3</c:v>
                </c:pt>
                <c:pt idx="8">
                  <c:v>5.7457381732385331E-3</c:v>
                </c:pt>
                <c:pt idx="9">
                  <c:v>6.5178360244782007E-3</c:v>
                </c:pt>
                <c:pt idx="10">
                  <c:v>7.3807689170401845E-3</c:v>
                </c:pt>
                <c:pt idx="11">
                  <c:v>8.3345368509244819E-3</c:v>
                </c:pt>
                <c:pt idx="12">
                  <c:v>9.379139826131094E-3</c:v>
                </c:pt>
                <c:pt idx="13">
                  <c:v>1.0514577842660021E-2</c:v>
                </c:pt>
                <c:pt idx="14">
                  <c:v>1.1740850900511262E-2</c:v>
                </c:pt>
                <c:pt idx="15">
                  <c:v>1.3057958999684814E-2</c:v>
                </c:pt>
                <c:pt idx="16">
                  <c:v>1.4465902140180682E-2</c:v>
                </c:pt>
                <c:pt idx="17">
                  <c:v>1.5964680321998864E-2</c:v>
                </c:pt>
                <c:pt idx="18">
                  <c:v>1.7554293545139356E-2</c:v>
                </c:pt>
                <c:pt idx="19">
                  <c:v>1.9234741809602166E-2</c:v>
                </c:pt>
                <c:pt idx="20">
                  <c:v>2.1006025115387298E-2</c:v>
                </c:pt>
                <c:pt idx="21">
                  <c:v>2.2868143462494731E-2</c:v>
                </c:pt>
                <c:pt idx="22">
                  <c:v>2.4821096850924484E-2</c:v>
                </c:pt>
                <c:pt idx="23">
                  <c:v>2.6864885280676553E-2</c:v>
                </c:pt>
                <c:pt idx="24">
                  <c:v>2.8999508751750922E-2</c:v>
                </c:pt>
                <c:pt idx="25">
                  <c:v>3.1224967264147623E-2</c:v>
                </c:pt>
                <c:pt idx="26">
                  <c:v>3.3541260817866632E-2</c:v>
                </c:pt>
                <c:pt idx="27">
                  <c:v>3.5948389412907948E-2</c:v>
                </c:pt>
                <c:pt idx="28">
                  <c:v>3.8446353049271596E-2</c:v>
                </c:pt>
                <c:pt idx="29">
                  <c:v>4.1035151726957528E-2</c:v>
                </c:pt>
                <c:pt idx="30">
                  <c:v>4.3714785445965812E-2</c:v>
                </c:pt>
                <c:pt idx="31">
                  <c:v>4.6485254206296379E-2</c:v>
                </c:pt>
                <c:pt idx="32">
                  <c:v>4.9346558007949286E-2</c:v>
                </c:pt>
                <c:pt idx="33">
                  <c:v>5.2298696850924475E-2</c:v>
                </c:pt>
                <c:pt idx="34">
                  <c:v>5.5341670735222018E-2</c:v>
                </c:pt>
                <c:pt idx="35">
                  <c:v>5.8475479660841843E-2</c:v>
                </c:pt>
                <c:pt idx="36">
                  <c:v>6.1700123627783973E-2</c:v>
                </c:pt>
                <c:pt idx="37">
                  <c:v>6.5015602636048428E-2</c:v>
                </c:pt>
                <c:pt idx="38">
                  <c:v>6.8421916685635242E-2</c:v>
                </c:pt>
                <c:pt idx="39">
                  <c:v>7.1919065776544319E-2</c:v>
                </c:pt>
                <c:pt idx="40">
                  <c:v>7.5507049908775728E-2</c:v>
                </c:pt>
                <c:pt idx="41">
                  <c:v>7.9185869082329469E-2</c:v>
                </c:pt>
                <c:pt idx="42">
                  <c:v>8.295552329720543E-2</c:v>
                </c:pt>
                <c:pt idx="43">
                  <c:v>8.6816012553403793E-2</c:v>
                </c:pt>
                <c:pt idx="44">
                  <c:v>9.0767336850924488E-2</c:v>
                </c:pt>
                <c:pt idx="45">
                  <c:v>9.4809496189767445E-2</c:v>
                </c:pt>
                <c:pt idx="46">
                  <c:v>9.8942490569932748E-2</c:v>
                </c:pt>
                <c:pt idx="47">
                  <c:v>0.10316631999142033</c:v>
                </c:pt>
                <c:pt idx="48">
                  <c:v>0.10748098445423024</c:v>
                </c:pt>
                <c:pt idx="49">
                  <c:v>0.11188648395836247</c:v>
                </c:pt>
                <c:pt idx="50">
                  <c:v>0.11638281850381701</c:v>
                </c:pt>
                <c:pt idx="51">
                  <c:v>0.12096998809059389</c:v>
                </c:pt>
                <c:pt idx="52">
                  <c:v>0.12564799271869309</c:v>
                </c:pt>
                <c:pt idx="53">
                  <c:v>0.13041683238811455</c:v>
                </c:pt>
                <c:pt idx="54">
                  <c:v>0.13527650709885836</c:v>
                </c:pt>
                <c:pt idx="55">
                  <c:v>0.14022701685092451</c:v>
                </c:pt>
                <c:pt idx="56">
                  <c:v>0.14526836164431292</c:v>
                </c:pt>
                <c:pt idx="57">
                  <c:v>0.15040054147902371</c:v>
                </c:pt>
                <c:pt idx="58">
                  <c:v>0.15562355635505667</c:v>
                </c:pt>
                <c:pt idx="59">
                  <c:v>0.16093740627241204</c:v>
                </c:pt>
                <c:pt idx="60">
                  <c:v>0.16634209123108984</c:v>
                </c:pt>
                <c:pt idx="61">
                  <c:v>0.17183761123108982</c:v>
                </c:pt>
                <c:pt idx="62">
                  <c:v>0.17742396627241211</c:v>
                </c:pt>
                <c:pt idx="63">
                  <c:v>0.18310115635505669</c:v>
                </c:pt>
                <c:pt idx="64">
                  <c:v>0.18886918147902368</c:v>
                </c:pt>
                <c:pt idx="65">
                  <c:v>0.1947280416443129</c:v>
                </c:pt>
                <c:pt idx="66">
                  <c:v>0.20067773685092452</c:v>
                </c:pt>
                <c:pt idx="67">
                  <c:v>0.20671826709885835</c:v>
                </c:pt>
                <c:pt idx="68">
                  <c:v>0.21284963238811463</c:v>
                </c:pt>
                <c:pt idx="69">
                  <c:v>0.21907183271869315</c:v>
                </c:pt>
                <c:pt idx="70">
                  <c:v>0.22538486809059388</c:v>
                </c:pt>
                <c:pt idx="71">
                  <c:v>0.23178873850381704</c:v>
                </c:pt>
                <c:pt idx="72">
                  <c:v>0.23828344395836246</c:v>
                </c:pt>
                <c:pt idx="73">
                  <c:v>0.24486898445423025</c:v>
                </c:pt>
                <c:pt idx="74">
                  <c:v>0.2515453599914203</c:v>
                </c:pt>
                <c:pt idx="75">
                  <c:v>0.25831257056993279</c:v>
                </c:pt>
                <c:pt idx="76">
                  <c:v>0.26517061618976751</c:v>
                </c:pt>
                <c:pt idx="77">
                  <c:v>0.27211949685092451</c:v>
                </c:pt>
                <c:pt idx="78">
                  <c:v>0.27915921255340387</c:v>
                </c:pt>
                <c:pt idx="79">
                  <c:v>0.28628976329720546</c:v>
                </c:pt>
                <c:pt idx="80">
                  <c:v>0.29351114908232945</c:v>
                </c:pt>
                <c:pt idx="81">
                  <c:v>0.30082336990877567</c:v>
                </c:pt>
                <c:pt idx="82">
                  <c:v>0.30822642577654447</c:v>
                </c:pt>
                <c:pt idx="83">
                  <c:v>0.31572031668563522</c:v>
                </c:pt>
                <c:pt idx="84">
                  <c:v>0.32330504263604842</c:v>
                </c:pt>
                <c:pt idx="85">
                  <c:v>0.33098060362778386</c:v>
                </c:pt>
                <c:pt idx="86">
                  <c:v>0.33874699966084176</c:v>
                </c:pt>
                <c:pt idx="87">
                  <c:v>0.3466042307352219</c:v>
                </c:pt>
                <c:pt idx="88">
                  <c:v>0.35455229685092438</c:v>
                </c:pt>
                <c:pt idx="89">
                  <c:v>0.36259119800794926</c:v>
                </c:pt>
                <c:pt idx="90">
                  <c:v>0.3707209342062962</c:v>
                </c:pt>
                <c:pt idx="91">
                  <c:v>0.37894150544596583</c:v>
                </c:pt>
                <c:pt idx="92">
                  <c:v>0.38725291172695747</c:v>
                </c:pt>
                <c:pt idx="93">
                  <c:v>0.39565515304927162</c:v>
                </c:pt>
                <c:pt idx="94">
                  <c:v>0.40414822941290784</c:v>
                </c:pt>
                <c:pt idx="95">
                  <c:v>0.41273214081786658</c:v>
                </c:pt>
                <c:pt idx="96">
                  <c:v>0.4214068872641476</c:v>
                </c:pt>
                <c:pt idx="97">
                  <c:v>0.43017246875175097</c:v>
                </c:pt>
                <c:pt idx="98">
                  <c:v>0.43902888528067641</c:v>
                </c:pt>
                <c:pt idx="99">
                  <c:v>0.44797613685092436</c:v>
                </c:pt>
                <c:pt idx="100">
                  <c:v>0.45701422346249465</c:v>
                </c:pt>
                <c:pt idx="101">
                  <c:v>0.46614314511538746</c:v>
                </c:pt>
                <c:pt idx="102">
                  <c:v>0.47536290180960211</c:v>
                </c:pt>
                <c:pt idx="103">
                  <c:v>0.48467349354513933</c:v>
                </c:pt>
                <c:pt idx="104">
                  <c:v>0.49407492032199885</c:v>
                </c:pt>
                <c:pt idx="105">
                  <c:v>0.5035671821401807</c:v>
                </c:pt>
                <c:pt idx="106">
                  <c:v>0.51315027899968468</c:v>
                </c:pt>
                <c:pt idx="107">
                  <c:v>0.52282421090051123</c:v>
                </c:pt>
                <c:pt idx="108">
                  <c:v>0.53258897784266002</c:v>
                </c:pt>
                <c:pt idx="109">
                  <c:v>0.54244457982613103</c:v>
                </c:pt>
                <c:pt idx="110">
                  <c:v>0.55239101685092451</c:v>
                </c:pt>
                <c:pt idx="111">
                  <c:v>0.56242828891704022</c:v>
                </c:pt>
                <c:pt idx="112">
                  <c:v>0.57255639602447839</c:v>
                </c:pt>
                <c:pt idx="113">
                  <c:v>0.58277533817323857</c:v>
                </c:pt>
                <c:pt idx="114">
                  <c:v>0.59308511536332131</c:v>
                </c:pt>
                <c:pt idx="115">
                  <c:v>0.60348572759472607</c:v>
                </c:pt>
                <c:pt idx="116">
                  <c:v>0.61397717486745318</c:v>
                </c:pt>
                <c:pt idx="117">
                  <c:v>0.62455945718150296</c:v>
                </c:pt>
                <c:pt idx="118">
                  <c:v>0.63523257453687465</c:v>
                </c:pt>
                <c:pt idx="119">
                  <c:v>0.64599652693356902</c:v>
                </c:pt>
                <c:pt idx="120">
                  <c:v>0.65685131437158573</c:v>
                </c:pt>
                <c:pt idx="121">
                  <c:v>0.66779693685092434</c:v>
                </c:pt>
                <c:pt idx="122">
                  <c:v>0.67883339437158574</c:v>
                </c:pt>
                <c:pt idx="123">
                  <c:v>0.68996068693356871</c:v>
                </c:pt>
                <c:pt idx="124">
                  <c:v>0.70117881453687492</c:v>
                </c:pt>
                <c:pt idx="125">
                  <c:v>0.7124877771815028</c:v>
                </c:pt>
                <c:pt idx="126">
                  <c:v>0.72388757486745325</c:v>
                </c:pt>
                <c:pt idx="127">
                  <c:v>0.73537820759472627</c:v>
                </c:pt>
                <c:pt idx="128">
                  <c:v>0.7469596753633212</c:v>
                </c:pt>
                <c:pt idx="129">
                  <c:v>0.75863197817323846</c:v>
                </c:pt>
                <c:pt idx="130">
                  <c:v>0.77039511602447808</c:v>
                </c:pt>
                <c:pt idx="131">
                  <c:v>0.78224908891704026</c:v>
                </c:pt>
                <c:pt idx="132">
                  <c:v>0.79419389685092467</c:v>
                </c:pt>
                <c:pt idx="133">
                  <c:v>0.80622953982613088</c:v>
                </c:pt>
                <c:pt idx="134">
                  <c:v>0.81835601784265988</c:v>
                </c:pt>
                <c:pt idx="135">
                  <c:v>0.83057333090051133</c:v>
                </c:pt>
                <c:pt idx="136">
                  <c:v>0.84288147899968491</c:v>
                </c:pt>
                <c:pt idx="137">
                  <c:v>0.8552804621401805</c:v>
                </c:pt>
                <c:pt idx="138">
                  <c:v>0.8677702803219991</c:v>
                </c:pt>
                <c:pt idx="139">
                  <c:v>0.8803509335451396</c:v>
                </c:pt>
                <c:pt idx="140">
                  <c:v>0.89302242180960234</c:v>
                </c:pt>
                <c:pt idx="141">
                  <c:v>0.90578474511538742</c:v>
                </c:pt>
                <c:pt idx="142">
                  <c:v>0.91863790346249452</c:v>
                </c:pt>
                <c:pt idx="143">
                  <c:v>0.93158189685092407</c:v>
                </c:pt>
                <c:pt idx="144">
                  <c:v>0.94461672528067619</c:v>
                </c:pt>
                <c:pt idx="145">
                  <c:v>0.95774238875175077</c:v>
                </c:pt>
                <c:pt idx="146">
                  <c:v>0.97095888726414759</c:v>
                </c:pt>
                <c:pt idx="147">
                  <c:v>0.98426622081786641</c:v>
                </c:pt>
                <c:pt idx="148">
                  <c:v>0.99766438941290758</c:v>
                </c:pt>
                <c:pt idx="149">
                  <c:v>1.0111533930492718</c:v>
                </c:pt>
                <c:pt idx="150">
                  <c:v>1.0247332317269575</c:v>
                </c:pt>
              </c:numCache>
            </c:numRef>
          </c:yVal>
          <c:smooth val="1"/>
          <c:extLst>
            <c:ext xmlns:c16="http://schemas.microsoft.com/office/drawing/2014/chart" uri="{C3380CC4-5D6E-409C-BE32-E72D297353CC}">
              <c16:uniqueId val="{00000003-901A-4CE4-83F4-75906C9CC573}"/>
            </c:ext>
          </c:extLst>
        </c:ser>
        <c:dLbls>
          <c:showLegendKey val="0"/>
          <c:showVal val="0"/>
          <c:showCatName val="0"/>
          <c:showSerName val="0"/>
          <c:showPercent val="0"/>
          <c:showBubbleSize val="0"/>
        </c:dLbls>
        <c:axId val="361467264"/>
        <c:axId val="361465344"/>
      </c:scatterChart>
      <c:valAx>
        <c:axId val="361445248"/>
        <c:scaling>
          <c:orientation val="minMax"/>
        </c:scaling>
        <c:delete val="0"/>
        <c:axPos val="b"/>
        <c:majorGridlines/>
        <c:numFmt formatCode="General" sourceLinked="1"/>
        <c:majorTickMark val="out"/>
        <c:minorTickMark val="none"/>
        <c:tickLblPos val="nextTo"/>
        <c:crossAx val="361446784"/>
        <c:crosses val="autoZero"/>
        <c:crossBetween val="midCat"/>
      </c:valAx>
      <c:valAx>
        <c:axId val="361446784"/>
        <c:scaling>
          <c:orientation val="minMax"/>
          <c:max val="100"/>
          <c:min val="60"/>
        </c:scaling>
        <c:delete val="0"/>
        <c:axPos val="l"/>
        <c:majorGridlines/>
        <c:title>
          <c:tx>
            <c:rich>
              <a:bodyPr rot="-5400000" vert="horz"/>
              <a:lstStyle/>
              <a:p>
                <a:pPr>
                  <a:defRPr sz="1400"/>
                </a:pPr>
                <a:r>
                  <a:rPr lang="en-US" sz="1400"/>
                  <a:t>Efficiency</a:t>
                </a:r>
                <a:r>
                  <a:rPr lang="en-US" sz="1400" baseline="0"/>
                  <a:t> (%)</a:t>
                </a:r>
                <a:endParaRPr lang="en-US" sz="1400"/>
              </a:p>
            </c:rich>
          </c:tx>
          <c:overlay val="0"/>
        </c:title>
        <c:numFmt formatCode="General" sourceLinked="1"/>
        <c:majorTickMark val="out"/>
        <c:minorTickMark val="none"/>
        <c:tickLblPos val="nextTo"/>
        <c:crossAx val="361445248"/>
        <c:crosses val="autoZero"/>
        <c:crossBetween val="midCat"/>
      </c:valAx>
      <c:valAx>
        <c:axId val="361465344"/>
        <c:scaling>
          <c:orientation val="minMax"/>
        </c:scaling>
        <c:delete val="0"/>
        <c:axPos val="r"/>
        <c:title>
          <c:tx>
            <c:rich>
              <a:bodyPr rot="-5400000" vert="horz"/>
              <a:lstStyle/>
              <a:p>
                <a:pPr>
                  <a:defRPr sz="1400"/>
                </a:pPr>
                <a:r>
                  <a:rPr lang="en-US" sz="1400"/>
                  <a:t>Losses</a:t>
                </a:r>
                <a:r>
                  <a:rPr lang="en-US" sz="1400" baseline="0"/>
                  <a:t> (W)</a:t>
                </a:r>
                <a:endParaRPr lang="en-US" sz="1400"/>
              </a:p>
            </c:rich>
          </c:tx>
          <c:overlay val="0"/>
        </c:title>
        <c:numFmt formatCode="General" sourceLinked="1"/>
        <c:majorTickMark val="out"/>
        <c:minorTickMark val="none"/>
        <c:tickLblPos val="nextTo"/>
        <c:crossAx val="361467264"/>
        <c:crosses val="max"/>
        <c:crossBetween val="midCat"/>
      </c:valAx>
      <c:valAx>
        <c:axId val="361467264"/>
        <c:scaling>
          <c:orientation val="minMax"/>
        </c:scaling>
        <c:delete val="1"/>
        <c:axPos val="b"/>
        <c:title>
          <c:tx>
            <c:rich>
              <a:bodyPr/>
              <a:lstStyle/>
              <a:p>
                <a:pPr>
                  <a:defRPr/>
                </a:pPr>
                <a:r>
                  <a:rPr lang="en-US"/>
                  <a:t>Loac</a:t>
                </a:r>
                <a:r>
                  <a:rPr lang="en-US" baseline="0"/>
                  <a:t> Current (A)</a:t>
                </a:r>
                <a:endParaRPr lang="en-US"/>
              </a:p>
            </c:rich>
          </c:tx>
          <c:overlay val="0"/>
        </c:title>
        <c:numFmt formatCode="General" sourceLinked="1"/>
        <c:majorTickMark val="out"/>
        <c:minorTickMark val="none"/>
        <c:tickLblPos val="nextTo"/>
        <c:crossAx val="361465344"/>
        <c:crosses val="autoZero"/>
        <c:crossBetween val="midCat"/>
      </c:valAx>
    </c:plotArea>
    <c:legend>
      <c:legendPos val="r"/>
      <c:layout>
        <c:manualLayout>
          <c:xMode val="edge"/>
          <c:yMode val="edge"/>
          <c:x val="0.51894403926190358"/>
          <c:y val="6.4862204724409449E-3"/>
          <c:w val="0.39609572935704079"/>
          <c:h val="0.12183653099700564"/>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CCM Plant Transfer</a:t>
            </a:r>
            <a:r>
              <a:rPr lang="en-US" baseline="0"/>
              <a:t> Function</a:t>
            </a:r>
            <a:endParaRPr lang="en-US"/>
          </a:p>
        </c:rich>
      </c:tx>
      <c:overlay val="0"/>
    </c:title>
    <c:autoTitleDeleted val="0"/>
    <c:plotArea>
      <c:layout/>
      <c:scatterChart>
        <c:scatterStyle val="smoothMarker"/>
        <c:varyColors val="0"/>
        <c:ser>
          <c:idx val="0"/>
          <c:order val="0"/>
          <c:tx>
            <c:v>Gain(dB)</c:v>
          </c:tx>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Loop_Modeling!$AD$19:$AD$560</c:f>
              <c:numCache>
                <c:formatCode>0.000</c:formatCode>
                <c:ptCount val="542"/>
                <c:pt idx="0">
                  <c:v>36.228187635862405</c:v>
                </c:pt>
                <c:pt idx="1">
                  <c:v>36.216111515557593</c:v>
                </c:pt>
                <c:pt idx="2">
                  <c:v>36.203502152682013</c:v>
                </c:pt>
                <c:pt idx="3">
                  <c:v>36.1903376506719</c:v>
                </c:pt>
                <c:pt idx="4">
                  <c:v>36.176595361604747</c:v>
                </c:pt>
                <c:pt idx="5">
                  <c:v>36.162251873636123</c:v>
                </c:pt>
                <c:pt idx="6">
                  <c:v>36.147282999503119</c:v>
                </c:pt>
                <c:pt idx="7">
                  <c:v>36.131663766237722</c:v>
                </c:pt>
                <c:pt idx="8">
                  <c:v>36.115368406242872</c:v>
                </c:pt>
                <c:pt idx="9">
                  <c:v>36.098370349890942</c:v>
                </c:pt>
                <c:pt idx="10">
                  <c:v>36.080642219813399</c:v>
                </c:pt>
                <c:pt idx="11">
                  <c:v>36.062155827057566</c:v>
                </c:pt>
                <c:pt idx="12">
                  <c:v>36.042882169293541</c:v>
                </c:pt>
                <c:pt idx="13">
                  <c:v>36.022791431260941</c:v>
                </c:pt>
                <c:pt idx="14">
                  <c:v>36.001852987650921</c:v>
                </c:pt>
                <c:pt idx="15">
                  <c:v>35.980035408623536</c:v>
                </c:pt>
                <c:pt idx="16">
                  <c:v>35.957306468164163</c:v>
                </c:pt>
                <c:pt idx="17">
                  <c:v>35.933633155485417</c:v>
                </c:pt>
                <c:pt idx="18">
                  <c:v>35.908981689680935</c:v>
                </c:pt>
                <c:pt idx="19">
                  <c:v>35.883317537837513</c:v>
                </c:pt>
                <c:pt idx="20">
                  <c:v>35.856605436808493</c:v>
                </c:pt>
                <c:pt idx="21">
                  <c:v>35.828809418846362</c:v>
                </c:pt>
                <c:pt idx="22">
                  <c:v>35.799892841285875</c:v>
                </c:pt>
                <c:pt idx="23">
                  <c:v>35.769818420457625</c:v>
                </c:pt>
                <c:pt idx="24">
                  <c:v>35.738548270001012</c:v>
                </c:pt>
                <c:pt idx="25">
                  <c:v>35.706043943728289</c:v>
                </c:pt>
                <c:pt idx="26">
                  <c:v>35.672266483173928</c:v>
                </c:pt>
                <c:pt idx="27">
                  <c:v>35.637176469940421</c:v>
                </c:pt>
                <c:pt idx="28">
                  <c:v>35.600734082926834</c:v>
                </c:pt>
                <c:pt idx="29">
                  <c:v>35.562899160497714</c:v>
                </c:pt>
                <c:pt idx="30">
                  <c:v>35.523631267617212</c:v>
                </c:pt>
                <c:pt idx="31">
                  <c:v>35.48288976793809</c:v>
                </c:pt>
                <c:pt idx="32">
                  <c:v>35.440633900796321</c:v>
                </c:pt>
                <c:pt idx="33">
                  <c:v>35.396822863019537</c:v>
                </c:pt>
                <c:pt idx="34">
                  <c:v>35.351415895413368</c:v>
                </c:pt>
                <c:pt idx="35">
                  <c:v>35.304372373741529</c:v>
                </c:pt>
                <c:pt idx="36">
                  <c:v>35.255651903966104</c:v>
                </c:pt>
                <c:pt idx="37">
                  <c:v>35.205214421463381</c:v>
                </c:pt>
                <c:pt idx="38">
                  <c:v>35.153020293877262</c:v>
                </c:pt>
                <c:pt idx="39">
                  <c:v>35.099030427220463</c:v>
                </c:pt>
                <c:pt idx="40">
                  <c:v>35.043206374779402</c:v>
                </c:pt>
                <c:pt idx="41">
                  <c:v>34.985510448327915</c:v>
                </c:pt>
                <c:pt idx="42">
                  <c:v>34.925905831104323</c:v>
                </c:pt>
                <c:pt idx="43">
                  <c:v>34.864356691959266</c:v>
                </c:pt>
                <c:pt idx="44">
                  <c:v>34.800828300037097</c:v>
                </c:pt>
                <c:pt idx="45">
                  <c:v>34.735287139315318</c:v>
                </c:pt>
                <c:pt idx="46">
                  <c:v>34.667701022291332</c:v>
                </c:pt>
                <c:pt idx="47">
                  <c:v>34.598039202078994</c:v>
                </c:pt>
                <c:pt idx="48">
                  <c:v>34.52627248215591</c:v>
                </c:pt>
                <c:pt idx="49">
                  <c:v>34.452373322989622</c:v>
                </c:pt>
                <c:pt idx="50">
                  <c:v>34.376315944766745</c:v>
                </c:pt>
                <c:pt idx="51">
                  <c:v>34.298076425452727</c:v>
                </c:pt>
                <c:pt idx="52">
                  <c:v>34.217632793424109</c:v>
                </c:pt>
                <c:pt idx="53">
                  <c:v>34.134965113938264</c:v>
                </c:pt>
                <c:pt idx="54">
                  <c:v>34.050055568738784</c:v>
                </c:pt>
                <c:pt idx="55">
                  <c:v>33.962888528135984</c:v>
                </c:pt>
                <c:pt idx="56">
                  <c:v>33.873450614955011</c:v>
                </c:pt>
                <c:pt idx="57">
                  <c:v>33.781730759802542</c:v>
                </c:pt>
                <c:pt idx="58">
                  <c:v>33.687720247172393</c:v>
                </c:pt>
                <c:pt idx="59">
                  <c:v>33.59141275198467</c:v>
                </c:pt>
                <c:pt idx="60">
                  <c:v>33.492804366234544</c:v>
                </c:pt>
                <c:pt idx="61">
                  <c:v>33.391893615512942</c:v>
                </c:pt>
                <c:pt idx="62">
                  <c:v>33.288681465251138</c:v>
                </c:pt>
                <c:pt idx="63">
                  <c:v>33.18317131663273</c:v>
                </c:pt>
                <c:pt idx="64">
                  <c:v>33.075368992210286</c:v>
                </c:pt>
                <c:pt idx="65">
                  <c:v>32.965282711355371</c:v>
                </c:pt>
                <c:pt idx="66">
                  <c:v>32.852923055761096</c:v>
                </c:pt>
                <c:pt idx="67">
                  <c:v>32.738302925304296</c:v>
                </c:pt>
                <c:pt idx="68">
                  <c:v>32.621437484654891</c:v>
                </c:pt>
                <c:pt idx="69">
                  <c:v>32.502344101098203</c:v>
                </c:pt>
                <c:pt idx="70">
                  <c:v>32.381042274104821</c:v>
                </c:pt>
                <c:pt idx="71">
                  <c:v>32.25755355724435</c:v>
                </c:pt>
                <c:pt idx="72">
                  <c:v>32.13190147309308</c:v>
                </c:pt>
                <c:pt idx="73">
                  <c:v>32.004111421829215</c:v>
                </c:pt>
                <c:pt idx="74">
                  <c:v>31.874210584245638</c:v>
                </c:pt>
                <c:pt idx="75">
                  <c:v>31.742227819932587</c:v>
                </c:pt>
                <c:pt idx="76">
                  <c:v>31.60819356140243</c:v>
                </c:pt>
                <c:pt idx="77">
                  <c:v>31.472139704930285</c:v>
                </c:pt>
                <c:pt idx="78">
                  <c:v>31.334099498886165</c:v>
                </c:pt>
                <c:pt idx="79">
                  <c:v>31.194107430318962</c:v>
                </c:pt>
                <c:pt idx="80">
                  <c:v>31.052199110536627</c:v>
                </c:pt>
                <c:pt idx="81">
                  <c:v>30.908411160397907</c:v>
                </c:pt>
                <c:pt idx="82">
                  <c:v>30.762781096000225</c:v>
                </c:pt>
                <c:pt idx="83">
                  <c:v>30.61534721540886</c:v>
                </c:pt>
                <c:pt idx="84">
                  <c:v>30.466148487028857</c:v>
                </c:pt>
                <c:pt idx="85">
                  <c:v>30.315224440176955</c:v>
                </c:pt>
                <c:pt idx="86">
                  <c:v>30.162615058357321</c:v>
                </c:pt>
                <c:pt idx="87">
                  <c:v>30.008360675697364</c:v>
                </c:pt>
                <c:pt idx="88">
                  <c:v>29.852501876943663</c:v>
                </c:pt>
                <c:pt idx="89">
                  <c:v>29.695079401367611</c:v>
                </c:pt>
                <c:pt idx="90">
                  <c:v>29.536134050875809</c:v>
                </c:pt>
                <c:pt idx="91">
                  <c:v>29.375706602570393</c:v>
                </c:pt>
                <c:pt idx="92">
                  <c:v>29.213837725951684</c:v>
                </c:pt>
                <c:pt idx="93">
                  <c:v>29.050567904911446</c:v>
                </c:pt>
                <c:pt idx="94">
                  <c:v>28.88593736461528</c:v>
                </c:pt>
                <c:pt idx="95">
                  <c:v>28.71998600333319</c:v>
                </c:pt>
                <c:pt idx="96">
                  <c:v>28.552753329236907</c:v>
                </c:pt>
                <c:pt idx="97">
                  <c:v>28.38427840214457</c:v>
                </c:pt>
                <c:pt idx="98">
                  <c:v>28.21459978016383</c:v>
                </c:pt>
                <c:pt idx="99">
                  <c:v>28.043755471150867</c:v>
                </c:pt>
                <c:pt idx="100">
                  <c:v>27.871782888880414</c:v>
                </c:pt>
                <c:pt idx="101">
                  <c:v>27.698718813796503</c:v>
                </c:pt>
                <c:pt idx="102">
                  <c:v>27.524599358195619</c:v>
                </c:pt>
                <c:pt idx="103">
                  <c:v>27.349459935677185</c:v>
                </c:pt>
                <c:pt idx="104">
                  <c:v>27.173335234682735</c:v>
                </c:pt>
                <c:pt idx="105">
                  <c:v>26.996259195935224</c:v>
                </c:pt>
                <c:pt idx="106">
                  <c:v>26.818264993581629</c:v>
                </c:pt>
                <c:pt idx="107">
                  <c:v>26.639385019836478</c:v>
                </c:pt>
                <c:pt idx="108">
                  <c:v>26.459650872920875</c:v>
                </c:pt>
                <c:pt idx="109">
                  <c:v>26.279093348089916</c:v>
                </c:pt>
                <c:pt idx="110">
                  <c:v>26.097742431542443</c:v>
                </c:pt>
                <c:pt idx="111">
                  <c:v>25.915627297008594</c:v>
                </c:pt>
                <c:pt idx="112">
                  <c:v>25.732776304814159</c:v>
                </c:pt>
                <c:pt idx="113">
                  <c:v>25.549217003225017</c:v>
                </c:pt>
                <c:pt idx="114">
                  <c:v>25.364976131881541</c:v>
                </c:pt>
                <c:pt idx="115">
                  <c:v>25.180079627137278</c:v>
                </c:pt>
                <c:pt idx="116">
                  <c:v>24.994552629125543</c:v>
                </c:pt>
                <c:pt idx="117">
                  <c:v>24.808419490383233</c:v>
                </c:pt>
                <c:pt idx="118">
                  <c:v>24.621703785869556</c:v>
                </c:pt>
                <c:pt idx="119">
                  <c:v>24.434428324227191</c:v>
                </c:pt>
                <c:pt idx="120">
                  <c:v>24.246615160138436</c:v>
                </c:pt>
                <c:pt idx="121">
                  <c:v>24.058285607640968</c:v>
                </c:pt>
                <c:pt idx="122">
                  <c:v>23.869460254273797</c:v>
                </c:pt>
                <c:pt idx="123">
                  <c:v>23.680158975933267</c:v>
                </c:pt>
                <c:pt idx="124">
                  <c:v>23.4904009523271</c:v>
                </c:pt>
                <c:pt idx="125">
                  <c:v>23.300204682922853</c:v>
                </c:pt>
                <c:pt idx="126">
                  <c:v>23.109588003293275</c:v>
                </c:pt>
                <c:pt idx="127">
                  <c:v>22.918568101772362</c:v>
                </c:pt>
                <c:pt idx="128">
                  <c:v>22.727161536337931</c:v>
                </c:pt>
                <c:pt idx="129">
                  <c:v>22.535384251647521</c:v>
                </c:pt>
                <c:pt idx="130">
                  <c:v>22.343251596160513</c:v>
                </c:pt>
                <c:pt idx="131">
                  <c:v>22.150778339283413</c:v>
                </c:pt>
                <c:pt idx="132">
                  <c:v>21.95797868848317</c:v>
                </c:pt>
                <c:pt idx="133">
                  <c:v>21.764866306318709</c:v>
                </c:pt>
                <c:pt idx="134">
                  <c:v>21.571454327345943</c:v>
                </c:pt>
                <c:pt idx="135">
                  <c:v>21.377755374855496</c:v>
                </c:pt>
                <c:pt idx="136">
                  <c:v>21.183781577409185</c:v>
                </c:pt>
                <c:pt idx="137">
                  <c:v>20.989544585142433</c:v>
                </c:pt>
                <c:pt idx="138">
                  <c:v>20.795055585808058</c:v>
                </c:pt>
                <c:pt idx="139">
                  <c:v>20.600325320535116</c:v>
                </c:pt>
                <c:pt idx="140">
                  <c:v>20.405364099285563</c:v>
                </c:pt>
                <c:pt idx="141">
                  <c:v>20.210181815989689</c:v>
                </c:pt>
                <c:pt idx="142">
                  <c:v>20.014787963347381</c:v>
                </c:pt>
                <c:pt idx="143">
                  <c:v>19.819191647284235</c:v>
                </c:pt>
                <c:pt idx="144">
                  <c:v>19.623401601051974</c:v>
                </c:pt>
                <c:pt idx="145">
                  <c:v>19.427426198967773</c:v>
                </c:pt>
                <c:pt idx="146">
                  <c:v>19.231273469786775</c:v>
                </c:pt>
                <c:pt idx="147">
                  <c:v>19.034951109705005</c:v>
                </c:pt>
                <c:pt idx="148">
                  <c:v>18.838466494991195</c:v>
                </c:pt>
                <c:pt idx="149">
                  <c:v>18.641826694246816</c:v>
                </c:pt>
                <c:pt idx="150">
                  <c:v>18.445038480296432</c:v>
                </c:pt>
                <c:pt idx="151">
                  <c:v>18.248108341709763</c:v>
                </c:pt>
                <c:pt idx="152">
                  <c:v>18.051042493959628</c:v>
                </c:pt>
                <c:pt idx="153">
                  <c:v>17.853846890218776</c:v>
                </c:pt>
                <c:pt idx="154">
                  <c:v>17.656527231801967</c:v>
                </c:pt>
                <c:pt idx="155">
                  <c:v>17.459088978257743</c:v>
                </c:pt>
                <c:pt idx="156">
                  <c:v>17.261537357116708</c:v>
                </c:pt>
                <c:pt idx="157">
                  <c:v>17.063877373302677</c:v>
                </c:pt>
                <c:pt idx="158">
                  <c:v>16.866113818213879</c:v>
                </c:pt>
                <c:pt idx="159">
                  <c:v>16.668251278481904</c:v>
                </c:pt>
                <c:pt idx="160">
                  <c:v>16.470294144415373</c:v>
                </c:pt>
                <c:pt idx="161">
                  <c:v>16.272246618137064</c:v>
                </c:pt>
                <c:pt idx="162">
                  <c:v>16.07411272142226</c:v>
                </c:pt>
                <c:pt idx="163">
                  <c:v>15.875896303245625</c:v>
                </c:pt>
                <c:pt idx="164">
                  <c:v>15.677601047047002</c:v>
                </c:pt>
                <c:pt idx="165">
                  <c:v>15.479230477722075</c:v>
                </c:pt>
                <c:pt idx="166">
                  <c:v>15.280787968347347</c:v>
                </c:pt>
                <c:pt idx="167">
                  <c:v>15.082276746648589</c:v>
                </c:pt>
                <c:pt idx="168">
                  <c:v>14.883699901218549</c:v>
                </c:pt>
                <c:pt idx="169">
                  <c:v>14.685060387495199</c:v>
                </c:pt>
                <c:pt idx="170">
                  <c:v>14.48636103350535</c:v>
                </c:pt>
                <c:pt idx="171">
                  <c:v>14.287604545384626</c:v>
                </c:pt>
                <c:pt idx="172">
                  <c:v>14.088793512679676</c:v>
                </c:pt>
                <c:pt idx="173">
                  <c:v>13.88993041344046</c:v>
                </c:pt>
                <c:pt idx="174">
                  <c:v>13.691017619111641</c:v>
                </c:pt>
                <c:pt idx="175">
                  <c:v>13.492057399228228</c:v>
                </c:pt>
                <c:pt idx="176">
                  <c:v>13.293051925925594</c:v>
                </c:pt>
                <c:pt idx="177">
                  <c:v>13.094003278267277</c:v>
                </c:pt>
                <c:pt idx="178">
                  <c:v>12.894913446401475</c:v>
                </c:pt>
                <c:pt idx="179">
                  <c:v>12.695784335549373</c:v>
                </c:pt>
                <c:pt idx="180">
                  <c:v>12.496617769834995</c:v>
                </c:pt>
                <c:pt idx="181">
                  <c:v>12.297415495960015</c:v>
                </c:pt>
                <c:pt idx="182">
                  <c:v>12.098179186732246</c:v>
                </c:pt>
                <c:pt idx="183">
                  <c:v>11.898910444452316</c:v>
                </c:pt>
                <c:pt idx="184">
                  <c:v>11.699610804164722</c:v>
                </c:pt>
                <c:pt idx="185">
                  <c:v>11.500281736779536</c:v>
                </c:pt>
                <c:pt idx="186">
                  <c:v>11.300924652069153</c:v>
                </c:pt>
                <c:pt idx="187">
                  <c:v>11.101540901546477</c:v>
                </c:pt>
                <c:pt idx="188">
                  <c:v>10.902131781229272</c:v>
                </c:pt>
                <c:pt idx="189">
                  <c:v>10.702698534295598</c:v>
                </c:pt>
                <c:pt idx="190">
                  <c:v>10.503242353635251</c:v>
                </c:pt>
                <c:pt idx="191">
                  <c:v>10.303764384302168</c:v>
                </c:pt>
                <c:pt idx="192">
                  <c:v>10.104265725872096</c:v>
                </c:pt>
                <c:pt idx="193">
                  <c:v>9.9047474347096518</c:v>
                </c:pt>
                <c:pt idx="194">
                  <c:v>9.7052105261500046</c:v>
                </c:pt>
                <c:pt idx="195">
                  <c:v>9.5056559765981365</c:v>
                </c:pt>
                <c:pt idx="196">
                  <c:v>9.3060847255503703</c:v>
                </c:pt>
                <c:pt idx="197">
                  <c:v>9.1064976775420714</c:v>
                </c:pt>
                <c:pt idx="198">
                  <c:v>8.9068957040249401</c:v>
                </c:pt>
                <c:pt idx="199">
                  <c:v>8.7072796451776657</c:v>
                </c:pt>
                <c:pt idx="200">
                  <c:v>8.5076503116535473</c:v>
                </c:pt>
                <c:pt idx="201">
                  <c:v>8.308008486268605</c:v>
                </c:pt>
                <c:pt idx="202">
                  <c:v>8.1083549256329999</c:v>
                </c:pt>
                <c:pt idx="203">
                  <c:v>7.9086903617295956</c:v>
                </c:pt>
                <c:pt idx="204">
                  <c:v>7.7090155034424024</c:v>
                </c:pt>
                <c:pt idx="205">
                  <c:v>7.5093310380381064</c:v>
                </c:pt>
                <c:pt idx="206">
                  <c:v>7.3096376326033683</c:v>
                </c:pt>
                <c:pt idx="207">
                  <c:v>7.1099359354415101</c:v>
                </c:pt>
                <c:pt idx="208">
                  <c:v>6.9102265774301159</c:v>
                </c:pt>
                <c:pt idx="209">
                  <c:v>6.7105101733438532</c:v>
                </c:pt>
                <c:pt idx="210">
                  <c:v>6.5107873231438038</c:v>
                </c:pt>
                <c:pt idx="211">
                  <c:v>6.3110586132364235</c:v>
                </c:pt>
                <c:pt idx="212">
                  <c:v>6.1113246177054581</c:v>
                </c:pt>
                <c:pt idx="213">
                  <c:v>5.9115858995178101</c:v>
                </c:pt>
                <c:pt idx="214">
                  <c:v>5.7118430117071188</c:v>
                </c:pt>
                <c:pt idx="215">
                  <c:v>5.5120964985367005</c:v>
                </c:pt>
                <c:pt idx="216">
                  <c:v>5.3123468966447627</c:v>
                </c:pt>
                <c:pt idx="217">
                  <c:v>5.1125947361738779</c:v>
                </c:pt>
                <c:pt idx="218">
                  <c:v>4.9128405418869043</c:v>
                </c:pt>
                <c:pt idx="219">
                  <c:v>4.7130848342725997</c:v>
                </c:pt>
                <c:pt idx="220">
                  <c:v>4.5133281306414403</c:v>
                </c:pt>
                <c:pt idx="221">
                  <c:v>4.3135709462160197</c:v>
                </c:pt>
                <c:pt idx="222">
                  <c:v>4.1138137952167302</c:v>
                </c:pt>
                <c:pt idx="223">
                  <c:v>3.9140571919452198</c:v>
                </c:pt>
                <c:pt idx="224">
                  <c:v>3.7143016518687508</c:v>
                </c:pt>
                <c:pt idx="225">
                  <c:v>3.5145476927065782</c:v>
                </c:pt>
                <c:pt idx="226">
                  <c:v>3.3147958355209295</c:v>
                </c:pt>
                <c:pt idx="227">
                  <c:v>3.1150466058157358</c:v>
                </c:pt>
                <c:pt idx="228">
                  <c:v>2.915300534644139</c:v>
                </c:pt>
                <c:pt idx="229">
                  <c:v>2.715558159727121</c:v>
                </c:pt>
                <c:pt idx="230">
                  <c:v>2.515820026586963</c:v>
                </c:pt>
                <c:pt idx="231">
                  <c:v>2.3160866896961085</c:v>
                </c:pt>
                <c:pt idx="232">
                  <c:v>2.116358713645571</c:v>
                </c:pt>
                <c:pt idx="233">
                  <c:v>1.91663667433286</c:v>
                </c:pt>
                <c:pt idx="234">
                  <c:v>1.7169211601747478</c:v>
                </c:pt>
                <c:pt idx="235">
                  <c:v>1.5172127733455911</c:v>
                </c:pt>
                <c:pt idx="236">
                  <c:v>1.3175121310432547</c:v>
                </c:pt>
                <c:pt idx="237">
                  <c:v>1.1178198667877361</c:v>
                </c:pt>
                <c:pt idx="238">
                  <c:v>0.91813663175170468</c:v>
                </c:pt>
                <c:pt idx="239">
                  <c:v>0.71846309612902004</c:v>
                </c:pt>
                <c:pt idx="240">
                  <c:v>0.51879995054179018</c:v>
                </c:pt>
                <c:pt idx="241">
                  <c:v>0.31914790748938804</c:v>
                </c:pt>
                <c:pt idx="242">
                  <c:v>0.11950770284267824</c:v>
                </c:pt>
                <c:pt idx="243">
                  <c:v>-8.0119902613415728E-2</c:v>
                </c:pt>
                <c:pt idx="244">
                  <c:v>-0.27973412158632133</c:v>
                </c:pt>
                <c:pt idx="245">
                  <c:v>-0.47933413862821322</c:v>
                </c:pt>
                <c:pt idx="246">
                  <c:v>-0.67891910843014736</c:v>
                </c:pt>
                <c:pt idx="247">
                  <c:v>-0.87848815405540359</c:v>
                </c:pt>
                <c:pt idx="248">
                  <c:v>-1.0780403651080099</c:v>
                </c:pt>
                <c:pt idx="249">
                  <c:v>-1.277574795833091</c:v>
                </c:pt>
                <c:pt idx="250">
                  <c:v>-1.4770904631451605</c:v>
                </c:pt>
                <c:pt idx="251">
                  <c:v>-1.6765863445803633</c:v>
                </c:pt>
                <c:pt idx="252">
                  <c:v>-1.8760613761686953</c:v>
                </c:pt>
                <c:pt idx="253">
                  <c:v>-2.0755144502223883</c:v>
                </c:pt>
                <c:pt idx="254">
                  <c:v>-2.2749444130353358</c:v>
                </c:pt>
                <c:pt idx="255">
                  <c:v>-2.474350062490239</c:v>
                </c:pt>
                <c:pt idx="256">
                  <c:v>-2.6737301455672826</c:v>
                </c:pt>
                <c:pt idx="257">
                  <c:v>-2.8730833557513966</c:v>
                </c:pt>
                <c:pt idx="258">
                  <c:v>-3.072408330331649</c:v>
                </c:pt>
                <c:pt idx="259">
                  <c:v>-3.2717036475883043</c:v>
                </c:pt>
                <c:pt idx="260">
                  <c:v>-3.4709678238622259</c:v>
                </c:pt>
                <c:pt idx="261">
                  <c:v>-3.6701993105008395</c:v>
                </c:pt>
                <c:pt idx="262">
                  <c:v>-3.8693964906751708</c:v>
                </c:pt>
                <c:pt idx="263">
                  <c:v>-4.0685576760621549</c:v>
                </c:pt>
                <c:pt idx="264">
                  <c:v>-4.2676811033857209</c:v>
                </c:pt>
                <c:pt idx="265">
                  <c:v>-4.4667649308102977</c:v>
                </c:pt>
                <c:pt idx="266">
                  <c:v>-4.6658072341816839</c:v>
                </c:pt>
                <c:pt idx="267">
                  <c:v>-4.8648060031053992</c:v>
                </c:pt>
                <c:pt idx="268">
                  <c:v>-5.063759136858998</c:v>
                </c:pt>
                <c:pt idx="269">
                  <c:v>-5.2626644401289244</c:v>
                </c:pt>
                <c:pt idx="270">
                  <c:v>-5.4615196185647941</c:v>
                </c:pt>
                <c:pt idx="271">
                  <c:v>-5.6603222741448445</c:v>
                </c:pt>
                <c:pt idx="272">
                  <c:v>-5.8590699003413915</c:v>
                </c:pt>
                <c:pt idx="273">
                  <c:v>-6.0577598770827272</c:v>
                </c:pt>
                <c:pt idx="274">
                  <c:v>-6.2563894654983194</c:v>
                </c:pt>
                <c:pt idx="275">
                  <c:v>-6.4549558024422469</c:v>
                </c:pt>
                <c:pt idx="276">
                  <c:v>-6.653455894783975</c:v>
                </c:pt>
                <c:pt idx="277">
                  <c:v>-6.8518866134575873</c:v>
                </c:pt>
                <c:pt idx="278">
                  <c:v>-7.050244687261273</c:v>
                </c:pt>
                <c:pt idx="279">
                  <c:v>-7.2485266963959196</c:v>
                </c:pt>
                <c:pt idx="280">
                  <c:v>-7.4467290657336171</c:v>
                </c:pt>
                <c:pt idx="281">
                  <c:v>-7.6448480578063291</c:v>
                </c:pt>
                <c:pt idx="282">
                  <c:v>-7.8428797655040752</c:v>
                </c:pt>
                <c:pt idx="283">
                  <c:v>-8.0408201044718393</c:v>
                </c:pt>
                <c:pt idx="284">
                  <c:v>-8.2386648051957287</c:v>
                </c:pt>
                <c:pt idx="285">
                  <c:v>-8.4364094047659375</c:v>
                </c:pt>
                <c:pt idx="286">
                  <c:v>-8.6340492383067851</c:v>
                </c:pt>
                <c:pt idx="287">
                  <c:v>-8.8315794300629751</c:v>
                </c:pt>
                <c:pt idx="288">
                  <c:v>-9.0289948841290411</c:v>
                </c:pt>
                <c:pt idx="289">
                  <c:v>-9.2262902748135431</c:v>
                </c:pt>
                <c:pt idx="290">
                  <c:v>-9.4234600366242809</c:v>
                </c:pt>
                <c:pt idx="291">
                  <c:v>-9.6204983538646811</c:v>
                </c:pt>
                <c:pt idx="292">
                  <c:v>-9.8173991498301341</c:v>
                </c:pt>
                <c:pt idx="293">
                  <c:v>-10.014156075592604</c:v>
                </c:pt>
                <c:pt idx="294">
                  <c:v>-10.210762498363295</c:v>
                </c:pt>
                <c:pt idx="295">
                  <c:v>-10.407211489422611</c:v>
                </c:pt>
                <c:pt idx="296">
                  <c:v>-10.603495811606994</c:v>
                </c:pt>
                <c:pt idx="297">
                  <c:v>-10.799607906342509</c:v>
                </c:pt>
                <c:pt idx="298">
                  <c:v>-10.995539880216452</c:v>
                </c:pt>
                <c:pt idx="299">
                  <c:v>-11.191283491077593</c:v>
                </c:pt>
                <c:pt idx="300">
                  <c:v>-11.386830133656796</c:v>
                </c:pt>
                <c:pt idx="301">
                  <c:v>-11.582170824701141</c:v>
                </c:pt>
                <c:pt idx="302">
                  <c:v>-11.77729618761456</c:v>
                </c:pt>
                <c:pt idx="303">
                  <c:v>-11.972196436599972</c:v>
                </c:pt>
                <c:pt idx="304">
                  <c:v>-12.166861360298693</c:v>
                </c:pt>
                <c:pt idx="305">
                  <c:v>-12.361280304923731</c:v>
                </c:pt>
                <c:pt idx="306">
                  <c:v>-12.5554421568867</c:v>
                </c:pt>
                <c:pt idx="307">
                  <c:v>-12.749335324917768</c:v>
                </c:pt>
                <c:pt idx="308">
                  <c:v>-12.942947721681845</c:v>
                </c:pt>
                <c:pt idx="309">
                  <c:v>-13.136266744894616</c:v>
                </c:pt>
                <c:pt idx="310">
                  <c:v>-13.329279257946411</c:v>
                </c:pt>
                <c:pt idx="311">
                  <c:v>-13.521971570042179</c:v>
                </c:pt>
                <c:pt idx="312">
                  <c:v>-13.714329415871154</c:v>
                </c:pt>
                <c:pt idx="313">
                  <c:v>-13.906337934820797</c:v>
                </c:pt>
                <c:pt idx="314">
                  <c:v>-14.097981649754416</c:v>
                </c:pt>
                <c:pt idx="315">
                  <c:v>-14.289244445374989</c:v>
                </c:pt>
                <c:pt idx="316">
                  <c:v>-14.480109546202311</c:v>
                </c:pt>
                <c:pt idx="317">
                  <c:v>-14.67055949419442</c:v>
                </c:pt>
                <c:pt idx="318">
                  <c:v>-14.860576126048741</c:v>
                </c:pt>
                <c:pt idx="319">
                  <c:v>-15.050140550225123</c:v>
                </c:pt>
                <c:pt idx="320">
                  <c:v>-15.239233123736444</c:v>
                </c:pt>
                <c:pt idx="321">
                  <c:v>-15.427833428758888</c:v>
                </c:pt>
                <c:pt idx="322">
                  <c:v>-15.615920249121062</c:v>
                </c:pt>
                <c:pt idx="323">
                  <c:v>-15.803471546737226</c:v>
                </c:pt>
                <c:pt idx="324">
                  <c:v>-15.990464438055836</c:v>
                </c:pt>
                <c:pt idx="325">
                  <c:v>-16.176875170603871</c:v>
                </c:pt>
                <c:pt idx="326">
                  <c:v>-16.362679099713016</c:v>
                </c:pt>
                <c:pt idx="327">
                  <c:v>-16.547850665524052</c:v>
                </c:pt>
                <c:pt idx="328">
                  <c:v>-16.732363370371814</c:v>
                </c:pt>
                <c:pt idx="329">
                  <c:v>-16.916189756664302</c:v>
                </c:pt>
                <c:pt idx="330">
                  <c:v>-17.099301385374709</c:v>
                </c:pt>
                <c:pt idx="331">
                  <c:v>-17.281668815279058</c:v>
                </c:pt>
                <c:pt idx="332">
                  <c:v>-17.463261583076701</c:v>
                </c:pt>
                <c:pt idx="333">
                  <c:v>-17.644048184543685</c:v>
                </c:pt>
                <c:pt idx="334">
                  <c:v>-17.823996056875764</c:v>
                </c:pt>
                <c:pt idx="335">
                  <c:v>-18.003071562388982</c:v>
                </c:pt>
                <c:pt idx="336">
                  <c:v>-18.181239973753421</c:v>
                </c:pt>
                <c:pt idx="337">
                  <c:v>-18.358465460945151</c:v>
                </c:pt>
                <c:pt idx="338">
                  <c:v>-18.534711080109801</c:v>
                </c:pt>
                <c:pt idx="339">
                  <c:v>-18.709938764537345</c:v>
                </c:pt>
                <c:pt idx="340">
                  <c:v>-18.884109317956906</c:v>
                </c:pt>
                <c:pt idx="341">
                  <c:v>-19.057182410366288</c:v>
                </c:pt>
                <c:pt idx="342">
                  <c:v>-19.229116576612235</c:v>
                </c:pt>
                <c:pt idx="343">
                  <c:v>-19.399869217947259</c:v>
                </c:pt>
                <c:pt idx="344">
                  <c:v>-19.56939660678686</c:v>
                </c:pt>
                <c:pt idx="345">
                  <c:v>-19.737653894892762</c:v>
                </c:pt>
                <c:pt idx="346">
                  <c:v>-19.904595125207464</c:v>
                </c:pt>
                <c:pt idx="347">
                  <c:v>-20.070173247561627</c:v>
                </c:pt>
                <c:pt idx="348">
                  <c:v>-20.234340138471275</c:v>
                </c:pt>
                <c:pt idx="349">
                  <c:v>-20.397046625232882</c:v>
                </c:pt>
                <c:pt idx="350">
                  <c:v>-20.558242514515022</c:v>
                </c:pt>
                <c:pt idx="351">
                  <c:v>-20.717876625632012</c:v>
                </c:pt>
                <c:pt idx="352">
                  <c:v>-20.875896828669106</c:v>
                </c:pt>
                <c:pt idx="353">
                  <c:v>-21.032250087609139</c:v>
                </c:pt>
                <c:pt idx="354">
                  <c:v>-21.186882508590209</c:v>
                </c:pt>
                <c:pt idx="355">
                  <c:v>-21.3397393933963</c:v>
                </c:pt>
                <c:pt idx="356">
                  <c:v>-21.490765298257642</c:v>
                </c:pt>
                <c:pt idx="357">
                  <c:v>-21.639904098003534</c:v>
                </c:pt>
                <c:pt idx="358">
                  <c:v>-21.787099055578647</c:v>
                </c:pt>
                <c:pt idx="359">
                  <c:v>-21.932292896895341</c:v>
                </c:pt>
                <c:pt idx="360">
                  <c:v>-22.075427890956981</c:v>
                </c:pt>
                <c:pt idx="361">
                  <c:v>-22.216445935144552</c:v>
                </c:pt>
                <c:pt idx="362">
                  <c:v>-22.355288645517156</c:v>
                </c:pt>
                <c:pt idx="363">
                  <c:v>-22.491897451933347</c:v>
                </c:pt>
                <c:pt idx="364">
                  <c:v>-22.626213697753769</c:v>
                </c:pt>
                <c:pt idx="365">
                  <c:v>-22.758178743842848</c:v>
                </c:pt>
                <c:pt idx="366">
                  <c:v>-22.887734076544163</c:v>
                </c:pt>
                <c:pt idx="367">
                  <c:v>-23.014821419258272</c:v>
                </c:pt>
                <c:pt idx="368">
                  <c:v>-23.139382847215451</c:v>
                </c:pt>
                <c:pt idx="369">
                  <c:v>-23.261360904997094</c:v>
                </c:pt>
                <c:pt idx="370">
                  <c:v>-23.380698726324546</c:v>
                </c:pt>
                <c:pt idx="371">
                  <c:v>-23.49734015560816</c:v>
                </c:pt>
                <c:pt idx="372">
                  <c:v>-23.611229870724095</c:v>
                </c:pt>
                <c:pt idx="373">
                  <c:v>-23.722313506467749</c:v>
                </c:pt>
                <c:pt idx="374">
                  <c:v>-23.830537778124722</c:v>
                </c:pt>
                <c:pt idx="375">
                  <c:v>-23.935850604592662</c:v>
                </c:pt>
                <c:pt idx="376">
                  <c:v>-24.038201230492966</c:v>
                </c:pt>
                <c:pt idx="377">
                  <c:v>-24.137540346721824</c:v>
                </c:pt>
                <c:pt idx="378">
                  <c:v>-24.233820208907851</c:v>
                </c:pt>
                <c:pt idx="379">
                  <c:v>-24.326994753270842</c:v>
                </c:pt>
                <c:pt idx="380">
                  <c:v>-24.417019709409757</c:v>
                </c:pt>
                <c:pt idx="381">
                  <c:v>-24.5038527095865</c:v>
                </c:pt>
                <c:pt idx="382">
                  <c:v>-24.587453394121653</c:v>
                </c:pt>
                <c:pt idx="383">
                  <c:v>-24.667783512566686</c:v>
                </c:pt>
                <c:pt idx="384">
                  <c:v>-24.744807020375493</c:v>
                </c:pt>
                <c:pt idx="385">
                  <c:v>-24.818490170856535</c:v>
                </c:pt>
                <c:pt idx="386">
                  <c:v>-24.888801602246961</c:v>
                </c:pt>
                <c:pt idx="387">
                  <c:v>-24.955712419813423</c:v>
                </c:pt>
                <c:pt idx="388">
                  <c:v>-25.019196272942835</c:v>
                </c:pt>
                <c:pt idx="389">
                  <c:v>-25.079229427246119</c:v>
                </c:pt>
                <c:pt idx="390">
                  <c:v>-25.135790831751823</c:v>
                </c:pt>
                <c:pt idx="391">
                  <c:v>-25.188862181315873</c:v>
                </c:pt>
                <c:pt idx="392">
                  <c:v>-25.238427974417231</c:v>
                </c:pt>
                <c:pt idx="393">
                  <c:v>-25.284475566543843</c:v>
                </c:pt>
                <c:pt idx="394">
                  <c:v>-25.326995219403198</c:v>
                </c:pt>
                <c:pt idx="395">
                  <c:v>-25.365980146206017</c:v>
                </c:pt>
                <c:pt idx="396">
                  <c:v>-25.401426553284438</c:v>
                </c:pt>
                <c:pt idx="397">
                  <c:v>-25.433333678301771</c:v>
                </c:pt>
                <c:pt idx="398">
                  <c:v>-25.461703825302109</c:v>
                </c:pt>
                <c:pt idx="399">
                  <c:v>-25.486542396826461</c:v>
                </c:pt>
                <c:pt idx="400">
                  <c:v>-25.507857923293397</c:v>
                </c:pt>
                <c:pt idx="401">
                  <c:v>-25.525662089802992</c:v>
                </c:pt>
                <c:pt idx="402">
                  <c:v>-25.539969760481441</c:v>
                </c:pt>
                <c:pt idx="403">
                  <c:v>-25.550799000428292</c:v>
                </c:pt>
                <c:pt idx="404">
                  <c:v>-25.558171095276965</c:v>
                </c:pt>
                <c:pt idx="405">
                  <c:v>-25.562110568318218</c:v>
                </c:pt>
                <c:pt idx="406">
                  <c:v>-25.562645195076179</c:v>
                </c:pt>
                <c:pt idx="407">
                  <c:v>-25.559806015168274</c:v>
                </c:pt>
                <c:pt idx="408">
                  <c:v>-25.553627341219681</c:v>
                </c:pt>
                <c:pt idx="409">
                  <c:v>-25.544146764549605</c:v>
                </c:pt>
                <c:pt idx="410">
                  <c:v>-25.531405157295922</c:v>
                </c:pt>
                <c:pt idx="411">
                  <c:v>-25.51544667060023</c:v>
                </c:pt>
                <c:pt idx="412">
                  <c:v>-25.496318728438759</c:v>
                </c:pt>
                <c:pt idx="413">
                  <c:v>-25.474072016657384</c:v>
                </c:pt>
                <c:pt idx="414">
                  <c:v>-25.448760466747199</c:v>
                </c:pt>
                <c:pt idx="415">
                  <c:v>-25.420441233890678</c:v>
                </c:pt>
                <c:pt idx="416">
                  <c:v>-25.389174668806032</c:v>
                </c:pt>
                <c:pt idx="417">
                  <c:v>-25.355024282930646</c:v>
                </c:pt>
                <c:pt idx="418">
                  <c:v>-25.318056706502144</c:v>
                </c:pt>
                <c:pt idx="419">
                  <c:v>-25.278341639128467</c:v>
                </c:pt>
                <c:pt idx="420">
                  <c:v>-25.235951792474594</c:v>
                </c:pt>
                <c:pt idx="421">
                  <c:v>-25.190962824742705</c:v>
                </c:pt>
                <c:pt idx="422">
                  <c:v>-25.143453266674413</c:v>
                </c:pt>
                <c:pt idx="423">
                  <c:v>-25.093504438866216</c:v>
                </c:pt>
                <c:pt idx="424">
                  <c:v>-25.041200360252066</c:v>
                </c:pt>
                <c:pt idx="425">
                  <c:v>-24.986627647677825</c:v>
                </c:pt>
                <c:pt idx="426">
                  <c:v>-24.929875406561646</c:v>
                </c:pt>
                <c:pt idx="427">
                  <c:v>-24.87103511270913</c:v>
                </c:pt>
                <c:pt idx="428">
                  <c:v>-24.810200485423231</c:v>
                </c:pt>
                <c:pt idx="429">
                  <c:v>-24.747467352121625</c:v>
                </c:pt>
                <c:pt idx="430">
                  <c:v>-24.682933504745343</c:v>
                </c:pt>
                <c:pt idx="431">
                  <c:v>-24.616698548309142</c:v>
                </c:pt>
                <c:pt idx="432">
                  <c:v>-24.548863742009502</c:v>
                </c:pt>
                <c:pt idx="433">
                  <c:v>-24.479531833366863</c:v>
                </c:pt>
                <c:pt idx="434">
                  <c:v>-24.408806885935455</c:v>
                </c:pt>
                <c:pt idx="435">
                  <c:v>-24.336794101167101</c:v>
                </c:pt>
                <c:pt idx="436">
                  <c:v>-24.263599635061691</c:v>
                </c:pt>
                <c:pt idx="437">
                  <c:v>-24.189330410282533</c:v>
                </c:pt>
                <c:pt idx="438">
                  <c:v>-24.114093924451893</c:v>
                </c:pt>
                <c:pt idx="439">
                  <c:v>-24.03799805537691</c:v>
                </c:pt>
                <c:pt idx="440">
                  <c:v>-23.96115086398617</c:v>
                </c:pt>
                <c:pt idx="441">
                  <c:v>-23.883660395782847</c:v>
                </c:pt>
                <c:pt idx="442">
                  <c:v>-23.805634481642343</c:v>
                </c:pt>
                <c:pt idx="443">
                  <c:v>-23.727180538800056</c:v>
                </c:pt>
                <c:pt idx="444">
                  <c:v>-23.648405372888817</c:v>
                </c:pt>
                <c:pt idx="445">
                  <c:v>-23.569414981895697</c:v>
                </c:pt>
                <c:pt idx="446">
                  <c:v>-23.490314362914461</c:v>
                </c:pt>
                <c:pt idx="447">
                  <c:v>-23.411207322571435</c:v>
                </c:pt>
                <c:pt idx="448">
                  <c:v>-23.332196292001118</c:v>
                </c:pt>
                <c:pt idx="449">
                  <c:v>-23.253382147240785</c:v>
                </c:pt>
                <c:pt idx="450">
                  <c:v>-23.174864035902395</c:v>
                </c:pt>
                <c:pt idx="451">
                  <c:v>-23.096739210963051</c:v>
                </c:pt>
                <c:pt idx="452">
                  <c:v>-23.019102872494241</c:v>
                </c:pt>
                <c:pt idx="453">
                  <c:v>-22.942048018120744</c:v>
                </c:pt>
                <c:pt idx="454">
                  <c:v>-22.865665302967642</c:v>
                </c:pt>
                <c:pt idx="455">
                  <c:v>-22.790042909812335</c:v>
                </c:pt>
                <c:pt idx="456">
                  <c:v>-22.71526643011212</c:v>
                </c:pt>
                <c:pt idx="457">
                  <c:v>-22.641418756523102</c:v>
                </c:pt>
                <c:pt idx="458">
                  <c:v>-22.568579987467107</c:v>
                </c:pt>
                <c:pt idx="459">
                  <c:v>-22.496827344234546</c:v>
                </c:pt>
                <c:pt idx="460">
                  <c:v>-22.426235101039357</c:v>
                </c:pt>
                <c:pt idx="461">
                  <c:v>-22.356874528361061</c:v>
                </c:pt>
                <c:pt idx="462">
                  <c:v>-22.288813849826884</c:v>
                </c:pt>
                <c:pt idx="463">
                  <c:v>-22.222118212794982</c:v>
                </c:pt>
                <c:pt idx="464">
                  <c:v>-22.15684967270894</c:v>
                </c:pt>
                <c:pt idx="465">
                  <c:v>-22.093067191197985</c:v>
                </c:pt>
                <c:pt idx="466">
                  <c:v>-22.030826647799838</c:v>
                </c:pt>
                <c:pt idx="467">
                  <c:v>-21.97018086508519</c:v>
                </c:pt>
                <c:pt idx="468">
                  <c:v>-21.911179646867453</c:v>
                </c:pt>
                <c:pt idx="469">
                  <c:v>-21.85386982908383</c:v>
                </c:pt>
                <c:pt idx="470">
                  <c:v>-21.798295342845861</c:v>
                </c:pt>
                <c:pt idx="471">
                  <c:v>-21.744497289066821</c:v>
                </c:pt>
                <c:pt idx="472">
                  <c:v>-21.692514023992526</c:v>
                </c:pt>
                <c:pt idx="473">
                  <c:v>-21.642381254888534</c:v>
                </c:pt>
                <c:pt idx="474">
                  <c:v>-21.594132145065387</c:v>
                </c:pt>
                <c:pt idx="475">
                  <c:v>-21.54779742736638</c:v>
                </c:pt>
                <c:pt idx="476">
                  <c:v>-21.50340552518939</c:v>
                </c:pt>
                <c:pt idx="477">
                  <c:v>-21.460982680074242</c:v>
                </c:pt>
                <c:pt idx="478">
                  <c:v>-21.420553084850003</c:v>
                </c:pt>
                <c:pt idx="479">
                  <c:v>-21.38213902132059</c:v>
                </c:pt>
                <c:pt idx="480">
                  <c:v>-21.345761001445336</c:v>
                </c:pt>
                <c:pt idx="481">
                  <c:v>-21.311437910972892</c:v>
                </c:pt>
                <c:pt idx="482">
                  <c:v>-21.279187154487747</c:v>
                </c:pt>
                <c:pt idx="483">
                  <c:v>-21.24902480084296</c:v>
                </c:pt>
                <c:pt idx="484">
                  <c:v>-21.220965727972775</c:v>
                </c:pt>
                <c:pt idx="485">
                  <c:v>-21.195023766106296</c:v>
                </c:pt>
                <c:pt idx="486">
                  <c:v>-21.171211838439152</c:v>
                </c:pt>
                <c:pt idx="487">
                  <c:v>-21.149542098357568</c:v>
                </c:pt>
                <c:pt idx="488">
                  <c:v>-21.130026062357118</c:v>
                </c:pt>
                <c:pt idx="489">
                  <c:v>-21.11267473784563</c:v>
                </c:pt>
                <c:pt idx="490">
                  <c:v>-21.097498745073118</c:v>
                </c:pt>
                <c:pt idx="491">
                  <c:v>-21.084508432487553</c:v>
                </c:pt>
                <c:pt idx="492">
                  <c:v>-21.073713984872008</c:v>
                </c:pt>
                <c:pt idx="493">
                  <c:v>-21.065125523679153</c:v>
                </c:pt>
                <c:pt idx="494">
                  <c:v>-21.058753199039181</c:v>
                </c:pt>
                <c:pt idx="495">
                  <c:v>-21.054607272978394</c:v>
                </c:pt>
                <c:pt idx="496">
                  <c:v>-21.052698193446577</c:v>
                </c:pt>
                <c:pt idx="497">
                  <c:v>-21.053036658814641</c:v>
                </c:pt>
                <c:pt idx="498">
                  <c:v>-21.05563367256395</c:v>
                </c:pt>
                <c:pt idx="499">
                  <c:v>-21.060500587952102</c:v>
                </c:pt>
                <c:pt idx="500">
                  <c:v>-21.067649142497984</c:v>
                </c:pt>
                <c:pt idx="501">
                  <c:v>-21.077091482193975</c:v>
                </c:pt>
                <c:pt idx="502">
                  <c:v>-21.088840175410134</c:v>
                </c:pt>
                <c:pt idx="503">
                  <c:v>-21.102908216517232</c:v>
                </c:pt>
                <c:pt idx="504">
                  <c:v>-21.11930901931639</c:v>
                </c:pt>
                <c:pt idx="505">
                  <c:v>-21.138056400420908</c:v>
                </c:pt>
                <c:pt idx="506">
                  <c:v>-21.159164552797556</c:v>
                </c:pt>
                <c:pt idx="507">
                  <c:v>-21.18264800973332</c:v>
                </c:pt>
                <c:pt idx="508">
                  <c:v>-21.208521599553652</c:v>
                </c:pt>
                <c:pt idx="509">
                  <c:v>-21.236800391475413</c:v>
                </c:pt>
                <c:pt idx="510">
                  <c:v>-21.267499633039026</c:v>
                </c:pt>
                <c:pt idx="511">
                  <c:v>-21.300634679618817</c:v>
                </c:pt>
                <c:pt idx="512">
                  <c:v>-21.33622091656941</c:v>
                </c:pt>
                <c:pt idx="513">
                  <c:v>-21.374273674617697</c:v>
                </c:pt>
                <c:pt idx="514">
                  <c:v>-21.414808139167679</c:v>
                </c:pt>
                <c:pt idx="515">
                  <c:v>-21.457839254227689</c:v>
                </c:pt>
                <c:pt idx="516">
                  <c:v>-21.503381621725495</c:v>
                </c:pt>
                <c:pt idx="517">
                  <c:v>-21.551449397010924</c:v>
                </c:pt>
                <c:pt idx="518">
                  <c:v>-21.602056181390104</c:v>
                </c:pt>
                <c:pt idx="519">
                  <c:v>-21.655214912564066</c:v>
                </c:pt>
                <c:pt idx="520">
                  <c:v>-21.710937753873303</c:v>
                </c:pt>
                <c:pt idx="521">
                  <c:v>-21.769235983269187</c:v>
                </c:pt>
                <c:pt idx="522">
                  <c:v>-21.830119882943698</c:v>
                </c:pt>
                <c:pt idx="523">
                  <c:v>-21.893598630555864</c:v>
                </c:pt>
                <c:pt idx="524">
                  <c:v>-21.959680192986415</c:v>
                </c:pt>
                <c:pt idx="525">
                  <c:v>-22.028371223539033</c:v>
                </c:pt>
                <c:pt idx="526">
                  <c:v>-22.099676963484267</c:v>
                </c:pt>
                <c:pt idx="527">
                  <c:v>-22.173601148808963</c:v>
                </c:pt>
                <c:pt idx="528">
                  <c:v>-22.250145922991997</c:v>
                </c:pt>
                <c:pt idx="529">
                  <c:v>-22.329311756577471</c:v>
                </c:pt>
                <c:pt idx="530">
                  <c:v>-22.411097374252378</c:v>
                </c:pt>
                <c:pt idx="531">
                  <c:v>-22.495499690073299</c:v>
                </c:pt>
                <c:pt idx="532">
                  <c:v>-22.582513751404257</c:v>
                </c:pt>
                <c:pt idx="533">
                  <c:v>-22.672132692050589</c:v>
                </c:pt>
                <c:pt idx="534">
                  <c:v>-22.764347694980533</c:v>
                </c:pt>
                <c:pt idx="535">
                  <c:v>-22.859147964937616</c:v>
                </c:pt>
                <c:pt idx="536">
                  <c:v>-22.956520711146933</c:v>
                </c:pt>
                <c:pt idx="537">
                  <c:v>-23.056451140223761</c:v>
                </c:pt>
                <c:pt idx="538">
                  <c:v>-23.158922459292491</c:v>
                </c:pt>
                <c:pt idx="539">
                  <c:v>-23.263915889227217</c:v>
                </c:pt>
                <c:pt idx="540">
                  <c:v>-23.371410687830448</c:v>
                </c:pt>
                <c:pt idx="541">
                  <c:v>-23.481384182675761</c:v>
                </c:pt>
              </c:numCache>
            </c:numRef>
          </c:yVal>
          <c:smooth val="1"/>
          <c:extLst>
            <c:ext xmlns:c16="http://schemas.microsoft.com/office/drawing/2014/chart" uri="{C3380CC4-5D6E-409C-BE32-E72D297353CC}">
              <c16:uniqueId val="{00000000-69E5-488F-8178-EA81D5C894E7}"/>
            </c:ext>
          </c:extLst>
        </c:ser>
        <c:dLbls>
          <c:showLegendKey val="0"/>
          <c:showVal val="0"/>
          <c:showCatName val="0"/>
          <c:showSerName val="0"/>
          <c:showPercent val="0"/>
          <c:showBubbleSize val="0"/>
        </c:dLbls>
        <c:axId val="555231872"/>
        <c:axId val="555234048"/>
      </c:scatterChart>
      <c:scatterChart>
        <c:scatterStyle val="smoothMarker"/>
        <c:varyColors val="0"/>
        <c:ser>
          <c:idx val="1"/>
          <c:order val="1"/>
          <c:tx>
            <c:v>Phase (deg)</c:v>
          </c:tx>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Loop_Modeling!$AE$19:$AE$560</c:f>
              <c:numCache>
                <c:formatCode>General</c:formatCode>
                <c:ptCount val="542"/>
                <c:pt idx="0">
                  <c:v>-14.073717878820586</c:v>
                </c:pt>
                <c:pt idx="1">
                  <c:v>-14.388089668621609</c:v>
                </c:pt>
                <c:pt idx="2">
                  <c:v>-14.708871618873731</c:v>
                </c:pt>
                <c:pt idx="3">
                  <c:v>-15.036153444237291</c:v>
                </c:pt>
                <c:pt idx="4">
                  <c:v>-15.370023321510489</c:v>
                </c:pt>
                <c:pt idx="5">
                  <c:v>-15.710567662758484</c:v>
                </c:pt>
                <c:pt idx="6">
                  <c:v>-16.057870876424868</c:v>
                </c:pt>
                <c:pt idx="7">
                  <c:v>-16.412015116295553</c:v>
                </c:pt>
                <c:pt idx="8">
                  <c:v>-16.773080018241693</c:v>
                </c:pt>
                <c:pt idx="9">
                  <c:v>-17.141142424730319</c:v>
                </c:pt>
                <c:pt idx="10">
                  <c:v>-17.516276097160304</c:v>
                </c:pt>
                <c:pt idx="11">
                  <c:v>-17.898551416158654</c:v>
                </c:pt>
                <c:pt idx="12">
                  <c:v>-18.288035070059742</c:v>
                </c:pt>
                <c:pt idx="13">
                  <c:v>-18.684789731881821</c:v>
                </c:pt>
                <c:pt idx="14">
                  <c:v>-19.088873725220687</c:v>
                </c:pt>
                <c:pt idx="15">
                  <c:v>-19.500340679589169</c:v>
                </c:pt>
                <c:pt idx="16">
                  <c:v>-19.919239175853203</c:v>
                </c:pt>
                <c:pt idx="17">
                  <c:v>-20.345612382543116</c:v>
                </c:pt>
                <c:pt idx="18">
                  <c:v>-20.779497683954002</c:v>
                </c:pt>
                <c:pt idx="19">
                  <c:v>-21.220926301096497</c:v>
                </c:pt>
                <c:pt idx="20">
                  <c:v>-21.669922906704393</c:v>
                </c:pt>
                <c:pt idx="21">
                  <c:v>-22.126505235670756</c:v>
                </c:pt>
                <c:pt idx="22">
                  <c:v>-22.590683692435206</c:v>
                </c:pt>
                <c:pt idx="23">
                  <c:v>-23.062460957025237</c:v>
                </c:pt>
                <c:pt idx="24">
                  <c:v>-23.541831591603394</c:v>
                </c:pt>
                <c:pt idx="25">
                  <c:v>-24.02878164956152</c:v>
                </c:pt>
                <c:pt idx="26">
                  <c:v>-24.523288289348823</c:v>
                </c:pt>
                <c:pt idx="27">
                  <c:v>-25.025319395399052</c:v>
                </c:pt>
                <c:pt idx="28">
                  <c:v>-25.534833208669443</c:v>
                </c:pt>
                <c:pt idx="29">
                  <c:v>-26.051777969451745</c:v>
                </c:pt>
                <c:pt idx="30">
                  <c:v>-26.576091575252608</c:v>
                </c:pt>
                <c:pt idx="31">
                  <c:v>-27.107701256659869</c:v>
                </c:pt>
                <c:pt idx="32">
                  <c:v>-27.646523274205915</c:v>
                </c:pt>
                <c:pt idx="33">
                  <c:v>-28.19246263933077</c:v>
                </c:pt>
                <c:pt idx="34">
                  <c:v>-28.745412862586431</c:v>
                </c:pt>
                <c:pt idx="35">
                  <c:v>-29.305255732263294</c:v>
                </c:pt>
                <c:pt idx="36">
                  <c:v>-29.871861126604159</c:v>
                </c:pt>
                <c:pt idx="37">
                  <c:v>-30.445086862734858</c:v>
                </c:pt>
                <c:pt idx="38">
                  <c:v>-31.024778585363009</c:v>
                </c:pt>
                <c:pt idx="39">
                  <c:v>-31.610769698177737</c:v>
                </c:pt>
                <c:pt idx="40">
                  <c:v>-32.20288134072316</c:v>
                </c:pt>
                <c:pt idx="41">
                  <c:v>-32.800922413323079</c:v>
                </c:pt>
                <c:pt idx="42">
                  <c:v>-33.404689652380611</c:v>
                </c:pt>
                <c:pt idx="43">
                  <c:v>-34.013967758095859</c:v>
                </c:pt>
                <c:pt idx="44">
                  <c:v>-34.628529576310399</c:v>
                </c:pt>
                <c:pt idx="45">
                  <c:v>-35.248136335817598</c:v>
                </c:pt>
                <c:pt idx="46">
                  <c:v>-35.872537942067758</c:v>
                </c:pt>
                <c:pt idx="47">
                  <c:v>-36.501473327753999</c:v>
                </c:pt>
                <c:pt idx="48">
                  <c:v>-37.134670860289773</c:v>
                </c:pt>
                <c:pt idx="49">
                  <c:v>-37.77184880569154</c:v>
                </c:pt>
                <c:pt idx="50">
                  <c:v>-38.412715847862522</c:v>
                </c:pt>
                <c:pt idx="51">
                  <c:v>-39.056971661741976</c:v>
                </c:pt>
                <c:pt idx="52">
                  <c:v>-39.704307538253559</c:v>
                </c:pt>
                <c:pt idx="53">
                  <c:v>-40.354407058456836</c:v>
                </c:pt>
                <c:pt idx="54">
                  <c:v>-41.006946813781681</c:v>
                </c:pt>
                <c:pt idx="55">
                  <c:v>-41.661597168736968</c:v>
                </c:pt>
                <c:pt idx="56">
                  <c:v>-42.318023062005743</c:v>
                </c:pt>
                <c:pt idx="57">
                  <c:v>-42.975884841415386</c:v>
                </c:pt>
                <c:pt idx="58">
                  <c:v>-43.634839127874884</c:v>
                </c:pt>
                <c:pt idx="59">
                  <c:v>-44.294539703042027</c:v>
                </c:pt>
                <c:pt idx="60">
                  <c:v>-44.954638415199803</c:v>
                </c:pt>
                <c:pt idx="61">
                  <c:v>-45.61478609760686</c:v>
                </c:pt>
                <c:pt idx="62">
                  <c:v>-46.274633493438941</c:v>
                </c:pt>
                <c:pt idx="63">
                  <c:v>-46.933832181357801</c:v>
                </c:pt>
                <c:pt idx="64">
                  <c:v>-47.592035495737477</c:v>
                </c:pt>
                <c:pt idx="65">
                  <c:v>-48.248899435642087</c:v>
                </c:pt>
                <c:pt idx="66">
                  <c:v>-48.904083556783668</c:v>
                </c:pt>
                <c:pt idx="67">
                  <c:v>-49.55725184088687</c:v>
                </c:pt>
                <c:pt idx="68">
                  <c:v>-50.208073537164871</c:v>
                </c:pt>
                <c:pt idx="69">
                  <c:v>-50.856223970918109</c:v>
                </c:pt>
                <c:pt idx="70">
                  <c:v>-51.501385314664255</c:v>
                </c:pt>
                <c:pt idx="71">
                  <c:v>-52.143247317614254</c:v>
                </c:pt>
                <c:pt idx="72">
                  <c:v>-52.781507989787976</c:v>
                </c:pt>
                <c:pt idx="73">
                  <c:v>-53.415874237543619</c:v>
                </c:pt>
                <c:pt idx="74">
                  <c:v>-54.046062447809106</c:v>
                </c:pt>
                <c:pt idx="75">
                  <c:v>-54.67179901885104</c:v>
                </c:pt>
                <c:pt idx="76">
                  <c:v>-55.292820835917141</c:v>
                </c:pt>
                <c:pt idx="77">
                  <c:v>-55.908875690655599</c:v>
                </c:pt>
                <c:pt idx="78">
                  <c:v>-56.519722643703595</c:v>
                </c:pt>
                <c:pt idx="79">
                  <c:v>-57.125132330364472</c:v>
                </c:pt>
                <c:pt idx="80">
                  <c:v>-57.72488720975592</c:v>
                </c:pt>
                <c:pt idx="81">
                  <c:v>-58.318781758272351</c:v>
                </c:pt>
                <c:pt idx="82">
                  <c:v>-58.906622608616139</c:v>
                </c:pt>
                <c:pt idx="83">
                  <c:v>-59.488228636032879</c:v>
                </c:pt>
                <c:pt idx="84">
                  <c:v>-60.063430993728069</c:v>
                </c:pt>
                <c:pt idx="85">
                  <c:v>-60.632073099732906</c:v>
                </c:pt>
                <c:pt idx="86">
                  <c:v>-61.194010577750262</c:v>
                </c:pt>
                <c:pt idx="87">
                  <c:v>-61.749111154710405</c:v>
                </c:pt>
                <c:pt idx="88">
                  <c:v>-62.297254517947302</c:v>
                </c:pt>
                <c:pt idx="89">
                  <c:v>-62.838332135019563</c:v>
                </c:pt>
                <c:pt idx="90">
                  <c:v>-63.372247039294727</c:v>
                </c:pt>
                <c:pt idx="91">
                  <c:v>-63.89891358445734</c:v>
                </c:pt>
                <c:pt idx="92">
                  <c:v>-64.418257171121411</c:v>
                </c:pt>
                <c:pt idx="93">
                  <c:v>-64.930213948700086</c:v>
                </c:pt>
                <c:pt idx="94">
                  <c:v>-65.43473049564372</c:v>
                </c:pt>
                <c:pt idx="95">
                  <c:v>-65.931763481081262</c:v>
                </c:pt>
                <c:pt idx="96">
                  <c:v>-66.421279310800315</c:v>
                </c:pt>
                <c:pt idx="97">
                  <c:v>-66.903253760392744</c:v>
                </c:pt>
                <c:pt idx="98">
                  <c:v>-67.377671598252135</c:v>
                </c:pt>
                <c:pt idx="99">
                  <c:v>-67.844526200971814</c:v>
                </c:pt>
                <c:pt idx="100">
                  <c:v>-68.303819163535707</c:v>
                </c:pt>
                <c:pt idx="101">
                  <c:v>-68.755559906531346</c:v>
                </c:pt>
                <c:pt idx="102">
                  <c:v>-69.199765282453058</c:v>
                </c:pt>
                <c:pt idx="103">
                  <c:v>-69.636459182989014</c:v>
                </c:pt>
                <c:pt idx="104">
                  <c:v>-70.065672149026312</c:v>
                </c:pt>
                <c:pt idx="105">
                  <c:v>-70.487440984932704</c:v>
                </c:pt>
                <c:pt idx="106">
                  <c:v>-70.901808378519036</c:v>
                </c:pt>
                <c:pt idx="107">
                  <c:v>-71.30882252792432</c:v>
                </c:pt>
                <c:pt idx="108">
                  <c:v>-71.708536776511181</c:v>
                </c:pt>
                <c:pt idx="109">
                  <c:v>-72.101009256719891</c:v>
                </c:pt>
                <c:pt idx="110">
                  <c:v>-72.486302543685468</c:v>
                </c:pt>
                <c:pt idx="111">
                  <c:v>-72.864483319293441</c:v>
                </c:pt>
                <c:pt idx="112">
                  <c:v>-73.235622047231715</c:v>
                </c:pt>
                <c:pt idx="113">
                  <c:v>-73.599792659476634</c:v>
                </c:pt>
                <c:pt idx="114">
                  <c:v>-73.957072254552301</c:v>
                </c:pt>
                <c:pt idx="115">
                  <c:v>-74.307540807802468</c:v>
                </c:pt>
                <c:pt idx="116">
                  <c:v>-74.651280893827902</c:v>
                </c:pt>
                <c:pt idx="117">
                  <c:v>-74.988377421164557</c:v>
                </c:pt>
                <c:pt idx="118">
                  <c:v>-75.318917379202659</c:v>
                </c:pt>
                <c:pt idx="119">
                  <c:v>-75.642989597287851</c:v>
                </c:pt>
                <c:pt idx="120">
                  <c:v>-75.960684515884694</c:v>
                </c:pt>
                <c:pt idx="121">
                  <c:v>-76.272093969638306</c:v>
                </c:pt>
                <c:pt idx="122">
                  <c:v>-76.577310982120082</c:v>
                </c:pt>
                <c:pt idx="123">
                  <c:v>-76.876429572016406</c:v>
                </c:pt>
                <c:pt idx="124">
                  <c:v>-77.169544570476944</c:v>
                </c:pt>
                <c:pt idx="125">
                  <c:v>-77.456751449322056</c:v>
                </c:pt>
                <c:pt idx="126">
                  <c:v>-77.738146159783085</c:v>
                </c:pt>
                <c:pt idx="127">
                  <c:v>-78.013824981432478</c:v>
                </c:pt>
                <c:pt idx="128">
                  <c:v>-78.283884380949218</c:v>
                </c:pt>
                <c:pt idx="129">
                  <c:v>-78.548420880356133</c:v>
                </c:pt>
                <c:pt idx="130">
                  <c:v>-78.807530934355057</c:v>
                </c:pt>
                <c:pt idx="131">
                  <c:v>-79.061310816389849</c:v>
                </c:pt>
                <c:pt idx="132">
                  <c:v>-79.309856513057056</c:v>
                </c:pt>
                <c:pt idx="133">
                  <c:v>-79.553263626496403</c:v>
                </c:pt>
                <c:pt idx="134">
                  <c:v>-79.791627284385044</c:v>
                </c:pt>
                <c:pt idx="135">
                  <c:v>-80.025042057172996</c:v>
                </c:pt>
                <c:pt idx="136">
                  <c:v>-80.253601882201224</c:v>
                </c:pt>
                <c:pt idx="137">
                  <c:v>-80.477399994347707</c:v>
                </c:pt>
                <c:pt idx="138">
                  <c:v>-80.696528862861271</c:v>
                </c:pt>
                <c:pt idx="139">
                  <c:v>-80.911080134049257</c:v>
                </c:pt>
                <c:pt idx="140">
                  <c:v>-81.121144579493517</c:v>
                </c:pt>
                <c:pt idx="141">
                  <c:v>-81.326812049484829</c:v>
                </c:pt>
                <c:pt idx="142">
                  <c:v>-81.528171431370779</c:v>
                </c:pt>
                <c:pt idx="143">
                  <c:v>-81.725310612529114</c:v>
                </c:pt>
                <c:pt idx="144">
                  <c:v>-81.918316447685697</c:v>
                </c:pt>
                <c:pt idx="145">
                  <c:v>-82.107274730309925</c:v>
                </c:pt>
                <c:pt idx="146">
                  <c:v>-82.292270167831461</c:v>
                </c:pt>
                <c:pt idx="147">
                  <c:v>-82.473386360433352</c:v>
                </c:pt>
                <c:pt idx="148">
                  <c:v>-82.650705783188087</c:v>
                </c:pt>
                <c:pt idx="149">
                  <c:v>-82.824309771314404</c:v>
                </c:pt>
                <c:pt idx="150">
                  <c:v>-82.994278508343413</c:v>
                </c:pt>
                <c:pt idx="151">
                  <c:v>-83.160691016993027</c:v>
                </c:pt>
                <c:pt idx="152">
                  <c:v>-83.323625152560837</c:v>
                </c:pt>
                <c:pt idx="153">
                  <c:v>-83.483157598654699</c:v>
                </c:pt>
                <c:pt idx="154">
                  <c:v>-83.639363865090459</c:v>
                </c:pt>
                <c:pt idx="155">
                  <c:v>-83.792318287796164</c:v>
                </c:pt>
                <c:pt idx="156">
                  <c:v>-83.942094030570217</c:v>
                </c:pt>
                <c:pt idx="157">
                  <c:v>-84.088763088550394</c:v>
                </c:pt>
                <c:pt idx="158">
                  <c:v>-84.232396293258688</c:v>
                </c:pt>
                <c:pt idx="159">
                  <c:v>-84.373063319095081</c:v>
                </c:pt>
                <c:pt idx="160">
                  <c:v>-84.510832691160914</c:v>
                </c:pt>
                <c:pt idx="161">
                  <c:v>-84.645771794300003</c:v>
                </c:pt>
                <c:pt idx="162">
                  <c:v>-84.777946883252241</c:v>
                </c:pt>
                <c:pt idx="163">
                  <c:v>-84.907423093822018</c:v>
                </c:pt>
                <c:pt idx="164">
                  <c:v>-85.03426445496855</c:v>
                </c:pt>
                <c:pt idx="165">
                  <c:v>-85.158533901732667</c:v>
                </c:pt>
                <c:pt idx="166">
                  <c:v>-85.280293288920063</c:v>
                </c:pt>
                <c:pt idx="167">
                  <c:v>-85.399603405464745</c:v>
                </c:pt>
                <c:pt idx="168">
                  <c:v>-85.516523989404831</c:v>
                </c:pt>
                <c:pt idx="169">
                  <c:v>-85.631113743403617</c:v>
                </c:pt>
                <c:pt idx="170">
                  <c:v>-85.74343035075735</c:v>
                </c:pt>
                <c:pt idx="171">
                  <c:v>-85.853530491832089</c:v>
                </c:pt>
                <c:pt idx="172">
                  <c:v>-85.961469860878267</c:v>
                </c:pt>
                <c:pt idx="173">
                  <c:v>-86.067303183175113</c:v>
                </c:pt>
                <c:pt idx="174">
                  <c:v>-86.171084232459208</c:v>
                </c:pt>
                <c:pt idx="175">
                  <c:v>-86.272865848596993</c:v>
                </c:pt>
                <c:pt idx="176">
                  <c:v>-86.372699955462096</c:v>
                </c:pt>
                <c:pt idx="177">
                  <c:v>-86.470637578983883</c:v>
                </c:pt>
                <c:pt idx="178">
                  <c:v>-86.566728865333175</c:v>
                </c:pt>
                <c:pt idx="179">
                  <c:v>-86.661023099217076</c:v>
                </c:pt>
                <c:pt idx="180">
                  <c:v>-86.753568722254613</c:v>
                </c:pt>
                <c:pt idx="181">
                  <c:v>-86.844413351409358</c:v>
                </c:pt>
                <c:pt idx="182">
                  <c:v>-86.933603797455376</c:v>
                </c:pt>
                <c:pt idx="183">
                  <c:v>-87.021186083456669</c:v>
                </c:pt>
                <c:pt idx="184">
                  <c:v>-87.107205463241002</c:v>
                </c:pt>
                <c:pt idx="185">
                  <c:v>-87.191706439851174</c:v>
                </c:pt>
                <c:pt idx="186">
                  <c:v>-87.274732783958612</c:v>
                </c:pt>
                <c:pt idx="187">
                  <c:v>-87.356327552225494</c:v>
                </c:pt>
                <c:pt idx="188">
                  <c:v>-87.43653310560282</c:v>
                </c:pt>
                <c:pt idx="189">
                  <c:v>-87.515391127554125</c:v>
                </c:pt>
                <c:pt idx="190">
                  <c:v>-87.592942642194444</c:v>
                </c:pt>
                <c:pt idx="191">
                  <c:v>-87.669228032336534</c:v>
                </c:pt>
                <c:pt idx="192">
                  <c:v>-87.744287057436736</c:v>
                </c:pt>
                <c:pt idx="193">
                  <c:v>-87.818158871433965</c:v>
                </c:pt>
                <c:pt idx="194">
                  <c:v>-87.890882040476825</c:v>
                </c:pt>
                <c:pt idx="195">
                  <c:v>-87.962494560533315</c:v>
                </c:pt>
                <c:pt idx="196">
                  <c:v>-88.033033874880871</c:v>
                </c:pt>
                <c:pt idx="197">
                  <c:v>-88.102536891471956</c:v>
                </c:pt>
                <c:pt idx="198">
                  <c:v>-88.171040000174457</c:v>
                </c:pt>
                <c:pt idx="199">
                  <c:v>-88.238579089884183</c:v>
                </c:pt>
                <c:pt idx="200">
                  <c:v>-88.305189565508854</c:v>
                </c:pt>
                <c:pt idx="201">
                  <c:v>-88.370906364823128</c:v>
                </c:pt>
                <c:pt idx="202">
                  <c:v>-88.435763975194405</c:v>
                </c:pt>
                <c:pt idx="203">
                  <c:v>-88.499796450180042</c:v>
                </c:pt>
                <c:pt idx="204">
                  <c:v>-88.563037425997038</c:v>
                </c:pt>
                <c:pt idx="205">
                  <c:v>-88.625520137865109</c:v>
                </c:pt>
                <c:pt idx="206">
                  <c:v>-88.687277436225429</c:v>
                </c:pt>
                <c:pt idx="207">
                  <c:v>-88.74834180283635</c:v>
                </c:pt>
                <c:pt idx="208">
                  <c:v>-88.808745366749193</c:v>
                </c:pt>
                <c:pt idx="209">
                  <c:v>-88.868519920166165</c:v>
                </c:pt>
                <c:pt idx="210">
                  <c:v>-88.927696934183416</c:v>
                </c:pt>
                <c:pt idx="211">
                  <c:v>-88.986307574422625</c:v>
                </c:pt>
                <c:pt idx="212">
                  <c:v>-89.044382716554111</c:v>
                </c:pt>
                <c:pt idx="213">
                  <c:v>-89.101952961715057</c:v>
                </c:pt>
                <c:pt idx="214">
                  <c:v>-89.15904865182668</c:v>
                </c:pt>
                <c:pt idx="215">
                  <c:v>-89.215699884814086</c:v>
                </c:pt>
                <c:pt idx="216">
                  <c:v>-89.271936529732741</c:v>
                </c:pt>
                <c:pt idx="217">
                  <c:v>-89.327788241805706</c:v>
                </c:pt>
                <c:pt idx="218">
                  <c:v>-89.383284477375909</c:v>
                </c:pt>
                <c:pt idx="219">
                  <c:v>-89.438454508777582</c:v>
                </c:pt>
                <c:pt idx="220">
                  <c:v>-89.493327439131349</c:v>
                </c:pt>
                <c:pt idx="221">
                  <c:v>-89.547932217067313</c:v>
                </c:pt>
                <c:pt idx="222">
                  <c:v>-89.602297651380482</c:v>
                </c:pt>
                <c:pt idx="223">
                  <c:v>-89.656452425623499</c:v>
                </c:pt>
                <c:pt idx="224">
                  <c:v>-89.710425112640451</c:v>
                </c:pt>
                <c:pt idx="225">
                  <c:v>-89.764244189046835</c:v>
                </c:pt>
                <c:pt idx="226">
                  <c:v>-89.817938049660242</c:v>
                </c:pt>
                <c:pt idx="227">
                  <c:v>-89.871535021885506</c:v>
                </c:pt>
                <c:pt idx="228">
                  <c:v>-89.925063380059711</c:v>
                </c:pt>
                <c:pt idx="229">
                  <c:v>-89.978551359761028</c:v>
                </c:pt>
                <c:pt idx="230">
                  <c:v>-90.032027172085492</c:v>
                </c:pt>
                <c:pt idx="231">
                  <c:v>-90.08551901789663</c:v>
                </c:pt>
                <c:pt idx="232">
                  <c:v>-90.139055102051401</c:v>
                </c:pt>
                <c:pt idx="233">
                  <c:v>-90.19266364760739</c:v>
                </c:pt>
                <c:pt idx="234">
                  <c:v>-90.246372910014486</c:v>
                </c:pt>
                <c:pt idx="235">
                  <c:v>-90.300211191295332</c:v>
                </c:pt>
                <c:pt idx="236">
                  <c:v>-90.354206854218432</c:v>
                </c:pt>
                <c:pt idx="237">
                  <c:v>-90.408388336466942</c:v>
                </c:pt>
                <c:pt idx="238">
                  <c:v>-90.46278416480726</c:v>
                </c:pt>
                <c:pt idx="239">
                  <c:v>-90.517422969259954</c:v>
                </c:pt>
                <c:pt idx="240">
                  <c:v>-90.572333497276688</c:v>
                </c:pt>
                <c:pt idx="241">
                  <c:v>-90.627544627925488</c:v>
                </c:pt>
                <c:pt idx="242">
                  <c:v>-90.683085386087185</c:v>
                </c:pt>
                <c:pt idx="243">
                  <c:v>-90.738984956665163</c:v>
                </c:pt>
                <c:pt idx="244">
                  <c:v>-90.795272698810408</c:v>
                </c:pt>
                <c:pt idx="245">
                  <c:v>-90.851978160163924</c:v>
                </c:pt>
                <c:pt idx="246">
                  <c:v>-90.909131091117189</c:v>
                </c:pt>
                <c:pt idx="247">
                  <c:v>-90.966761459092353</c:v>
                </c:pt>
                <c:pt idx="248">
                  <c:v>-91.02489946284237</c:v>
                </c:pt>
                <c:pt idx="249">
                  <c:v>-91.083575546771286</c:v>
                </c:pt>
                <c:pt idx="250">
                  <c:v>-91.142820415274628</c:v>
                </c:pt>
                <c:pt idx="251">
                  <c:v>-91.202665047098861</c:v>
                </c:pt>
                <c:pt idx="252">
                  <c:v>-91.263140709718726</c:v>
                </c:pt>
                <c:pt idx="253">
                  <c:v>-91.324278973730699</c:v>
                </c:pt>
                <c:pt idx="254">
                  <c:v>-91.386111727259959</c:v>
                </c:pt>
                <c:pt idx="255">
                  <c:v>-91.448671190377809</c:v>
                </c:pt>
                <c:pt idx="256">
                  <c:v>-91.511989929525569</c:v>
                </c:pt>
                <c:pt idx="257">
                  <c:v>-91.576100871940724</c:v>
                </c:pt>
                <c:pt idx="258">
                  <c:v>-91.641037320079434</c:v>
                </c:pt>
                <c:pt idx="259">
                  <c:v>-91.706832966029566</c:v>
                </c:pt>
                <c:pt idx="260">
                  <c:v>-91.773521905906804</c:v>
                </c:pt>
                <c:pt idx="261">
                  <c:v>-91.841138654225674</c:v>
                </c:pt>
                <c:pt idx="262">
                  <c:v>-91.909718158236274</c:v>
                </c:pt>
                <c:pt idx="263">
                  <c:v>-91.979295812216449</c:v>
                </c:pt>
                <c:pt idx="264">
                  <c:v>-92.0499074717073</c:v>
                </c:pt>
                <c:pt idx="265">
                  <c:v>-92.121589467679669</c:v>
                </c:pt>
                <c:pt idx="266">
                  <c:v>-92.194378620616888</c:v>
                </c:pt>
                <c:pt idx="267">
                  <c:v>-92.268312254498156</c:v>
                </c:pt>
                <c:pt idx="268">
                  <c:v>-92.343428210664811</c:v>
                </c:pt>
                <c:pt idx="269">
                  <c:v>-92.419764861551059</c:v>
                </c:pt>
                <c:pt idx="270">
                  <c:v>-92.49736112425721</c:v>
                </c:pt>
                <c:pt idx="271">
                  <c:v>-92.576256473943602</c:v>
                </c:pt>
                <c:pt idx="272">
                  <c:v>-92.6564909570194</c:v>
                </c:pt>
                <c:pt idx="273">
                  <c:v>-92.73810520409981</c:v>
                </c:pt>
                <c:pt idx="274">
                  <c:v>-92.821140442701719</c:v>
                </c:pt>
                <c:pt idx="275">
                  <c:v>-92.905638509646138</c:v>
                </c:pt>
                <c:pt idx="276">
                  <c:v>-92.99164186313277</c:v>
                </c:pt>
                <c:pt idx="277">
                  <c:v>-93.079193594449194</c:v>
                </c:pt>
                <c:pt idx="278">
                  <c:v>-93.168337439274296</c:v>
                </c:pt>
                <c:pt idx="279">
                  <c:v>-93.259117788532564</c:v>
                </c:pt>
                <c:pt idx="280">
                  <c:v>-93.351579698752246</c:v>
                </c:pt>
                <c:pt idx="281">
                  <c:v>-93.445768901876534</c:v>
                </c:pt>
                <c:pt idx="282">
                  <c:v>-93.541731814474332</c:v>
                </c:pt>
                <c:pt idx="283">
                  <c:v>-93.639515546291591</c:v>
                </c:pt>
                <c:pt idx="284">
                  <c:v>-93.739167908081569</c:v>
                </c:pt>
                <c:pt idx="285">
                  <c:v>-93.84073741864627</c:v>
                </c:pt>
                <c:pt idx="286">
                  <c:v>-93.944273311018577</c:v>
                </c:pt>
                <c:pt idx="287">
                  <c:v>-94.049825537707704</c:v>
                </c:pt>
                <c:pt idx="288">
                  <c:v>-94.157444774927171</c:v>
                </c:pt>
                <c:pt idx="289">
                  <c:v>-94.267182425717408</c:v>
                </c:pt>
                <c:pt idx="290">
                  <c:v>-94.379090621870887</c:v>
                </c:pt>
                <c:pt idx="291">
                  <c:v>-94.49322222456054</c:v>
                </c:pt>
                <c:pt idx="292">
                  <c:v>-94.609630823566803</c:v>
                </c:pt>
                <c:pt idx="293">
                  <c:v>-94.728370734991501</c:v>
                </c:pt>
                <c:pt idx="294">
                  <c:v>-94.849496997339742</c:v>
                </c:pt>
                <c:pt idx="295">
                  <c:v>-94.9730653658454</c:v>
                </c:pt>
                <c:pt idx="296">
                  <c:v>-95.09913230490605</c:v>
                </c:pt>
                <c:pt idx="297">
                  <c:v>-95.227754978487383</c:v>
                </c:pt>
                <c:pt idx="298">
                  <c:v>-95.358991238349063</c:v>
                </c:pt>
                <c:pt idx="299">
                  <c:v>-95.492899609934227</c:v>
                </c:pt>
                <c:pt idx="300">
                  <c:v>-95.629539275758844</c:v>
                </c:pt>
                <c:pt idx="301">
                  <c:v>-95.768970056126577</c:v>
                </c:pt>
                <c:pt idx="302">
                  <c:v>-95.91125238698676</c:v>
                </c:pt>
                <c:pt idx="303">
                  <c:v>-96.0564472947447</c:v>
                </c:pt>
                <c:pt idx="304">
                  <c:v>-96.204616367823462</c:v>
                </c:pt>
                <c:pt idx="305">
                  <c:v>-96.355821724767452</c:v>
                </c:pt>
                <c:pt idx="306">
                  <c:v>-96.510125978669834</c:v>
                </c:pt>
                <c:pt idx="307">
                  <c:v>-96.667592197695427</c:v>
                </c:pt>
                <c:pt idx="308">
                  <c:v>-96.828283861462992</c:v>
                </c:pt>
                <c:pt idx="309">
                  <c:v>-96.992264813040578</c:v>
                </c:pt>
                <c:pt idx="310">
                  <c:v>-97.159599206301152</c:v>
                </c:pt>
                <c:pt idx="311">
                  <c:v>-97.330351448375268</c:v>
                </c:pt>
                <c:pt idx="312">
                  <c:v>-97.50458613693263</c:v>
                </c:pt>
                <c:pt idx="313">
                  <c:v>-97.682367992013909</c:v>
                </c:pt>
                <c:pt idx="314">
                  <c:v>-97.863761782132926</c:v>
                </c:pt>
                <c:pt idx="315">
                  <c:v>-98.048832244358664</c:v>
                </c:pt>
                <c:pt idx="316">
                  <c:v>-98.237643998086796</c:v>
                </c:pt>
                <c:pt idx="317">
                  <c:v>-98.430261452206352</c:v>
                </c:pt>
                <c:pt idx="318">
                  <c:v>-98.626748705364179</c:v>
                </c:pt>
                <c:pt idx="319">
                  <c:v>-98.827169439034208</c:v>
                </c:pt>
                <c:pt idx="320">
                  <c:v>-99.031586803097738</c:v>
                </c:pt>
                <c:pt idx="321">
                  <c:v>-99.240063293647765</c:v>
                </c:pt>
                <c:pt idx="322">
                  <c:v>-99.452660622737682</c:v>
                </c:pt>
                <c:pt idx="323">
                  <c:v>-99.669439579806266</c:v>
                </c:pt>
                <c:pt idx="324">
                  <c:v>-99.890459884522386</c:v>
                </c:pt>
                <c:pt idx="325">
                  <c:v>-100.1157800308135</c:v>
                </c:pt>
                <c:pt idx="326">
                  <c:v>-100.34545712186052</c:v>
                </c:pt>
                <c:pt idx="327">
                  <c:v>-100.57954669587168</c:v>
                </c:pt>
                <c:pt idx="328">
                  <c:v>-100.81810254247459</c:v>
                </c:pt>
                <c:pt idx="329">
                  <c:v>-101.06117650960559</c:v>
                </c:pt>
                <c:pt idx="330">
                  <c:v>-101.30881830081459</c:v>
                </c:pt>
                <c:pt idx="331">
                  <c:v>-101.56107526295492</c:v>
                </c:pt>
                <c:pt idx="332">
                  <c:v>-101.81799216427812</c:v>
                </c:pt>
                <c:pt idx="333">
                  <c:v>-102.07961096302034</c:v>
                </c:pt>
                <c:pt idx="334">
                  <c:v>-102.34597056663061</c:v>
                </c:pt>
                <c:pt idx="335">
                  <c:v>-102.61710658187317</c:v>
                </c:pt>
                <c:pt idx="336">
                  <c:v>-102.89305105611646</c:v>
                </c:pt>
                <c:pt idx="337">
                  <c:v>-103.17383221021771</c:v>
                </c:pt>
                <c:pt idx="338">
                  <c:v>-103.45947416351241</c:v>
                </c:pt>
                <c:pt idx="339">
                  <c:v>-103.74999665152711</c:v>
                </c:pt>
                <c:pt idx="340">
                  <c:v>-104.04541473715572</c:v>
                </c:pt>
                <c:pt idx="341">
                  <c:v>-104.34573851616663</c:v>
                </c:pt>
                <c:pt idx="342">
                  <c:v>-104.65097281803948</c:v>
                </c:pt>
                <c:pt idx="343">
                  <c:v>-104.96111690328182</c:v>
                </c:pt>
                <c:pt idx="344">
                  <c:v>-105.2761641585227</c:v>
                </c:pt>
                <c:pt idx="345">
                  <c:v>-105.59610179083869</c:v>
                </c:pt>
                <c:pt idx="346">
                  <c:v>-105.92091052293451</c:v>
                </c:pt>
                <c:pt idx="347">
                  <c:v>-106.25056429096691</c:v>
                </c:pt>
                <c:pt idx="348">
                  <c:v>-106.58502994697523</c:v>
                </c:pt>
                <c:pt idx="349">
                  <c:v>-106.92426696805327</c:v>
                </c:pt>
                <c:pt idx="350">
                  <c:v>-107.26822717457382</c:v>
                </c:pt>
                <c:pt idx="351">
                  <c:v>-107.61685445994685</c:v>
                </c:pt>
                <c:pt idx="352">
                  <c:v>-107.97008453456027</c:v>
                </c:pt>
                <c:pt idx="353">
                  <c:v>-108.32784468670965</c:v>
                </c:pt>
                <c:pt idx="354">
                  <c:v>-108.69005356347814</c:v>
                </c:pt>
                <c:pt idx="355">
                  <c:v>-109.05662097465364</c:v>
                </c:pt>
                <c:pt idx="356">
                  <c:v>-109.42744772289929</c:v>
                </c:pt>
                <c:pt idx="357">
                  <c:v>-109.80242546348599</c:v>
                </c:pt>
                <c:pt idx="358">
                  <c:v>-110.18143659697053</c:v>
                </c:pt>
                <c:pt idx="359">
                  <c:v>-110.56435419825239</c:v>
                </c:pt>
                <c:pt idx="360">
                  <c:v>-110.95104198545462</c:v>
                </c:pt>
                <c:pt idx="361">
                  <c:v>-111.34135433205677</c:v>
                </c:pt>
                <c:pt idx="362">
                  <c:v>-111.7351363256485</c:v>
                </c:pt>
                <c:pt idx="363">
                  <c:v>-112.13222387657363</c:v>
                </c:pt>
                <c:pt idx="364">
                  <c:v>-112.53244387958796</c:v>
                </c:pt>
                <c:pt idx="365">
                  <c:v>-112.93561443146483</c:v>
                </c:pt>
                <c:pt idx="366">
                  <c:v>-113.34154510724244</c:v>
                </c:pt>
                <c:pt idx="367">
                  <c:v>-113.75003729750954</c:v>
                </c:pt>
                <c:pt idx="368">
                  <c:v>-114.16088460879524</c:v>
                </c:pt>
                <c:pt idx="369">
                  <c:v>-114.57387332872493</c:v>
                </c:pt>
                <c:pt idx="370">
                  <c:v>-114.98878295716996</c:v>
                </c:pt>
                <c:pt idx="371">
                  <c:v>-115.4053868041249</c:v>
                </c:pt>
                <c:pt idx="372">
                  <c:v>-115.82345265451382</c:v>
                </c:pt>
                <c:pt idx="373">
                  <c:v>-116.24274349955158</c:v>
                </c:pt>
                <c:pt idx="374">
                  <c:v>-116.66301833367514</c:v>
                </c:pt>
                <c:pt idx="375">
                  <c:v>-117.08403301542069</c:v>
                </c:pt>
                <c:pt idx="376">
                  <c:v>-117.50554118995827</c:v>
                </c:pt>
                <c:pt idx="377">
                  <c:v>-117.92729527031881</c:v>
                </c:pt>
                <c:pt idx="378">
                  <c:v>-118.34904747366021</c:v>
                </c:pt>
                <c:pt idx="379">
                  <c:v>-118.77055090823923</c:v>
                </c:pt>
                <c:pt idx="380">
                  <c:v>-119.19156070608098</c:v>
                </c:pt>
                <c:pt idx="381">
                  <c:v>-119.6118351956853</c:v>
                </c:pt>
                <c:pt idx="382">
                  <c:v>-120.03113710849127</c:v>
                </c:pt>
                <c:pt idx="383">
                  <c:v>-120.44923481223594</c:v>
                </c:pt>
                <c:pt idx="384">
                  <c:v>-120.86590356380921</c:v>
                </c:pt>
                <c:pt idx="385">
                  <c:v>-121.28092677373459</c:v>
                </c:pt>
                <c:pt idx="386">
                  <c:v>-121.69409727398899</c:v>
                </c:pt>
                <c:pt idx="387">
                  <c:v>-122.10521858054248</c:v>
                </c:pt>
                <c:pt idx="388">
                  <c:v>-122.51410614172946</c:v>
                </c:pt>
                <c:pt idx="389">
                  <c:v>-122.92058856339274</c:v>
                </c:pt>
                <c:pt idx="390">
                  <c:v>-123.32450880164799</c:v>
                </c:pt>
                <c:pt idx="391">
                  <c:v>-123.725725314112</c:v>
                </c:pt>
                <c:pt idx="392">
                  <c:v>-124.12411316053397</c:v>
                </c:pt>
                <c:pt idx="393">
                  <c:v>-124.5195650439413</c:v>
                </c:pt>
                <c:pt idx="394">
                  <c:v>-124.91199228368635</c:v>
                </c:pt>
                <c:pt idx="395">
                  <c:v>-125.30132571213994</c:v>
                </c:pt>
                <c:pt idx="396">
                  <c:v>-125.68751648720614</c:v>
                </c:pt>
                <c:pt idx="397">
                  <c:v>-126.07053681336753</c:v>
                </c:pt>
                <c:pt idx="398">
                  <c:v>-126.4503805645568</c:v>
                </c:pt>
                <c:pt idx="399">
                  <c:v>-126.82706380280993</c:v>
                </c:pt>
                <c:pt idx="400">
                  <c:v>-127.20062518738679</c:v>
                </c:pt>
                <c:pt idx="401">
                  <c:v>-127.57112626981421</c:v>
                </c:pt>
                <c:pt idx="402">
                  <c:v>-127.93865167113835</c:v>
                </c:pt>
                <c:pt idx="403">
                  <c:v>-128.30330913852023</c:v>
                </c:pt>
                <c:pt idx="404">
                  <c:v>-128.66522947921464</c:v>
                </c:pt>
                <c:pt idx="405">
                  <c:v>-129.0245663708682</c:v>
                </c:pt>
                <c:pt idx="406">
                  <c:v>-129.38149604800185</c:v>
                </c:pt>
                <c:pt idx="407">
                  <c:v>-129.73621686546863</c:v>
                </c:pt>
                <c:pt idx="408">
                  <c:v>-130.08894874058979</c:v>
                </c:pt>
                <c:pt idx="409">
                  <c:v>-130.43993247658244</c:v>
                </c:pt>
                <c:pt idx="410">
                  <c:v>-130.78942897077488</c:v>
                </c:pt>
                <c:pt idx="411">
                  <c:v>-131.13771831194182</c:v>
                </c:pt>
                <c:pt idx="412">
                  <c:v>-131.48509877192149</c:v>
                </c:pt>
                <c:pt idx="413">
                  <c:v>-131.83188569741995</c:v>
                </c:pt>
                <c:pt idx="414">
                  <c:v>-132.17841030863022</c:v>
                </c:pt>
                <c:pt idx="415">
                  <c:v>-132.52501841193254</c:v>
                </c:pt>
                <c:pt idx="416">
                  <c:v>-132.87206903452841</c:v>
                </c:pt>
                <c:pt idx="417">
                  <c:v>-133.21993298936857</c:v>
                </c:pt>
                <c:pt idx="418">
                  <c:v>-133.56899137916682</c:v>
                </c:pt>
                <c:pt idx="419">
                  <c:v>-133.91963404865191</c:v>
                </c:pt>
                <c:pt idx="420">
                  <c:v>-134.27225799447706</c:v>
                </c:pt>
                <c:pt idx="421">
                  <c:v>-134.62726574240409</c:v>
                </c:pt>
                <c:pt idx="422">
                  <c:v>-134.98506370148201</c:v>
                </c:pt>
                <c:pt idx="423">
                  <c:v>-135.34606050497953</c:v>
                </c:pt>
                <c:pt idx="424">
                  <c:v>-135.71066534776583</c:v>
                </c:pt>
                <c:pt idx="425">
                  <c:v>-136.07928632972386</c:v>
                </c:pt>
                <c:pt idx="426">
                  <c:v>-136.45232881457096</c:v>
                </c:pt>
                <c:pt idx="427">
                  <c:v>-136.83019381320622</c:v>
                </c:pt>
                <c:pt idx="428">
                  <c:v>-137.21327640037634</c:v>
                </c:pt>
                <c:pt idx="429">
                  <c:v>-137.6019641730789</c:v>
                </c:pt>
                <c:pt idx="430">
                  <c:v>-137.99663575868394</c:v>
                </c:pt>
                <c:pt idx="431">
                  <c:v>-138.39765938030891</c:v>
                </c:pt>
                <c:pt idx="432">
                  <c:v>-138.80539148645795</c:v>
                </c:pt>
                <c:pt idx="433">
                  <c:v>-139.22017545143373</c:v>
                </c:pt>
                <c:pt idx="434">
                  <c:v>-139.64234035245863</c:v>
                </c:pt>
                <c:pt idx="435">
                  <c:v>-140.07219982890086</c:v>
                </c:pt>
                <c:pt idx="436">
                  <c:v>-140.51005102841307</c:v>
                </c:pt>
                <c:pt idx="437">
                  <c:v>-140.95617364422679</c:v>
                </c:pt>
                <c:pt idx="438">
                  <c:v>-141.41082904726147</c:v>
                </c:pt>
                <c:pt idx="439">
                  <c:v>-141.8742595161373</c:v>
                </c:pt>
                <c:pt idx="440">
                  <c:v>-142.34668756760982</c:v>
                </c:pt>
                <c:pt idx="441">
                  <c:v>-142.82831538938439</c:v>
                </c:pt>
                <c:pt idx="442">
                  <c:v>-143.31932437671045</c:v>
                </c:pt>
                <c:pt idx="443">
                  <c:v>-143.81987477361076</c:v>
                </c:pt>
                <c:pt idx="444">
                  <c:v>-144.33010541906285</c:v>
                </c:pt>
                <c:pt idx="445">
                  <c:v>-144.85013359791577</c:v>
                </c:pt>
                <c:pt idx="446">
                  <c:v>-145.38005499580134</c:v>
                </c:pt>
                <c:pt idx="447">
                  <c:v>-145.91994375678041</c:v>
                </c:pt>
                <c:pt idx="448">
                  <c:v>-146.46985264195246</c:v>
                </c:pt>
                <c:pt idx="449">
                  <c:v>-147.02981328674446</c:v>
                </c:pt>
                <c:pt idx="450">
                  <c:v>-147.59983655409809</c:v>
                </c:pt>
                <c:pt idx="451">
                  <c:v>-148.17991298027127</c:v>
                </c:pt>
                <c:pt idx="452">
                  <c:v>-148.77001330948457</c:v>
                </c:pt>
                <c:pt idx="453">
                  <c:v>-149.37008911316067</c:v>
                </c:pt>
                <c:pt idx="454">
                  <c:v>-149.98007348903585</c:v>
                </c:pt>
                <c:pt idx="455">
                  <c:v>-150.59988183496995</c:v>
                </c:pt>
                <c:pt idx="456">
                  <c:v>-151.22941269184213</c:v>
                </c:pt>
                <c:pt idx="457">
                  <c:v>-151.8685486495161</c:v>
                </c:pt>
                <c:pt idx="458">
                  <c:v>-152.51715730946503</c:v>
                </c:pt>
                <c:pt idx="459">
                  <c:v>-153.17509229730445</c:v>
                </c:pt>
                <c:pt idx="460">
                  <c:v>-153.84219431816865</c:v>
                </c:pt>
                <c:pt idx="461">
                  <c:v>-154.51829224759436</c:v>
                </c:pt>
                <c:pt idx="462">
                  <c:v>-155.2032042503694</c:v>
                </c:pt>
                <c:pt idx="463">
                  <c:v>-155.89673891962946</c:v>
                </c:pt>
                <c:pt idx="464">
                  <c:v>-156.59869642839158</c:v>
                </c:pt>
                <c:pt idx="465">
                  <c:v>-157.30886968566179</c:v>
                </c:pt>
                <c:pt idx="466">
                  <c:v>-158.02704548929097</c:v>
                </c:pt>
                <c:pt idx="467">
                  <c:v>-158.75300566782417</c:v>
                </c:pt>
                <c:pt idx="468">
                  <c:v>-159.48652820375744</c:v>
                </c:pt>
                <c:pt idx="469">
                  <c:v>-160.22738833083389</c:v>
                </c:pt>
                <c:pt idx="470">
                  <c:v>-160.97535959829662</c:v>
                </c:pt>
                <c:pt idx="471">
                  <c:v>-161.73021489536544</c:v>
                </c:pt>
                <c:pt idx="472">
                  <c:v>-162.49172742960343</c:v>
                </c:pt>
                <c:pt idx="473">
                  <c:v>-163.25967165331184</c:v>
                </c:pt>
                <c:pt idx="474">
                  <c:v>-164.03382413257862</c:v>
                </c:pt>
                <c:pt idx="475">
                  <c:v>-164.81396435416269</c:v>
                </c:pt>
                <c:pt idx="476">
                  <c:v>-165.59987546597253</c:v>
                </c:pt>
                <c:pt idx="477">
                  <c:v>-166.39134494749769</c:v>
                </c:pt>
                <c:pt idx="478">
                  <c:v>-167.18816520717598</c:v>
                </c:pt>
                <c:pt idx="479">
                  <c:v>-167.99013410431206</c:v>
                </c:pt>
                <c:pt idx="480">
                  <c:v>-168.79705539379941</c:v>
                </c:pt>
                <c:pt idx="481">
                  <c:v>-169.60873909252123</c:v>
                </c:pt>
                <c:pt idx="482">
                  <c:v>-170.42500176694045</c:v>
                </c:pt>
                <c:pt idx="483">
                  <c:v>-171.24566674197467</c:v>
                </c:pt>
                <c:pt idx="484">
                  <c:v>-172.07056423184832</c:v>
                </c:pt>
                <c:pt idx="485">
                  <c:v>-172.89953139415721</c:v>
                </c:pt>
                <c:pt idx="486">
                  <c:v>-173.73241230891088</c:v>
                </c:pt>
                <c:pt idx="487">
                  <c:v>-174.56905788480472</c:v>
                </c:pt>
                <c:pt idx="488">
                  <c:v>-175.40932569542568</c:v>
                </c:pt>
                <c:pt idx="489">
                  <c:v>-176.25307974851717</c:v>
                </c:pt>
                <c:pt idx="490">
                  <c:v>-177.10019019180251</c:v>
                </c:pt>
                <c:pt idx="491">
                  <c:v>-177.95053295920863</c:v>
                </c:pt>
                <c:pt idx="492">
                  <c:v>-178.8039893616363</c:v>
                </c:pt>
                <c:pt idx="493">
                  <c:v>-179.66044562668762</c:v>
                </c:pt>
                <c:pt idx="494">
                  <c:v>179.4802076080029</c:v>
                </c:pt>
                <c:pt idx="495">
                  <c:v>178.61807584299157</c:v>
                </c:pt>
                <c:pt idx="496">
                  <c:v>177.75326130178996</c:v>
                </c:pt>
                <c:pt idx="497">
                  <c:v>176.88586354702306</c:v>
                </c:pt>
                <c:pt idx="498">
                  <c:v>176.01598012271916</c:v>
                </c:pt>
                <c:pt idx="499">
                  <c:v>175.14370721738919</c:v>
                </c:pt>
                <c:pt idx="500">
                  <c:v>174.26914034248986</c:v>
                </c:pt>
                <c:pt idx="501">
                  <c:v>173.39237502083137</c:v>
                </c:pt>
                <c:pt idx="502">
                  <c:v>172.51350747947649</c:v>
                </c:pt>
                <c:pt idx="503">
                  <c:v>171.63263534168294</c:v>
                </c:pt>
                <c:pt idx="504">
                  <c:v>170.74985831247949</c:v>
                </c:pt>
                <c:pt idx="505">
                  <c:v>169.86527885250942</c:v>
                </c:pt>
                <c:pt idx="506">
                  <c:v>168.97900283485691</c:v>
                </c:pt>
                <c:pt idx="507">
                  <c:v>168.09114017967278</c:v>
                </c:pt>
                <c:pt idx="508">
                  <c:v>167.20180546153486</c:v>
                </c:pt>
                <c:pt idx="509">
                  <c:v>166.31111848463732</c:v>
                </c:pt>
                <c:pt idx="510">
                  <c:v>165.41920482107494</c:v>
                </c:pt>
                <c:pt idx="511">
                  <c:v>164.52619630770701</c:v>
                </c:pt>
                <c:pt idx="512">
                  <c:v>163.6322314973167</c:v>
                </c:pt>
                <c:pt idx="513">
                  <c:v>162.73745606006258</c:v>
                </c:pt>
                <c:pt idx="514">
                  <c:v>161.84202313152119</c:v>
                </c:pt>
                <c:pt idx="515">
                  <c:v>160.94609360396677</c:v>
                </c:pt>
                <c:pt idx="516">
                  <c:v>160.04983635790134</c:v>
                </c:pt>
                <c:pt idx="517">
                  <c:v>159.15342843127263</c:v>
                </c:pt>
                <c:pt idx="518">
                  <c:v>158.25705512424722</c:v>
                </c:pt>
                <c:pt idx="519">
                  <c:v>157.36091003789349</c:v>
                </c:pt>
                <c:pt idx="520">
                  <c:v>156.46519504562787</c:v>
                </c:pt>
                <c:pt idx="521">
                  <c:v>155.57012019681002</c:v>
                </c:pt>
                <c:pt idx="522">
                  <c:v>154.67590355242743</c:v>
                </c:pt>
                <c:pt idx="523">
                  <c:v>153.78277095337324</c:v>
                </c:pt>
                <c:pt idx="524">
                  <c:v>152.89095572240427</c:v>
                </c:pt>
                <c:pt idx="525">
                  <c:v>152.00069830145247</c:v>
                </c:pt>
                <c:pt idx="526">
                  <c:v>151.11224582653486</c:v>
                </c:pt>
                <c:pt idx="527">
                  <c:v>150.22585164308722</c:v>
                </c:pt>
                <c:pt idx="528">
                  <c:v>149.34177476509296</c:v>
                </c:pt>
                <c:pt idx="529">
                  <c:v>148.46027928189997</c:v>
                </c:pt>
                <c:pt idx="530">
                  <c:v>147.58163371712675</c:v>
                </c:pt>
                <c:pt idx="531">
                  <c:v>146.70611034448308</c:v>
                </c:pt>
                <c:pt idx="532">
                  <c:v>145.83398446575671</c:v>
                </c:pt>
                <c:pt idx="533">
                  <c:v>144.96553365653918</c:v>
                </c:pt>
                <c:pt idx="534">
                  <c:v>144.10103698556642</c:v>
                </c:pt>
                <c:pt idx="535">
                  <c:v>143.24077421375333</c:v>
                </c:pt>
                <c:pt idx="536">
                  <c:v>142.38502497915493</c:v>
                </c:pt>
                <c:pt idx="537">
                  <c:v>141.53406797415536</c:v>
                </c:pt>
                <c:pt idx="538">
                  <c:v>140.68818012119539</c:v>
                </c:pt>
                <c:pt idx="539">
                  <c:v>139.84763575326875</c:v>
                </c:pt>
                <c:pt idx="540">
                  <c:v>139.01270580527788</c:v>
                </c:pt>
                <c:pt idx="541">
                  <c:v>138.18365702212239</c:v>
                </c:pt>
              </c:numCache>
            </c:numRef>
          </c:yVal>
          <c:smooth val="1"/>
          <c:extLst>
            <c:ext xmlns:c16="http://schemas.microsoft.com/office/drawing/2014/chart" uri="{C3380CC4-5D6E-409C-BE32-E72D297353CC}">
              <c16:uniqueId val="{00000001-69E5-488F-8178-EA81D5C894E7}"/>
            </c:ext>
          </c:extLst>
        </c:ser>
        <c:dLbls>
          <c:showLegendKey val="0"/>
          <c:showVal val="0"/>
          <c:showCatName val="0"/>
          <c:showSerName val="0"/>
          <c:showPercent val="0"/>
          <c:showBubbleSize val="0"/>
        </c:dLbls>
        <c:axId val="555250048"/>
        <c:axId val="555235968"/>
      </c:scatterChart>
      <c:valAx>
        <c:axId val="555231872"/>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555234048"/>
        <c:crosses val="autoZero"/>
        <c:crossBetween val="midCat"/>
      </c:valAx>
      <c:valAx>
        <c:axId val="555234048"/>
        <c:scaling>
          <c:orientation val="minMax"/>
          <c:max val="40"/>
          <c:min val="-40"/>
        </c:scaling>
        <c:delete val="0"/>
        <c:axPos val="l"/>
        <c:majorGridlines/>
        <c:minorGridlines/>
        <c:title>
          <c:tx>
            <c:rich>
              <a:bodyPr rot="-5400000" vert="horz"/>
              <a:lstStyle/>
              <a:p>
                <a:pPr>
                  <a:defRPr/>
                </a:pPr>
                <a:r>
                  <a:rPr lang="en-US"/>
                  <a:t>Gain</a:t>
                </a:r>
                <a:r>
                  <a:rPr lang="en-US" baseline="0"/>
                  <a:t> (dB)</a:t>
                </a:r>
                <a:endParaRPr lang="en-US"/>
              </a:p>
            </c:rich>
          </c:tx>
          <c:overlay val="0"/>
        </c:title>
        <c:numFmt formatCode="General" sourceLinked="0"/>
        <c:majorTickMark val="out"/>
        <c:minorTickMark val="none"/>
        <c:tickLblPos val="nextTo"/>
        <c:crossAx val="555231872"/>
        <c:crosses val="autoZero"/>
        <c:crossBetween val="midCat"/>
        <c:majorUnit val="20"/>
        <c:minorUnit val="10"/>
      </c:valAx>
      <c:valAx>
        <c:axId val="555235968"/>
        <c:scaling>
          <c:orientation val="minMax"/>
          <c:max val="180"/>
          <c:min val="-180"/>
        </c:scaling>
        <c:delete val="0"/>
        <c:axPos val="r"/>
        <c:numFmt formatCode="General" sourceLinked="1"/>
        <c:majorTickMark val="out"/>
        <c:minorTickMark val="none"/>
        <c:tickLblPos val="nextTo"/>
        <c:crossAx val="555250048"/>
        <c:crosses val="max"/>
        <c:crossBetween val="midCat"/>
        <c:majorUnit val="90"/>
        <c:minorUnit val="45"/>
      </c:valAx>
      <c:valAx>
        <c:axId val="555250048"/>
        <c:scaling>
          <c:logBase val="10"/>
          <c:orientation val="minMax"/>
        </c:scaling>
        <c:delete val="1"/>
        <c:axPos val="b"/>
        <c:numFmt formatCode="0.00" sourceLinked="1"/>
        <c:majorTickMark val="out"/>
        <c:minorTickMark val="none"/>
        <c:tickLblPos val="nextTo"/>
        <c:crossAx val="555235968"/>
        <c:crosses val="autoZero"/>
        <c:crossBetween val="midCat"/>
      </c:valAx>
    </c:plotArea>
    <c:legend>
      <c:legendPos val="r"/>
      <c:layout>
        <c:manualLayout>
          <c:xMode val="edge"/>
          <c:yMode val="edge"/>
          <c:x val="0.79880558209512509"/>
          <c:y val="0.14321997959862004"/>
          <c:w val="0.13459449276057311"/>
          <c:h val="0.10691609861199437"/>
        </c:manualLayout>
      </c:layout>
      <c:overlay val="1"/>
      <c:spPr>
        <a:solidFill>
          <a:schemeClr val="bg1"/>
        </a:solidFill>
      </c:spPr>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Error</a:t>
            </a:r>
            <a:r>
              <a:rPr lang="en-US" baseline="0"/>
              <a:t> Amplifier Transfer</a:t>
            </a:r>
          </a:p>
        </c:rich>
      </c:tx>
      <c:overlay val="0"/>
    </c:title>
    <c:autoTitleDeleted val="0"/>
    <c:plotArea>
      <c:layout/>
      <c:scatterChart>
        <c:scatterStyle val="smoothMarker"/>
        <c:varyColors val="0"/>
        <c:ser>
          <c:idx val="0"/>
          <c:order val="0"/>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Loop_Modeling!$BD$19:$BD$560</c:f>
              <c:numCache>
                <c:formatCode>General</c:formatCode>
                <c:ptCount val="542"/>
                <c:pt idx="0">
                  <c:v>48.248227809305185</c:v>
                </c:pt>
                <c:pt idx="1">
                  <c:v>48.048268752398542</c:v>
                </c:pt>
                <c:pt idx="2">
                  <c:v>47.848311624666628</c:v>
                </c:pt>
                <c:pt idx="3">
                  <c:v>47.648356516988919</c:v>
                </c:pt>
                <c:pt idx="4">
                  <c:v>47.448403524523826</c:v>
                </c:pt>
                <c:pt idx="5">
                  <c:v>47.248452746910218</c:v>
                </c:pt>
                <c:pt idx="6">
                  <c:v>47.048504288478306</c:v>
                </c:pt>
                <c:pt idx="7">
                  <c:v>46.848558258470021</c:v>
                </c:pt>
                <c:pt idx="8">
                  <c:v>46.648614771270225</c:v>
                </c:pt>
                <c:pt idx="9">
                  <c:v>46.448673946648533</c:v>
                </c:pt>
                <c:pt idx="10">
                  <c:v>46.248735910012229</c:v>
                </c:pt>
                <c:pt idx="11">
                  <c:v>46.048800792671784</c:v>
                </c:pt>
                <c:pt idx="12">
                  <c:v>45.848868732117893</c:v>
                </c:pt>
                <c:pt idx="13">
                  <c:v>45.648939872312305</c:v>
                </c:pt>
                <c:pt idx="14">
                  <c:v>45.449014363991857</c:v>
                </c:pt>
                <c:pt idx="15">
                  <c:v>45.249092364986616</c:v>
                </c:pt>
                <c:pt idx="16">
                  <c:v>45.049174040553488</c:v>
                </c:pt>
                <c:pt idx="17">
                  <c:v>44.849259563724928</c:v>
                </c:pt>
                <c:pt idx="18">
                  <c:v>44.649349115674219</c:v>
                </c:pt>
                <c:pt idx="19">
                  <c:v>44.449442886097614</c:v>
                </c:pt>
                <c:pt idx="20">
                  <c:v>44.249541073615035</c:v>
                </c:pt>
                <c:pt idx="21">
                  <c:v>44.04964388618825</c:v>
                </c:pt>
                <c:pt idx="22">
                  <c:v>43.84975154156006</c:v>
                </c:pt>
                <c:pt idx="23">
                  <c:v>43.649864267713042</c:v>
                </c:pt>
                <c:pt idx="24">
                  <c:v>43.449982303349941</c:v>
                </c:pt>
                <c:pt idx="25">
                  <c:v>43.250105898396647</c:v>
                </c:pt>
                <c:pt idx="26">
                  <c:v>43.050235314528663</c:v>
                </c:pt>
                <c:pt idx="27">
                  <c:v>42.850370825721605</c:v>
                </c:pt>
                <c:pt idx="28">
                  <c:v>42.65051271882848</c:v>
                </c:pt>
                <c:pt idx="29">
                  <c:v>42.450661294182758</c:v>
                </c:pt>
                <c:pt idx="30">
                  <c:v>42.250816866230039</c:v>
                </c:pt>
                <c:pt idx="31">
                  <c:v>42.050979764189044</c:v>
                </c:pt>
                <c:pt idx="32">
                  <c:v>41.851150332743686</c:v>
                </c:pt>
                <c:pt idx="33">
                  <c:v>41.651328932766788</c:v>
                </c:pt>
                <c:pt idx="34">
                  <c:v>41.451515942077648</c:v>
                </c:pt>
                <c:pt idx="35">
                  <c:v>41.251711756235146</c:v>
                </c:pt>
                <c:pt idx="36">
                  <c:v>41.051916789367048</c:v>
                </c:pt>
                <c:pt idx="37">
                  <c:v>40.852131475038249</c:v>
                </c:pt>
                <c:pt idx="38">
                  <c:v>40.652356267159277</c:v>
                </c:pt>
                <c:pt idx="39">
                  <c:v>40.45259164093622</c:v>
                </c:pt>
                <c:pt idx="40">
                  <c:v>40.252838093865542</c:v>
                </c:pt>
                <c:pt idx="41">
                  <c:v>40.053096146774259</c:v>
                </c:pt>
                <c:pt idx="42">
                  <c:v>39.853366344908451</c:v>
                </c:pt>
                <c:pt idx="43">
                  <c:v>39.653649259071713</c:v>
                </c:pt>
                <c:pt idx="44">
                  <c:v>39.45394548681633</c:v>
                </c:pt>
                <c:pt idx="45">
                  <c:v>39.254255653689377</c:v>
                </c:pt>
                <c:pt idx="46">
                  <c:v>39.054580414535891</c:v>
                </c:pt>
                <c:pt idx="47">
                  <c:v>38.854920454862096</c:v>
                </c:pt>
                <c:pt idx="48">
                  <c:v>38.655276492261017</c:v>
                </c:pt>
                <c:pt idx="49">
                  <c:v>38.455649277903674</c:v>
                </c:pt>
                <c:pt idx="50">
                  <c:v>38.256039598098425</c:v>
                </c:pt>
                <c:pt idx="51">
                  <c:v>38.056448275921319</c:v>
                </c:pt>
                <c:pt idx="52">
                  <c:v>37.856876172921304</c:v>
                </c:pt>
                <c:pt idx="53">
                  <c:v>37.657324190902841</c:v>
                </c:pt>
                <c:pt idx="54">
                  <c:v>37.457793273789676</c:v>
                </c:pt>
                <c:pt idx="55">
                  <c:v>37.258284409573143</c:v>
                </c:pt>
                <c:pt idx="56">
                  <c:v>37.058798632349117</c:v>
                </c:pt>
                <c:pt idx="57">
                  <c:v>36.859337024446781</c:v>
                </c:pt>
                <c:pt idx="58">
                  <c:v>36.659900718653546</c:v>
                </c:pt>
                <c:pt idx="59">
                  <c:v>36.46049090054052</c:v>
                </c:pt>
                <c:pt idx="60">
                  <c:v>36.261108810892225</c:v>
                </c:pt>
                <c:pt idx="61">
                  <c:v>36.061755748245361</c:v>
                </c:pt>
                <c:pt idx="62">
                  <c:v>35.862433071541354</c:v>
                </c:pt>
                <c:pt idx="63">
                  <c:v>35.663142202897113</c:v>
                </c:pt>
                <c:pt idx="64">
                  <c:v>35.463884630499209</c:v>
                </c:pt>
                <c:pt idx="65">
                  <c:v>35.264661911626355</c:v>
                </c:pt>
                <c:pt idx="66">
                  <c:v>35.065475675806084</c:v>
                </c:pt>
                <c:pt idx="67">
                  <c:v>34.866327628110113</c:v>
                </c:pt>
                <c:pt idx="68">
                  <c:v>34.667219552595149</c:v>
                </c:pt>
                <c:pt idx="69">
                  <c:v>34.46815331589405</c:v>
                </c:pt>
                <c:pt idx="70">
                  <c:v>34.269130870964048</c:v>
                </c:pt>
                <c:pt idx="71">
                  <c:v>34.070154260997924</c:v>
                </c:pt>
                <c:pt idx="72">
                  <c:v>33.871225623504515</c:v>
                </c:pt>
                <c:pt idx="73">
                  <c:v>33.672347194565425</c:v>
                </c:pt>
                <c:pt idx="74">
                  <c:v>33.473521313274254</c:v>
                </c:pt>
                <c:pt idx="75">
                  <c:v>33.274750426365713</c:v>
                </c:pt>
                <c:pt idx="76">
                  <c:v>33.076037093041514</c:v>
                </c:pt>
                <c:pt idx="77">
                  <c:v>32.877383990000368</c:v>
                </c:pt>
                <c:pt idx="78">
                  <c:v>32.678793916679545</c:v>
                </c:pt>
                <c:pt idx="79">
                  <c:v>32.480269800715483</c:v>
                </c:pt>
                <c:pt idx="80">
                  <c:v>32.281814703631511</c:v>
                </c:pt>
                <c:pt idx="81">
                  <c:v>32.083431826759956</c:v>
                </c:pt>
                <c:pt idx="82">
                  <c:v>31.885124517407426</c:v>
                </c:pt>
                <c:pt idx="83">
                  <c:v>31.686896275270342</c:v>
                </c:pt>
                <c:pt idx="84">
                  <c:v>31.488750759110069</c:v>
                </c:pt>
                <c:pt idx="85">
                  <c:v>31.290691793694421</c:v>
                </c:pt>
                <c:pt idx="86">
                  <c:v>31.092723377015364</c:v>
                </c:pt>
                <c:pt idx="87">
                  <c:v>30.894849687789691</c:v>
                </c:pt>
                <c:pt idx="88">
                  <c:v>30.697075093251804</c:v>
                </c:pt>
                <c:pt idx="89">
                  <c:v>30.499404157246438</c:v>
                </c:pt>
                <c:pt idx="90">
                  <c:v>30.301841648629345</c:v>
                </c:pt>
                <c:pt idx="91">
                  <c:v>30.104392549983451</c:v>
                </c:pt>
                <c:pt idx="92">
                  <c:v>29.907062066659083</c:v>
                </c:pt>
                <c:pt idx="93">
                  <c:v>29.709855636144606</c:v>
                </c:pt>
                <c:pt idx="94">
                  <c:v>29.512778937774652</c:v>
                </c:pt>
                <c:pt idx="95">
                  <c:v>29.315837902783713</c:v>
                </c:pt>
                <c:pt idx="96">
                  <c:v>29.119038724709355</c:v>
                </c:pt>
                <c:pt idx="97">
                  <c:v>28.922387870152683</c:v>
                </c:pt>
                <c:pt idx="98">
                  <c:v>28.725892089898885</c:v>
                </c:pt>
                <c:pt idx="99">
                  <c:v>28.529558430404059</c:v>
                </c:pt>
                <c:pt idx="100">
                  <c:v>28.333394245650425</c:v>
                </c:pt>
                <c:pt idx="101">
                  <c:v>28.137407209371823</c:v>
                </c:pt>
                <c:pt idx="102">
                  <c:v>27.941605327652468</c:v>
                </c:pt>
                <c:pt idx="103">
                  <c:v>27.745996951896483</c:v>
                </c:pt>
                <c:pt idx="104">
                  <c:v>27.550590792169171</c:v>
                </c:pt>
                <c:pt idx="105">
                  <c:v>27.35539593090482</c:v>
                </c:pt>
                <c:pt idx="106">
                  <c:v>27.16042183697736</c:v>
                </c:pt>
                <c:pt idx="107">
                  <c:v>26.965678380126846</c:v>
                </c:pt>
                <c:pt idx="108">
                  <c:v>26.771175845732962</c:v>
                </c:pt>
                <c:pt idx="109">
                  <c:v>26.576924949923516</c:v>
                </c:pt>
                <c:pt idx="110">
                  <c:v>26.382936855004854</c:v>
                </c:pt>
                <c:pt idx="111">
                  <c:v>26.189223185196933</c:v>
                </c:pt>
                <c:pt idx="112">
                  <c:v>25.995796042653431</c:v>
                </c:pt>
                <c:pt idx="113">
                  <c:v>25.802668023743252</c:v>
                </c:pt>
                <c:pt idx="114">
                  <c:v>25.609852235566972</c:v>
                </c:pt>
                <c:pt idx="115">
                  <c:v>25.417362312676918</c:v>
                </c:pt>
                <c:pt idx="116">
                  <c:v>25.225212433966661</c:v>
                </c:pt>
                <c:pt idx="117">
                  <c:v>25.033417339688292</c:v>
                </c:pt>
                <c:pt idx="118">
                  <c:v>24.841992348555415</c:v>
                </c:pt>
                <c:pt idx="119">
                  <c:v>24.650953374879926</c:v>
                </c:pt>
                <c:pt idx="120">
                  <c:v>24.460316945688504</c:v>
                </c:pt>
                <c:pt idx="121">
                  <c:v>24.27010021775585</c:v>
                </c:pt>
                <c:pt idx="122">
                  <c:v>24.080320994489544</c:v>
                </c:pt>
                <c:pt idx="123">
                  <c:v>23.89099774258959</c:v>
                </c:pt>
                <c:pt idx="124">
                  <c:v>23.702149608403616</c:v>
                </c:pt>
                <c:pt idx="125">
                  <c:v>23.513796433888121</c:v>
                </c:pt>
                <c:pt idx="126">
                  <c:v>23.32595877208048</c:v>
                </c:pt>
                <c:pt idx="127">
                  <c:v>23.138657901977577</c:v>
                </c:pt>
                <c:pt idx="128">
                  <c:v>22.951915842710456</c:v>
                </c:pt>
                <c:pt idx="129">
                  <c:v>22.765755366893366</c:v>
                </c:pt>
                <c:pt idx="130">
                  <c:v>22.580200013020203</c:v>
                </c:pt>
                <c:pt idx="131">
                  <c:v>22.395274096771875</c:v>
                </c:pt>
                <c:pt idx="132">
                  <c:v>22.211002721088043</c:v>
                </c:pt>
                <c:pt idx="133">
                  <c:v>22.027411784851616</c:v>
                </c:pt>
                <c:pt idx="134">
                  <c:v>21.844527990022318</c:v>
                </c:pt>
                <c:pt idx="135">
                  <c:v>21.662378847051595</c:v>
                </c:pt>
                <c:pt idx="136">
                  <c:v>21.480992678400334</c:v>
                </c:pt>
                <c:pt idx="137">
                  <c:v>21.300398619975304</c:v>
                </c:pt>
                <c:pt idx="138">
                  <c:v>21.120626620294402</c:v>
                </c:pt>
                <c:pt idx="139">
                  <c:v>20.941707437183723</c:v>
                </c:pt>
                <c:pt idx="140">
                  <c:v>20.763672631806141</c:v>
                </c:pt>
                <c:pt idx="141">
                  <c:v>20.586554559816172</c:v>
                </c:pt>
                <c:pt idx="142">
                  <c:v>20.410386359436391</c:v>
                </c:pt>
                <c:pt idx="143">
                  <c:v>20.235201936247293</c:v>
                </c:pt>
                <c:pt idx="144">
                  <c:v>20.061035944484725</c:v>
                </c:pt>
                <c:pt idx="145">
                  <c:v>19.887923764643812</c:v>
                </c:pt>
                <c:pt idx="146">
                  <c:v>19.71590147719089</c:v>
                </c:pt>
                <c:pt idx="147">
                  <c:v>19.545005832194988</c:v>
                </c:pt>
                <c:pt idx="148">
                  <c:v>19.375274214699353</c:v>
                </c:pt>
                <c:pt idx="149">
                  <c:v>19.206744605668259</c:v>
                </c:pt>
                <c:pt idx="150">
                  <c:v>19.039455538358506</c:v>
                </c:pt>
                <c:pt idx="151">
                  <c:v>18.873446049985787</c:v>
                </c:pt>
                <c:pt idx="152">
                  <c:v>18.708755628578896</c:v>
                </c:pt>
                <c:pt idx="153">
                  <c:v>18.545424154938921</c:v>
                </c:pt>
                <c:pt idx="154">
                  <c:v>18.383491839652091</c:v>
                </c:pt>
                <c:pt idx="155">
                  <c:v>18.222999155136293</c:v>
                </c:pt>
                <c:pt idx="156">
                  <c:v>18.06398676273804</c:v>
                </c:pt>
                <c:pt idx="157">
                  <c:v>17.906495434935895</c:v>
                </c:pt>
                <c:pt idx="158">
                  <c:v>17.750565972749037</c:v>
                </c:pt>
                <c:pt idx="159">
                  <c:v>17.596239118494999</c:v>
                </c:pt>
                <c:pt idx="160">
                  <c:v>17.443555464088703</c:v>
                </c:pt>
                <c:pt idx="161">
                  <c:v>17.292555355123898</c:v>
                </c:pt>
                <c:pt idx="162">
                  <c:v>17.143278791031765</c:v>
                </c:pt>
                <c:pt idx="163">
                  <c:v>16.995765321661548</c:v>
                </c:pt>
                <c:pt idx="164">
                  <c:v>16.850053940683498</c:v>
                </c:pt>
                <c:pt idx="165">
                  <c:v>16.70618297626562</c:v>
                </c:pt>
                <c:pt idx="166">
                  <c:v>16.564189979527676</c:v>
                </c:pt>
                <c:pt idx="167">
                  <c:v>16.424111611326502</c:v>
                </c:pt>
                <c:pt idx="168">
                  <c:v>16.285983527972306</c:v>
                </c:pt>
                <c:pt idx="169">
                  <c:v>16.149840266519814</c:v>
                </c:pt>
                <c:pt idx="170">
                  <c:v>16.015715130316057</c:v>
                </c:pt>
                <c:pt idx="171">
                  <c:v>15.88364007552061</c:v>
                </c:pt>
                <c:pt idx="172">
                  <c:v>15.753645599339158</c:v>
                </c:pt>
                <c:pt idx="173">
                  <c:v>15.625760630733215</c:v>
                </c:pt>
                <c:pt idx="174">
                  <c:v>15.500012424377754</c:v>
                </c:pt>
                <c:pt idx="175">
                  <c:v>15.376426458643932</c:v>
                </c:pt>
                <c:pt idx="176">
                  <c:v>15.255026338376727</c:v>
                </c:pt>
                <c:pt idx="177">
                  <c:v>15.13583370322301</c:v>
                </c:pt>
                <c:pt idx="178">
                  <c:v>15.018868142239389</c:v>
                </c:pt>
                <c:pt idx="179">
                  <c:v>14.904147115477155</c:v>
                </c:pt>
                <c:pt idx="180">
                  <c:v>14.791685883194415</c:v>
                </c:pt>
                <c:pt idx="181">
                  <c:v>14.681497443296267</c:v>
                </c:pt>
                <c:pt idx="182">
                  <c:v>14.57359247753903</c:v>
                </c:pt>
                <c:pt idx="183">
                  <c:v>14.46797930696804</c:v>
                </c:pt>
                <c:pt idx="184">
                  <c:v>14.364663856980386</c:v>
                </c:pt>
                <c:pt idx="185">
                  <c:v>14.263649632322926</c:v>
                </c:pt>
                <c:pt idx="186">
                  <c:v>14.164937702248569</c:v>
                </c:pt>
                <c:pt idx="187">
                  <c:v>14.068526695964312</c:v>
                </c:pt>
                <c:pt idx="188">
                  <c:v>13.97441280841149</c:v>
                </c:pt>
                <c:pt idx="189">
                  <c:v>13.882589816326036</c:v>
                </c:pt>
                <c:pt idx="190">
                  <c:v>13.793049104435459</c:v>
                </c:pt>
                <c:pt idx="191">
                  <c:v>13.705779701557619</c:v>
                </c:pt>
                <c:pt idx="192">
                  <c:v>13.620768326281611</c:v>
                </c:pt>
                <c:pt idx="193">
                  <c:v>13.537999441829392</c:v>
                </c:pt>
                <c:pt idx="194">
                  <c:v>13.457455319619957</c:v>
                </c:pt>
                <c:pt idx="195">
                  <c:v>13.379116110992159</c:v>
                </c:pt>
                <c:pt idx="196">
                  <c:v>13.302959926478987</c:v>
                </c:pt>
                <c:pt idx="197">
                  <c:v>13.22896292197594</c:v>
                </c:pt>
                <c:pt idx="198">
                  <c:v>13.157099391103618</c:v>
                </c:pt>
                <c:pt idx="199">
                  <c:v>13.087341863029508</c:v>
                </c:pt>
                <c:pt idx="200">
                  <c:v>13.019661204992733</c:v>
                </c:pt>
                <c:pt idx="201">
                  <c:v>12.954026728759338</c:v>
                </c:pt>
                <c:pt idx="202">
                  <c:v>12.890406300232387</c:v>
                </c:pt>
                <c:pt idx="203">
                  <c:v>12.828766451444075</c:v>
                </c:pt>
                <c:pt idx="204">
                  <c:v>12.769072494170617</c:v>
                </c:pt>
                <c:pt idx="205">
                  <c:v>12.711288634431131</c:v>
                </c:pt>
                <c:pt idx="206">
                  <c:v>12.655378087158514</c:v>
                </c:pt>
                <c:pt idx="207">
                  <c:v>12.601303190363932</c:v>
                </c:pt>
                <c:pt idx="208">
                  <c:v>12.549025518158288</c:v>
                </c:pt>
                <c:pt idx="209">
                  <c:v>12.498505992033289</c:v>
                </c:pt>
                <c:pt idx="210">
                  <c:v>12.449704989856475</c:v>
                </c:pt>
                <c:pt idx="211">
                  <c:v>12.402582452081983</c:v>
                </c:pt>
                <c:pt idx="212">
                  <c:v>12.357097984731018</c:v>
                </c:pt>
                <c:pt idx="213">
                  <c:v>12.313210958749288</c:v>
                </c:pt>
                <c:pt idx="214">
                  <c:v>12.270880605402114</c:v>
                </c:pt>
                <c:pt idx="215">
                  <c:v>12.230066107418923</c:v>
                </c:pt>
                <c:pt idx="216">
                  <c:v>12.190726685652233</c:v>
                </c:pt>
                <c:pt idx="217">
                  <c:v>12.152821681064601</c:v>
                </c:pt>
                <c:pt idx="218">
                  <c:v>12.116310631904588</c:v>
                </c:pt>
                <c:pt idx="219">
                  <c:v>12.081153345979684</c:v>
                </c:pt>
                <c:pt idx="220">
                  <c:v>12.047309967973071</c:v>
                </c:pt>
                <c:pt idx="221">
                  <c:v>12.014741041794196</c:v>
                </c:pt>
                <c:pt idx="222">
                  <c:v>11.983407567984404</c:v>
                </c:pt>
                <c:pt idx="223">
                  <c:v>11.953271056235623</c:v>
                </c:pt>
                <c:pt idx="224">
                  <c:v>11.92429357310559</c:v>
                </c:pt>
                <c:pt idx="225">
                  <c:v>11.896437785040826</c:v>
                </c:pt>
                <c:pt idx="226">
                  <c:v>11.869666996840163</c:v>
                </c:pt>
                <c:pt idx="227">
                  <c:v>11.843945185708781</c:v>
                </c:pt>
                <c:pt idx="228">
                  <c:v>11.819237031072484</c:v>
                </c:pt>
                <c:pt idx="229">
                  <c:v>11.795507940330928</c:v>
                </c:pt>
                <c:pt idx="230">
                  <c:v>11.772724070739443</c:v>
                </c:pt>
                <c:pt idx="231">
                  <c:v>11.750852347619334</c:v>
                </c:pt>
                <c:pt idx="232">
                  <c:v>11.729860479097114</c:v>
                </c:pt>
                <c:pt idx="233">
                  <c:v>11.70971696757988</c:v>
                </c:pt>
                <c:pt idx="234">
                  <c:v>11.690391118173588</c:v>
                </c:pt>
                <c:pt idx="235">
                  <c:v>11.67185304424904</c:v>
                </c:pt>
                <c:pt idx="236">
                  <c:v>11.654073670361209</c:v>
                </c:pt>
                <c:pt idx="237">
                  <c:v>11.637024732720127</c:v>
                </c:pt>
                <c:pt idx="238">
                  <c:v>11.620678777410422</c:v>
                </c:pt>
                <c:pt idx="239">
                  <c:v>11.605009156548039</c:v>
                </c:pt>
                <c:pt idx="240">
                  <c:v>11.58999002255813</c:v>
                </c:pt>
                <c:pt idx="241">
                  <c:v>11.575596320750048</c:v>
                </c:pt>
                <c:pt idx="242">
                  <c:v>11.561803780357893</c:v>
                </c:pt>
                <c:pt idx="243">
                  <c:v>11.548588904206824</c:v>
                </c:pt>
                <c:pt idx="244">
                  <c:v>11.535928957158411</c:v>
                </c:pt>
                <c:pt idx="245">
                  <c:v>11.523801953477273</c:v>
                </c:pt>
                <c:pt idx="246">
                  <c:v>11.51218664325658</c:v>
                </c:pt>
                <c:pt idx="247">
                  <c:v>11.501062498026952</c:v>
                </c:pt>
                <c:pt idx="248">
                  <c:v>11.490409695669587</c:v>
                </c:pt>
                <c:pt idx="249">
                  <c:v>11.480209104742427</c:v>
                </c:pt>
                <c:pt idx="250">
                  <c:v>11.470442268323266</c:v>
                </c:pt>
                <c:pt idx="251">
                  <c:v>11.461091387462615</c:v>
                </c:pt>
                <c:pt idx="252">
                  <c:v>11.452139304335418</c:v>
                </c:pt>
                <c:pt idx="253">
                  <c:v>11.443569485170359</c:v>
                </c:pt>
                <c:pt idx="254">
                  <c:v>11.435366003029957</c:v>
                </c:pt>
                <c:pt idx="255">
                  <c:v>11.427513520508398</c:v>
                </c:pt>
                <c:pt idx="256">
                  <c:v>11.419997272406796</c:v>
                </c:pt>
                <c:pt idx="257">
                  <c:v>11.412803048440566</c:v>
                </c:pt>
                <c:pt idx="258">
                  <c:v>11.405917176027936</c:v>
                </c:pt>
                <c:pt idx="259">
                  <c:v>11.399326503201923</c:v>
                </c:pt>
                <c:pt idx="260">
                  <c:v>11.393018381686691</c:v>
                </c:pt>
                <c:pt idx="261">
                  <c:v>11.386980650169779</c:v>
                </c:pt>
                <c:pt idx="262">
                  <c:v>11.38120161780239</c:v>
                </c:pt>
                <c:pt idx="263">
                  <c:v>11.375670047952092</c:v>
                </c:pt>
                <c:pt idx="264">
                  <c:v>11.370375142231094</c:v>
                </c:pt>
                <c:pt idx="265">
                  <c:v>11.365306524818608</c:v>
                </c:pt>
                <c:pt idx="266">
                  <c:v>11.360454227093125</c:v>
                </c:pt>
                <c:pt idx="267">
                  <c:v>11.355808672588154</c:v>
                </c:pt>
                <c:pt idx="268">
                  <c:v>11.351360662280584</c:v>
                </c:pt>
                <c:pt idx="269">
                  <c:v>11.34710136022135</c:v>
                </c:pt>
                <c:pt idx="270">
                  <c:v>11.343022279512587</c:v>
                </c:pt>
                <c:pt idx="271">
                  <c:v>11.339115268636412</c:v>
                </c:pt>
                <c:pt idx="272">
                  <c:v>11.335372498136509</c:v>
                </c:pt>
                <c:pt idx="273">
                  <c:v>11.33178644765405</c:v>
                </c:pt>
                <c:pt idx="274">
                  <c:v>11.3283498933157</c:v>
                </c:pt>
                <c:pt idx="275">
                  <c:v>11.325055895472879</c:v>
                </c:pt>
                <c:pt idx="276">
                  <c:v>11.321897786787964</c:v>
                </c:pt>
                <c:pt idx="277">
                  <c:v>11.318869160663365</c:v>
                </c:pt>
                <c:pt idx="278">
                  <c:v>11.315963860008132</c:v>
                </c:pt>
                <c:pt idx="279">
                  <c:v>11.313175966336434</c:v>
                </c:pt>
                <c:pt idx="280">
                  <c:v>11.31049978919026</c:v>
                </c:pt>
                <c:pt idx="281">
                  <c:v>11.307929855879536</c:v>
                </c:pt>
                <c:pt idx="282">
                  <c:v>11.305460901532356</c:v>
                </c:pt>
                <c:pt idx="283">
                  <c:v>11.303087859445366</c:v>
                </c:pt>
                <c:pt idx="284">
                  <c:v>11.300805851726949</c:v>
                </c:pt>
                <c:pt idx="285">
                  <c:v>11.29861018022404</c:v>
                </c:pt>
                <c:pt idx="286">
                  <c:v>11.296496317721946</c:v>
                </c:pt>
                <c:pt idx="287">
                  <c:v>11.294459899409874</c:v>
                </c:pt>
                <c:pt idx="288">
                  <c:v>11.292496714600071</c:v>
                </c:pt>
                <c:pt idx="289">
                  <c:v>11.290602698692386</c:v>
                </c:pt>
                <c:pt idx="290">
                  <c:v>11.288773925373587</c:v>
                </c:pt>
                <c:pt idx="291">
                  <c:v>11.28700659904165</c:v>
                </c:pt>
                <c:pt idx="292">
                  <c:v>11.285297047444542</c:v>
                </c:pt>
                <c:pt idx="293">
                  <c:v>11.283641714524208</c:v>
                </c:pt>
                <c:pt idx="294">
                  <c:v>11.28203715345445</c:v>
                </c:pt>
                <c:pt idx="295">
                  <c:v>11.280480019864187</c:v>
                </c:pt>
                <c:pt idx="296">
                  <c:v>11.278967065233987</c:v>
                </c:pt>
                <c:pt idx="297">
                  <c:v>11.277495130458268</c:v>
                </c:pt>
                <c:pt idx="298">
                  <c:v>11.276061139560618</c:v>
                </c:pt>
                <c:pt idx="299">
                  <c:v>11.2746620935546</c:v>
                </c:pt>
                <c:pt idx="300">
                  <c:v>11.273295064438173</c:v>
                </c:pt>
                <c:pt idx="301">
                  <c:v>11.2719571893136</c:v>
                </c:pt>
                <c:pt idx="302">
                  <c:v>11.270645664621984</c:v>
                </c:pt>
                <c:pt idx="303">
                  <c:v>11.26935774048259</c:v>
                </c:pt>
                <c:pt idx="304">
                  <c:v>11.268090715128574</c:v>
                </c:pt>
                <c:pt idx="305">
                  <c:v>11.266841929427811</c:v>
                </c:pt>
                <c:pt idx="306">
                  <c:v>11.265608761480848</c:v>
                </c:pt>
                <c:pt idx="307">
                  <c:v>11.264388621285356</c:v>
                </c:pt>
                <c:pt idx="308">
                  <c:v>11.263178945458044</c:v>
                </c:pt>
                <c:pt idx="309">
                  <c:v>11.261977192004839</c:v>
                </c:pt>
                <c:pt idx="310">
                  <c:v>11.260780835129561</c:v>
                </c:pt>
                <c:pt idx="311">
                  <c:v>11.259587360072016</c:v>
                </c:pt>
                <c:pt idx="312">
                  <c:v>11.258394257966106</c:v>
                </c:pt>
                <c:pt idx="313">
                  <c:v>11.257199020708654</c:v>
                </c:pt>
                <c:pt idx="314">
                  <c:v>11.255999135829178</c:v>
                </c:pt>
                <c:pt idx="315">
                  <c:v>11.254792081352686</c:v>
                </c:pt>
                <c:pt idx="316">
                  <c:v>11.253575320644096</c:v>
                </c:pt>
                <c:pt idx="317">
                  <c:v>11.252346297227112</c:v>
                </c:pt>
                <c:pt idx="318">
                  <c:v>11.251102429566647</c:v>
                </c:pt>
                <c:pt idx="319">
                  <c:v>11.249841105805761</c:v>
                </c:pt>
                <c:pt idx="320">
                  <c:v>11.24855967844907</c:v>
                </c:pt>
                <c:pt idx="321">
                  <c:v>11.247255458980398</c:v>
                </c:pt>
                <c:pt idx="322">
                  <c:v>11.245925712408457</c:v>
                </c:pt>
                <c:pt idx="323">
                  <c:v>11.244567651728003</c:v>
                </c:pt>
                <c:pt idx="324">
                  <c:v>11.243178432289728</c:v>
                </c:pt>
                <c:pt idx="325">
                  <c:v>11.241755146066474</c:v>
                </c:pt>
                <c:pt idx="326">
                  <c:v>11.240294815808396</c:v>
                </c:pt>
                <c:pt idx="327">
                  <c:v>11.238794389075554</c:v>
                </c:pt>
                <c:pt idx="328">
                  <c:v>11.237250732139492</c:v>
                </c:pt>
                <c:pt idx="329">
                  <c:v>11.23566062374357</c:v>
                </c:pt>
                <c:pt idx="330">
                  <c:v>11.234020748710572</c:v>
                </c:pt>
                <c:pt idx="331">
                  <c:v>11.232327691390587</c:v>
                </c:pt>
                <c:pt idx="332">
                  <c:v>11.230577928936354</c:v>
                </c:pt>
                <c:pt idx="333">
                  <c:v>11.22876782439738</c:v>
                </c:pt>
                <c:pt idx="334">
                  <c:v>11.226893619622786</c:v>
                </c:pt>
                <c:pt idx="335">
                  <c:v>11.224951427962122</c:v>
                </c:pt>
                <c:pt idx="336">
                  <c:v>11.222937226754517</c:v>
                </c:pt>
                <c:pt idx="337">
                  <c:v>11.220846849595993</c:v>
                </c:pt>
                <c:pt idx="338">
                  <c:v>11.218675978374673</c:v>
                </c:pt>
                <c:pt idx="339">
                  <c:v>11.216420135064544</c:v>
                </c:pt>
                <c:pt idx="340">
                  <c:v>11.214074673266747</c:v>
                </c:pt>
                <c:pt idx="341">
                  <c:v>11.211634769489844</c:v>
                </c:pt>
                <c:pt idx="342">
                  <c:v>11.209095414158837</c:v>
                </c:pt>
                <c:pt idx="343">
                  <c:v>11.20645140234325</c:v>
                </c:pt>
                <c:pt idx="344">
                  <c:v>11.203697324196337</c:v>
                </c:pt>
                <c:pt idx="345">
                  <c:v>11.20082755509477</c:v>
                </c:pt>
                <c:pt idx="346">
                  <c:v>11.197836245471972</c:v>
                </c:pt>
                <c:pt idx="347">
                  <c:v>11.194717310336337</c:v>
                </c:pt>
                <c:pt idx="348">
                  <c:v>11.19146441846681</c:v>
                </c:pt>
                <c:pt idx="349">
                  <c:v>11.188070981278377</c:v>
                </c:pt>
                <c:pt idx="350">
                  <c:v>11.18453014135298</c:v>
                </c:pt>
                <c:pt idx="351">
                  <c:v>11.180834760627576</c:v>
                </c:pt>
                <c:pt idx="352">
                  <c:v>11.176977408237125</c:v>
                </c:pt>
                <c:pt idx="353">
                  <c:v>11.172950348007413</c:v>
                </c:pt>
                <c:pt idx="354">
                  <c:v>11.168745525596179</c:v>
                </c:pt>
                <c:pt idx="355">
                  <c:v>11.164354555279306</c:v>
                </c:pt>
                <c:pt idx="356">
                  <c:v>11.159768706385316</c:v>
                </c:pt>
                <c:pt idx="357">
                  <c:v>11.154978889376315</c:v>
                </c:pt>
                <c:pt idx="358">
                  <c:v>11.14997564158114</c:v>
                </c:pt>
                <c:pt idx="359">
                  <c:v>11.144749112584995</c:v>
                </c:pt>
                <c:pt idx="360">
                  <c:v>11.13928904928321</c:v>
                </c:pt>
                <c:pt idx="361">
                  <c:v>11.133584780608309</c:v>
                </c:pt>
                <c:pt idx="362">
                  <c:v>11.127625201943115</c:v>
                </c:pt>
                <c:pt idx="363">
                  <c:v>11.121398759234642</c:v>
                </c:pt>
                <c:pt idx="364">
                  <c:v>11.114893432826904</c:v>
                </c:pt>
                <c:pt idx="365">
                  <c:v>11.10809672103308</c:v>
                </c:pt>
                <c:pt idx="366">
                  <c:v>11.100995623473423</c:v>
                </c:pt>
                <c:pt idx="367">
                  <c:v>11.093576624205792</c:v>
                </c:pt>
                <c:pt idx="368">
                  <c:v>11.08582567468326</c:v>
                </c:pt>
                <c:pt idx="369">
                  <c:v>11.077728176574897</c:v>
                </c:pt>
                <c:pt idx="370">
                  <c:v>11.069268964491986</c:v>
                </c:pt>
                <c:pt idx="371">
                  <c:v>11.060432288668062</c:v>
                </c:pt>
                <c:pt idx="372">
                  <c:v>11.051201797643571</c:v>
                </c:pt>
                <c:pt idx="373">
                  <c:v>11.041560521015013</c:v>
                </c:pt>
                <c:pt idx="374">
                  <c:v>11.031490852312524</c:v>
                </c:pt>
                <c:pt idx="375">
                  <c:v>11.020974532077265</c:v>
                </c:pt>
                <c:pt idx="376">
                  <c:v>11.009992631216099</c:v>
                </c:pt>
                <c:pt idx="377">
                  <c:v>10.998525534719015</c:v>
                </c:pt>
                <c:pt idx="378">
                  <c:v>10.986552925831273</c:v>
                </c:pt>
                <c:pt idx="379">
                  <c:v>10.974053770780657</c:v>
                </c:pt>
                <c:pt idx="380">
                  <c:v>10.961006304167622</c:v>
                </c:pt>
                <c:pt idx="381">
                  <c:v>10.947388015134711</c:v>
                </c:pt>
                <c:pt idx="382">
                  <c:v>10.933175634439689</c:v>
                </c:pt>
                <c:pt idx="383">
                  <c:v>10.918345122565245</c:v>
                </c:pt>
                <c:pt idx="384">
                  <c:v>10.902871659006703</c:v>
                </c:pt>
                <c:pt idx="385">
                  <c:v>10.886729632887299</c:v>
                </c:pt>
                <c:pt idx="386">
                  <c:v>10.869892635059553</c:v>
                </c:pt>
                <c:pt idx="387">
                  <c:v>10.852333451858469</c:v>
                </c:pt>
                <c:pt idx="388">
                  <c:v>10.834024060680621</c:v>
                </c:pt>
                <c:pt idx="389">
                  <c:v>10.814935627570444</c:v>
                </c:pt>
                <c:pt idx="390">
                  <c:v>10.795038507001482</c:v>
                </c:pt>
                <c:pt idx="391">
                  <c:v>10.774302244046357</c:v>
                </c:pt>
                <c:pt idx="392">
                  <c:v>10.752695579134592</c:v>
                </c:pt>
                <c:pt idx="393">
                  <c:v>10.730186455601094</c:v>
                </c:pt>
                <c:pt idx="394">
                  <c:v>10.706742030229837</c:v>
                </c:pt>
                <c:pt idx="395">
                  <c:v>10.68232868700197</c:v>
                </c:pt>
                <c:pt idx="396">
                  <c:v>10.656912054250764</c:v>
                </c:pt>
                <c:pt idx="397">
                  <c:v>10.630457025431479</c:v>
                </c:pt>
                <c:pt idx="398">
                  <c:v>10.602927783702468</c:v>
                </c:pt>
                <c:pt idx="399">
                  <c:v>10.574287830511796</c:v>
                </c:pt>
                <c:pt idx="400">
                  <c:v>10.544500018372226</c:v>
                </c:pt>
                <c:pt idx="401">
                  <c:v>10.513526587996662</c:v>
                </c:pt>
                <c:pt idx="402">
                  <c:v>10.481329209949923</c:v>
                </c:pt>
                <c:pt idx="403">
                  <c:v>10.447869030955552</c:v>
                </c:pt>
                <c:pt idx="404">
                  <c:v>10.413106724975844</c:v>
                </c:pt>
                <c:pt idx="405">
                  <c:v>10.377002549156236</c:v>
                </c:pt>
                <c:pt idx="406">
                  <c:v>10.339516404701374</c:v>
                </c:pt>
                <c:pt idx="407">
                  <c:v>10.30060790271386</c:v>
                </c:pt>
                <c:pt idx="408">
                  <c:v>10.260236434996795</c:v>
                </c:pt>
                <c:pt idx="409">
                  <c:v>10.218361249778852</c:v>
                </c:pt>
                <c:pt idx="410">
                  <c:v>10.174941532282434</c:v>
                </c:pt>
                <c:pt idx="411">
                  <c:v>10.129936490010776</c:v>
                </c:pt>
                <c:pt idx="412">
                  <c:v>10.08330544257975</c:v>
                </c:pt>
                <c:pt idx="413">
                  <c:v>10.035007915876818</c:v>
                </c:pt>
                <c:pt idx="414">
                  <c:v>9.9850037402726475</c:v>
                </c:pt>
                <c:pt idx="415">
                  <c:v>9.9332531525628269</c:v>
                </c:pt>
                <c:pt idx="416">
                  <c:v>9.8797169012617569</c:v>
                </c:pt>
                <c:pt idx="417">
                  <c:v>9.824356354819038</c:v>
                </c:pt>
                <c:pt idx="418">
                  <c:v>9.7671336122758934</c:v>
                </c:pt>
                <c:pt idx="419">
                  <c:v>9.7080116158286103</c:v>
                </c:pt>
                <c:pt idx="420">
                  <c:v>9.6469542647182003</c:v>
                </c:pt>
                <c:pt idx="421">
                  <c:v>9.5839265298196779</c:v>
                </c:pt>
                <c:pt idx="422">
                  <c:v>9.5188945682650399</c:v>
                </c:pt>
                <c:pt idx="423">
                  <c:v>9.4518258373969388</c:v>
                </c:pt>
                <c:pt idx="424">
                  <c:v>9.3826892073226347</c:v>
                </c:pt>
                <c:pt idx="425">
                  <c:v>9.3114550713123752</c:v>
                </c:pt>
                <c:pt idx="426">
                  <c:v>9.2380954532748767</c:v>
                </c:pt>
                <c:pt idx="427">
                  <c:v>9.1625841115312916</c:v>
                </c:pt>
                <c:pt idx="428">
                  <c:v>9.08489663811668</c:v>
                </c:pt>
                <c:pt idx="429">
                  <c:v>9.0050105528444888</c:v>
                </c:pt>
                <c:pt idx="430">
                  <c:v>8.9229053913912608</c:v>
                </c:pt>
                <c:pt idx="431">
                  <c:v>8.8385627866939025</c:v>
                </c:pt>
                <c:pt idx="432">
                  <c:v>8.7519665429836309</c:v>
                </c:pt>
                <c:pt idx="433">
                  <c:v>8.6631027018368716</c:v>
                </c:pt>
                <c:pt idx="434">
                  <c:v>8.5719595996791647</c:v>
                </c:pt>
                <c:pt idx="435">
                  <c:v>8.4785279162419815</c:v>
                </c:pt>
                <c:pt idx="436">
                  <c:v>8.3828007135493436</c:v>
                </c:pt>
                <c:pt idx="437">
                  <c:v>8.2847734650881524</c:v>
                </c:pt>
                <c:pt idx="438">
                  <c:v>8.1844440749034337</c:v>
                </c:pt>
                <c:pt idx="439">
                  <c:v>8.0818128864453751</c:v>
                </c:pt>
                <c:pt idx="440">
                  <c:v>7.9768826810916185</c:v>
                </c:pt>
                <c:pt idx="441">
                  <c:v>7.8696586663541783</c:v>
                </c:pt>
                <c:pt idx="442">
                  <c:v>7.7601484538805741</c:v>
                </c:pt>
                <c:pt idx="443">
                  <c:v>7.6483620274428032</c:v>
                </c:pt>
                <c:pt idx="444">
                  <c:v>7.5343117012011751</c:v>
                </c:pt>
                <c:pt idx="445">
                  <c:v>7.4180120686093689</c:v>
                </c:pt>
                <c:pt idx="446">
                  <c:v>7.2994799424080412</c:v>
                </c:pt>
                <c:pt idx="447">
                  <c:v>7.178734286225307</c:v>
                </c:pt>
                <c:pt idx="448">
                  <c:v>7.0557961383637249</c:v>
                </c:pt>
                <c:pt idx="449">
                  <c:v>6.9306885284129667</c:v>
                </c:pt>
                <c:pt idx="450">
                  <c:v>6.8034363873710957</c:v>
                </c:pt>
                <c:pt idx="451">
                  <c:v>6.6740664519948565</c:v>
                </c:pt>
                <c:pt idx="452">
                  <c:v>6.5426071641290839</c:v>
                </c:pt>
                <c:pt idx="453">
                  <c:v>6.4090885657805332</c:v>
                </c:pt>
                <c:pt idx="454">
                  <c:v>6.2735421907122628</c:v>
                </c:pt>
                <c:pt idx="455">
                  <c:v>6.1360009533342144</c:v>
                </c:pt>
                <c:pt idx="456">
                  <c:v>5.9964990356536862</c:v>
                </c:pt>
                <c:pt idx="457">
                  <c:v>5.8550717730371158</c:v>
                </c:pt>
                <c:pt idx="458">
                  <c:v>5.711755539504173</c:v>
                </c:pt>
                <c:pt idx="459">
                  <c:v>5.5665876332486377</c:v>
                </c:pt>
                <c:pt idx="460">
                  <c:v>5.419606163040962</c:v>
                </c:pt>
                <c:pt idx="461">
                  <c:v>5.2708499361260976</c:v>
                </c:pt>
                <c:pt idx="462">
                  <c:v>5.120358348184002</c:v>
                </c:pt>
                <c:pt idx="463">
                  <c:v>4.9681712758717662</c:v>
                </c:pt>
                <c:pt idx="464">
                  <c:v>4.8143289724156348</c:v>
                </c:pt>
                <c:pt idx="465">
                  <c:v>4.6588719666659175</c:v>
                </c:pt>
                <c:pt idx="466">
                  <c:v>4.5018409659790493</c:v>
                </c:pt>
                <c:pt idx="467">
                  <c:v>4.3432767632345177</c:v>
                </c:pt>
                <c:pt idx="468">
                  <c:v>4.1832201482435529</c:v>
                </c:pt>
                <c:pt idx="469">
                  <c:v>4.0217118237576575</c:v>
                </c:pt>
                <c:pt idx="470">
                  <c:v>3.8587923262331412</c:v>
                </c:pt>
                <c:pt idx="471">
                  <c:v>3.6945019514648294</c:v>
                </c:pt>
                <c:pt idx="472">
                  <c:v>3.5288806851568766</c:v>
                </c:pt>
                <c:pt idx="473">
                  <c:v>3.3619681384585798</c:v>
                </c:pt>
                <c:pt idx="474">
                  <c:v>3.1938034884567323</c:v>
                </c:pt>
                <c:pt idx="475">
                  <c:v>3.0244254235805554</c:v>
                </c:pt>
                <c:pt idx="476">
                  <c:v>2.8538720938470563</c:v>
                </c:pt>
                <c:pt idx="477">
                  <c:v>2.682181065845783</c:v>
                </c:pt>
                <c:pt idx="478">
                  <c:v>2.5093892823390314</c:v>
                </c:pt>
                <c:pt idx="479">
                  <c:v>2.3355330263341014</c:v>
                </c:pt>
                <c:pt idx="480">
                  <c:v>2.1606478894656727</c:v>
                </c:pt>
                <c:pt idx="481">
                  <c:v>1.984768744513745</c:v>
                </c:pt>
                <c:pt idx="482">
                  <c:v>1.8079297218694093</c:v>
                </c:pt>
                <c:pt idx="483">
                  <c:v>1.6301641897550914</c:v>
                </c:pt>
                <c:pt idx="484">
                  <c:v>1.4515047379971191</c:v>
                </c:pt>
                <c:pt idx="485">
                  <c:v>1.2719831651453684</c:v>
                </c:pt>
                <c:pt idx="486">
                  <c:v>1.0916304687348606</c:v>
                </c:pt>
                <c:pt idx="487">
                  <c:v>0.91047683848037031</c:v>
                </c:pt>
                <c:pt idx="488">
                  <c:v>0.72855165220142082</c:v>
                </c:pt>
                <c:pt idx="489">
                  <c:v>0.54588347427353301</c:v>
                </c:pt>
                <c:pt idx="490">
                  <c:v>0.36250005640990907</c:v>
                </c:pt>
                <c:pt idx="491">
                  <c:v>0.17842834057908677</c:v>
                </c:pt>
                <c:pt idx="492">
                  <c:v>-6.3055361256407153E-3</c:v>
                </c:pt>
                <c:pt idx="493">
                  <c:v>-0.19167623484532523</c:v>
                </c:pt>
                <c:pt idx="494">
                  <c:v>-0.37765920671542047</c:v>
                </c:pt>
                <c:pt idx="495">
                  <c:v>-0.56423068318995728</c:v>
                </c:pt>
                <c:pt idx="496">
                  <c:v>-0.75136766508652397</c:v>
                </c:pt>
                <c:pt idx="497">
                  <c:v>-0.93904791049877634</c:v>
                </c:pt>
                <c:pt idx="498">
                  <c:v>-1.1272499217172323</c:v>
                </c:pt>
                <c:pt idx="499">
                  <c:v>-1.3159529312868581</c:v>
                </c:pt>
                <c:pt idx="500">
                  <c:v>-1.5051368873265905</c:v>
                </c:pt>
                <c:pt idx="501">
                  <c:v>-1.6947824382219454</c:v>
                </c:pt>
                <c:pt idx="502">
                  <c:v>-1.8848709167991526</c:v>
                </c:pt>
                <c:pt idx="503">
                  <c:v>-2.0753843240775245</c:v>
                </c:pt>
                <c:pt idx="504">
                  <c:v>-2.2663053126918737</c:v>
                </c:pt>
                <c:pt idx="505">
                  <c:v>-2.4576171700663965</c:v>
                </c:pt>
                <c:pt idx="506">
                  <c:v>-2.6493038014181751</c:v>
                </c:pt>
                <c:pt idx="507">
                  <c:v>-2.8413497126590048</c:v>
                </c:pt>
                <c:pt idx="508">
                  <c:v>-3.0337399932582816</c:v>
                </c:pt>
                <c:pt idx="509">
                  <c:v>-3.226460299124807</c:v>
                </c:pt>
                <c:pt idx="510">
                  <c:v>-3.4194968355589634</c:v>
                </c:pt>
                <c:pt idx="511">
                  <c:v>-3.6128363403208148</c:v>
                </c:pt>
                <c:pt idx="512">
                  <c:v>-3.8064660668557804</c:v>
                </c:pt>
                <c:pt idx="513">
                  <c:v>-4.0003737677144411</c:v>
                </c:pt>
                <c:pt idx="514">
                  <c:v>-4.1945476781977833</c:v>
                </c:pt>
                <c:pt idx="515">
                  <c:v>-4.3889765002569421</c:v>
                </c:pt>
                <c:pt idx="516">
                  <c:v>-4.5836493866712251</c:v>
                </c:pt>
                <c:pt idx="517">
                  <c:v>-4.778555925524917</c:v>
                </c:pt>
                <c:pt idx="518">
                  <c:v>-4.9736861250017652</c:v>
                </c:pt>
                <c:pt idx="519">
                  <c:v>-5.1690303985101282</c:v>
                </c:pt>
                <c:pt idx="520">
                  <c:v>-5.3645795501527331</c:v>
                </c:pt>
                <c:pt idx="521">
                  <c:v>-5.5603247605490029</c:v>
                </c:pt>
                <c:pt idx="522">
                  <c:v>-5.7562575730186296</c:v>
                </c:pt>
                <c:pt idx="523">
                  <c:v>-5.9523698801314353</c:v>
                </c:pt>
                <c:pt idx="524">
                  <c:v>-6.1486539106262814</c:v>
                </c:pt>
                <c:pt idx="525">
                  <c:v>-6.3451022167027862</c:v>
                </c:pt>
                <c:pt idx="526">
                  <c:v>-6.5417076616840273</c:v>
                </c:pt>
                <c:pt idx="527">
                  <c:v>-6.7384634080520538</c:v>
                </c:pt>
                <c:pt idx="528">
                  <c:v>-6.9353629058513446</c:v>
                </c:pt>
                <c:pt idx="529">
                  <c:v>-7.1323998814597989</c:v>
                </c:pt>
                <c:pt idx="530">
                  <c:v>-7.3295683267221463</c:v>
                </c:pt>
                <c:pt idx="531">
                  <c:v>-7.5268624884401039</c:v>
                </c:pt>
                <c:pt idx="532">
                  <c:v>-7.7242768582159407</c:v>
                </c:pt>
                <c:pt idx="533">
                  <c:v>-7.9218061626425111</c:v>
                </c:pt>
                <c:pt idx="534">
                  <c:v>-8.1194453538322104</c:v>
                </c:pt>
                <c:pt idx="535">
                  <c:v>-8.3171896002797077</c:v>
                </c:pt>
                <c:pt idx="536">
                  <c:v>-8.5150342780499351</c:v>
                </c:pt>
                <c:pt idx="537">
                  <c:v>-8.712974962284628</c:v>
                </c:pt>
                <c:pt idx="538">
                  <c:v>-8.9110074190184179</c:v>
                </c:pt>
                <c:pt idx="539">
                  <c:v>-9.1091275972982793</c:v>
                </c:pt>
                <c:pt idx="540">
                  <c:v>-9.3073316215960915</c:v>
                </c:pt>
                <c:pt idx="541">
                  <c:v>-9.5056157845082687</c:v>
                </c:pt>
              </c:numCache>
            </c:numRef>
          </c:yVal>
          <c:smooth val="1"/>
          <c:extLst>
            <c:ext xmlns:c16="http://schemas.microsoft.com/office/drawing/2014/chart" uri="{C3380CC4-5D6E-409C-BE32-E72D297353CC}">
              <c16:uniqueId val="{00000000-0B5D-4E78-BD48-CC54C4E43363}"/>
            </c:ext>
          </c:extLst>
        </c:ser>
        <c:dLbls>
          <c:showLegendKey val="0"/>
          <c:showVal val="0"/>
          <c:showCatName val="0"/>
          <c:showSerName val="0"/>
          <c:showPercent val="0"/>
          <c:showBubbleSize val="0"/>
        </c:dLbls>
        <c:axId val="555280640"/>
        <c:axId val="365437312"/>
      </c:scatterChart>
      <c:scatterChart>
        <c:scatterStyle val="smoothMarker"/>
        <c:varyColors val="0"/>
        <c:ser>
          <c:idx val="1"/>
          <c:order val="1"/>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Loop_Modeling!$BE$19:$BE$560</c:f>
              <c:numCache>
                <c:formatCode>General</c:formatCode>
                <c:ptCount val="542"/>
                <c:pt idx="0">
                  <c:v>90.807969932783209</c:v>
                </c:pt>
                <c:pt idx="1">
                  <c:v>90.826787364118942</c:v>
                </c:pt>
                <c:pt idx="2">
                  <c:v>90.846042923385426</c:v>
                </c:pt>
                <c:pt idx="3">
                  <c:v>90.865746802569348</c:v>
                </c:pt>
                <c:pt idx="4">
                  <c:v>90.885909430106793</c:v>
                </c:pt>
                <c:pt idx="5">
                  <c:v>90.906541476322914</c:v>
                </c:pt>
                <c:pt idx="6">
                  <c:v>90.92765385899321</c:v>
                </c:pt>
                <c:pt idx="7">
                  <c:v>90.949257749029286</c:v>
                </c:pt>
                <c:pt idx="8">
                  <c:v>90.971364576291521</c:v>
                </c:pt>
                <c:pt idx="9">
                  <c:v>90.993986035531009</c:v>
                </c:pt>
                <c:pt idx="10">
                  <c:v>91.017134092463564</c:v>
                </c:pt>
                <c:pt idx="11">
                  <c:v>91.0408209899784</c:v>
                </c:pt>
                <c:pt idx="12">
                  <c:v>91.065059254484041</c:v>
                </c:pt>
                <c:pt idx="13">
                  <c:v>91.089861702394117</c:v>
                </c:pt>
                <c:pt idx="14">
                  <c:v>91.115241446755931</c:v>
                </c:pt>
                <c:pt idx="15">
                  <c:v>91.141211904024217</c:v>
                </c:pt>
                <c:pt idx="16">
                  <c:v>91.167786800983208</c:v>
                </c:pt>
                <c:pt idx="17">
                  <c:v>91.194980181819417</c:v>
                </c:pt>
                <c:pt idx="18">
                  <c:v>91.22280641534806</c:v>
                </c:pt>
                <c:pt idx="19">
                  <c:v>91.251280202396075</c:v>
                </c:pt>
                <c:pt idx="20">
                  <c:v>91.280416583344078</c:v>
                </c:pt>
                <c:pt idx="21">
                  <c:v>91.310230945830725</c:v>
                </c:pt>
                <c:pt idx="22">
                  <c:v>91.340739032621514</c:v>
                </c:pt>
                <c:pt idx="23">
                  <c:v>91.371956949645522</c:v>
                </c:pt>
                <c:pt idx="24">
                  <c:v>91.403901174202375</c:v>
                </c:pt>
                <c:pt idx="25">
                  <c:v>91.436588563342525</c:v>
                </c:pt>
                <c:pt idx="26">
                  <c:v>91.470036362423471</c:v>
                </c:pt>
                <c:pt idx="27">
                  <c:v>91.504262213844569</c:v>
                </c:pt>
                <c:pt idx="28">
                  <c:v>91.539284165963338</c:v>
                </c:pt>
                <c:pt idx="29">
                  <c:v>91.575120682195774</c:v>
                </c:pt>
                <c:pt idx="30">
                  <c:v>91.611790650303206</c:v>
                </c:pt>
                <c:pt idx="31">
                  <c:v>91.649313391868645</c:v>
                </c:pt>
                <c:pt idx="32">
                  <c:v>91.687708671964444</c:v>
                </c:pt>
                <c:pt idx="33">
                  <c:v>91.726996709014216</c:v>
                </c:pt>
                <c:pt idx="34">
                  <c:v>91.767198184851338</c:v>
                </c:pt>
                <c:pt idx="35">
                  <c:v>91.808334254975634</c:v>
                </c:pt>
                <c:pt idx="36">
                  <c:v>91.850426559011225</c:v>
                </c:pt>
                <c:pt idx="37">
                  <c:v>91.893497231366808</c:v>
                </c:pt>
                <c:pt idx="38">
                  <c:v>91.937568912100417</c:v>
                </c:pt>
                <c:pt idx="39">
                  <c:v>91.982664757990662</c:v>
                </c:pt>
                <c:pt idx="40">
                  <c:v>92.028808453815131</c:v>
                </c:pt>
                <c:pt idx="41">
                  <c:v>92.07602422383836</c:v>
                </c:pt>
                <c:pt idx="42">
                  <c:v>92.124336843509212</c:v>
                </c:pt>
                <c:pt idx="43">
                  <c:v>92.173771651369591</c:v>
                </c:pt>
                <c:pt idx="44">
                  <c:v>92.22435456117438</c:v>
                </c:pt>
                <c:pt idx="45">
                  <c:v>92.276112074222965</c:v>
                </c:pt>
                <c:pt idx="46">
                  <c:v>92.329071291902707</c:v>
                </c:pt>
                <c:pt idx="47">
                  <c:v>92.383259928443351</c:v>
                </c:pt>
                <c:pt idx="48">
                  <c:v>92.438706323882187</c:v>
                </c:pt>
                <c:pt idx="49">
                  <c:v>92.49543945723839</c:v>
                </c:pt>
                <c:pt idx="50">
                  <c:v>92.55348895989502</c:v>
                </c:pt>
                <c:pt idx="51">
                  <c:v>92.612885129186765</c:v>
                </c:pt>
                <c:pt idx="52">
                  <c:v>92.673658942190286</c:v>
                </c:pt>
                <c:pt idx="53">
                  <c:v>92.735842069714636</c:v>
                </c:pt>
                <c:pt idx="54">
                  <c:v>92.799466890487039</c:v>
                </c:pt>
                <c:pt idx="55">
                  <c:v>92.864566505530533</c:v>
                </c:pt>
                <c:pt idx="56">
                  <c:v>92.931174752727074</c:v>
                </c:pt>
                <c:pt idx="57">
                  <c:v>92.999326221561134</c:v>
                </c:pt>
                <c:pt idx="58">
                  <c:v>93.069056268036249</c:v>
                </c:pt>
                <c:pt idx="59">
                  <c:v>93.140401029756688</c:v>
                </c:pt>
                <c:pt idx="60">
                  <c:v>93.213397441166023</c:v>
                </c:pt>
                <c:pt idx="61">
                  <c:v>93.288083248931954</c:v>
                </c:pt>
                <c:pt idx="62">
                  <c:v>93.364497027467095</c:v>
                </c:pt>
                <c:pt idx="63">
                  <c:v>93.442678194572977</c:v>
                </c:pt>
                <c:pt idx="64">
                  <c:v>93.522667027194046</c:v>
                </c:pt>
                <c:pt idx="65">
                  <c:v>93.604504677266306</c:v>
                </c:pt>
                <c:pt idx="66">
                  <c:v>93.688233187644741</c:v>
                </c:pt>
                <c:pt idx="67">
                  <c:v>93.77389550809049</c:v>
                </c:pt>
                <c:pt idx="68">
                  <c:v>93.861535511298712</c:v>
                </c:pt>
                <c:pt idx="69">
                  <c:v>93.951198008945028</c:v>
                </c:pt>
                <c:pt idx="70">
                  <c:v>94.042928767726622</c:v>
                </c:pt>
                <c:pt idx="71">
                  <c:v>94.13677452537253</c:v>
                </c:pt>
                <c:pt idx="72">
                  <c:v>94.232783006594389</c:v>
                </c:pt>
                <c:pt idx="73">
                  <c:v>94.331002938947549</c:v>
                </c:pt>
                <c:pt idx="74">
                  <c:v>94.431484068568892</c:v>
                </c:pt>
                <c:pt idx="75">
                  <c:v>94.534277175755506</c:v>
                </c:pt>
                <c:pt idx="76">
                  <c:v>94.639434090345119</c:v>
                </c:pt>
                <c:pt idx="77">
                  <c:v>94.747007706856365</c:v>
                </c:pt>
                <c:pt idx="78">
                  <c:v>94.857051999343</c:v>
                </c:pt>
                <c:pt idx="79">
                  <c:v>94.969622035913233</c:v>
                </c:pt>
                <c:pt idx="80">
                  <c:v>95.084773992861216</c:v>
                </c:pt>
                <c:pt idx="81">
                  <c:v>95.202565168353956</c:v>
                </c:pt>
                <c:pt idx="82">
                  <c:v>95.323053995611687</c:v>
                </c:pt>
                <c:pt idx="83">
                  <c:v>95.446300055517426</c:v>
                </c:pt>
                <c:pt idx="84">
                  <c:v>95.572364088583484</c:v>
                </c:pt>
                <c:pt idx="85">
                  <c:v>95.701308006200847</c:v>
                </c:pt>
                <c:pt idx="86">
                  <c:v>95.833194901088987</c:v>
                </c:pt>
                <c:pt idx="87">
                  <c:v>95.968089056861373</c:v>
                </c:pt>
                <c:pt idx="88">
                  <c:v>96.106055956611854</c:v>
                </c:pt>
                <c:pt idx="89">
                  <c:v>96.247162290424995</c:v>
                </c:pt>
                <c:pt idx="90">
                  <c:v>96.391475961703421</c:v>
                </c:pt>
                <c:pt idx="91">
                  <c:v>96.539066092201253</c:v>
                </c:pt>
                <c:pt idx="92">
                  <c:v>96.690003025641616</c:v>
                </c:pt>
                <c:pt idx="93">
                  <c:v>96.844358329793806</c:v>
                </c:pt>
                <c:pt idx="94">
                  <c:v>97.002204796871936</c:v>
                </c:pt>
                <c:pt idx="95">
                  <c:v>97.163616442113323</c:v>
                </c:pt>
                <c:pt idx="96">
                  <c:v>97.328668500383245</c:v>
                </c:pt>
                <c:pt idx="97">
                  <c:v>97.497437420644488</c:v>
                </c:pt>
                <c:pt idx="98">
                  <c:v>97.670000858122535</c:v>
                </c:pt>
                <c:pt idx="99">
                  <c:v>97.846437663983053</c:v>
                </c:pt>
                <c:pt idx="100">
                  <c:v>98.0268278723332</c:v>
                </c:pt>
                <c:pt idx="101">
                  <c:v>98.211252684345652</c:v>
                </c:pt>
                <c:pt idx="102">
                  <c:v>98.399794449292287</c:v>
                </c:pt>
                <c:pt idx="103">
                  <c:v>98.592536642267163</c:v>
                </c:pt>
                <c:pt idx="104">
                  <c:v>98.789563838362753</c:v>
                </c:pt>
                <c:pt idx="105">
                  <c:v>98.990961683056852</c:v>
                </c:pt>
                <c:pt idx="106">
                  <c:v>99.19681685855285</c:v>
                </c:pt>
                <c:pt idx="107">
                  <c:v>99.407217045804686</c:v>
                </c:pt>
                <c:pt idx="108">
                  <c:v>99.622250881948773</c:v>
                </c:pt>
                <c:pt idx="109">
                  <c:v>99.842007912851273</c:v>
                </c:pt>
                <c:pt idx="110">
                  <c:v>100.06657854046894</c:v>
                </c:pt>
                <c:pt idx="111">
                  <c:v>100.29605396471005</c:v>
                </c:pt>
                <c:pt idx="112">
                  <c:v>100.53052611947317</c:v>
                </c:pt>
                <c:pt idx="113">
                  <c:v>100.77008760252784</c:v>
                </c:pt>
                <c:pt idx="114">
                  <c:v>101.01483159889702</c:v>
                </c:pt>
                <c:pt idx="115">
                  <c:v>101.26485179738609</c:v>
                </c:pt>
                <c:pt idx="116">
                  <c:v>101.52024229990147</c:v>
                </c:pt>
                <c:pt idx="117">
                  <c:v>101.78109752319318</c:v>
                </c:pt>
                <c:pt idx="118">
                  <c:v>102.04751209264796</c:v>
                </c:pt>
                <c:pt idx="119">
                  <c:v>102.3195807277616</c:v>
                </c:pt>
                <c:pt idx="120">
                  <c:v>102.59739811891271</c:v>
                </c:pt>
                <c:pt idx="121">
                  <c:v>102.88105879506573</c:v>
                </c:pt>
                <c:pt idx="122">
                  <c:v>103.17065698202765</c:v>
                </c:pt>
                <c:pt idx="123">
                  <c:v>103.4662864508974</c:v>
                </c:pt>
                <c:pt idx="124">
                  <c:v>103.76804035634765</c:v>
                </c:pt>
                <c:pt idx="125">
                  <c:v>104.07601106439944</c:v>
                </c:pt>
                <c:pt idx="126">
                  <c:v>104.39028996936038</c:v>
                </c:pt>
                <c:pt idx="127">
                  <c:v>104.71096729962109</c:v>
                </c:pt>
                <c:pt idx="128">
                  <c:v>105.03813191203184</c:v>
                </c:pt>
                <c:pt idx="129">
                  <c:v>105.37187107460986</c:v>
                </c:pt>
                <c:pt idx="130">
                  <c:v>105.71227023736394</c:v>
                </c:pt>
                <c:pt idx="131">
                  <c:v>106.05941279106959</c:v>
                </c:pt>
                <c:pt idx="132">
                  <c:v>106.4133798138714</c:v>
                </c:pt>
                <c:pt idx="133">
                  <c:v>106.77424980565128</c:v>
                </c:pt>
                <c:pt idx="134">
                  <c:v>107.14209841015987</c:v>
                </c:pt>
                <c:pt idx="135">
                  <c:v>107.51699812498016</c:v>
                </c:pt>
                <c:pt idx="136">
                  <c:v>107.89901799947582</c:v>
                </c:pt>
                <c:pt idx="137">
                  <c:v>108.28822332095625</c:v>
                </c:pt>
                <c:pt idx="138">
                  <c:v>108.68467528939246</c:v>
                </c:pt>
                <c:pt idx="139">
                  <c:v>109.08843068111983</c:v>
                </c:pt>
                <c:pt idx="140">
                  <c:v>109.49954150207505</c:v>
                </c:pt>
                <c:pt idx="141">
                  <c:v>109.91805463124068</c:v>
                </c:pt>
                <c:pt idx="142">
                  <c:v>110.34401145509375</c:v>
                </c:pt>
                <c:pt idx="143">
                  <c:v>110.77744749399835</c:v>
                </c:pt>
                <c:pt idx="144">
                  <c:v>111.21839202162684</c:v>
                </c:pt>
                <c:pt idx="145">
                  <c:v>111.66686767864186</c:v>
                </c:pt>
                <c:pt idx="146">
                  <c:v>112.12289008203396</c:v>
                </c:pt>
                <c:pt idx="147">
                  <c:v>112.58646743167036</c:v>
                </c:pt>
                <c:pt idx="148">
                  <c:v>113.05760011577669</c:v>
                </c:pt>
                <c:pt idx="149">
                  <c:v>113.5362803172401</c:v>
                </c:pt>
                <c:pt idx="150">
                  <c:v>114.02249162279358</c:v>
                </c:pt>
                <c:pt idx="151">
                  <c:v>114.51620863730227</c:v>
                </c:pt>
                <c:pt idx="152">
                  <c:v>115.01739660553751</c:v>
                </c:pt>
                <c:pt idx="153">
                  <c:v>115.52601104397966</c:v>
                </c:pt>
                <c:pt idx="154">
                  <c:v>116.04199738532957</c:v>
                </c:pt>
                <c:pt idx="155">
                  <c:v>116.56529063855078</c:v>
                </c:pt>
                <c:pt idx="156">
                  <c:v>117.09581506736914</c:v>
                </c:pt>
                <c:pt idx="157">
                  <c:v>117.63348389026689</c:v>
                </c:pt>
                <c:pt idx="158">
                  <c:v>118.17819900507082</c:v>
                </c:pt>
                <c:pt idx="159">
                  <c:v>118.72985074129261</c:v>
                </c:pt>
                <c:pt idx="160">
                  <c:v>119.28831764339817</c:v>
                </c:pt>
                <c:pt idx="161">
                  <c:v>119.85346628816659</c:v>
                </c:pt>
                <c:pt idx="162">
                  <c:v>120.42515113926041</c:v>
                </c:pt>
                <c:pt idx="163">
                  <c:v>121.00321444203814</c:v>
                </c:pt>
                <c:pt idx="164">
                  <c:v>121.58748616152047</c:v>
                </c:pt>
                <c:pt idx="165">
                  <c:v>122.17778396625305</c:v>
                </c:pt>
                <c:pt idx="166">
                  <c:v>122.77391326060174</c:v>
                </c:pt>
                <c:pt idx="167">
                  <c:v>123.37566726776421</c:v>
                </c:pt>
                <c:pt idx="168">
                  <c:v>123.9828271654853</c:v>
                </c:pt>
                <c:pt idx="169">
                  <c:v>124.59516227612791</c:v>
                </c:pt>
                <c:pt idx="170">
                  <c:v>125.21243031237285</c:v>
                </c:pt>
                <c:pt idx="171">
                  <c:v>125.83437767940397</c:v>
                </c:pt>
                <c:pt idx="172">
                  <c:v>126.46073983399104</c:v>
                </c:pt>
                <c:pt idx="173">
                  <c:v>127.09124170039659</c:v>
                </c:pt>
                <c:pt idx="174">
                  <c:v>127.72559814253948</c:v>
                </c:pt>
                <c:pt idx="175">
                  <c:v>128.3635144913186</c:v>
                </c:pt>
                <c:pt idx="176">
                  <c:v>129.0046871254805</c:v>
                </c:pt>
                <c:pt idx="177">
                  <c:v>129.64880410386979</c:v>
                </c:pt>
                <c:pt idx="178">
                  <c:v>130.29554584638063</c:v>
                </c:pt>
                <c:pt idx="179">
                  <c:v>130.94458586040875</c:v>
                </c:pt>
                <c:pt idx="180">
                  <c:v>131.5955915091109</c:v>
                </c:pt>
                <c:pt idx="181">
                  <c:v>132.24822481731218</c:v>
                </c:pt>
                <c:pt idx="182">
                  <c:v>132.90214331047875</c:v>
                </c:pt>
                <c:pt idx="183">
                  <c:v>133.55700088179364</c:v>
                </c:pt>
                <c:pt idx="184">
                  <c:v>134.2124486820436</c:v>
                </c:pt>
                <c:pt idx="185">
                  <c:v>134.86813602675417</c:v>
                </c:pt>
                <c:pt idx="186">
                  <c:v>135.5237113148157</c:v>
                </c:pt>
                <c:pt idx="187">
                  <c:v>136.17882295268947</c:v>
                </c:pt>
                <c:pt idx="188">
                  <c:v>136.8331202782297</c:v>
                </c:pt>
                <c:pt idx="189">
                  <c:v>137.48625447815309</c:v>
                </c:pt>
                <c:pt idx="190">
                  <c:v>138.13787949327011</c:v>
                </c:pt>
                <c:pt idx="191">
                  <c:v>138.78765290572969</c:v>
                </c:pt>
                <c:pt idx="192">
                  <c:v>139.4352368027487</c:v>
                </c:pt>
                <c:pt idx="193">
                  <c:v>140.08029861157374</c:v>
                </c:pt>
                <c:pt idx="194">
                  <c:v>140.72251190075025</c:v>
                </c:pt>
                <c:pt idx="195">
                  <c:v>141.36155714316689</c:v>
                </c:pt>
                <c:pt idx="196">
                  <c:v>141.99712243677229</c:v>
                </c:pt>
                <c:pt idx="197">
                  <c:v>142.62890417932473</c:v>
                </c:pt>
                <c:pt idx="198">
                  <c:v>143.25660769404155</c:v>
                </c:pt>
                <c:pt idx="199">
                  <c:v>143.87994780351806</c:v>
                </c:pt>
                <c:pt idx="200">
                  <c:v>144.49864934983319</c:v>
                </c:pt>
                <c:pt idx="201">
                  <c:v>145.11244765927614</c:v>
                </c:pt>
                <c:pt idx="202">
                  <c:v>145.72108895067271</c:v>
                </c:pt>
                <c:pt idx="203">
                  <c:v>146.32433068679231</c:v>
                </c:pt>
                <c:pt idx="204">
                  <c:v>146.92194186883248</c:v>
                </c:pt>
                <c:pt idx="205">
                  <c:v>147.5137032744415</c:v>
                </c:pt>
                <c:pt idx="206">
                  <c:v>148.09940764018836</c:v>
                </c:pt>
                <c:pt idx="207">
                  <c:v>148.67885978980235</c:v>
                </c:pt>
                <c:pt idx="208">
                  <c:v>149.25187670987361</c:v>
                </c:pt>
                <c:pt idx="209">
                  <c:v>149.81828757504275</c:v>
                </c:pt>
                <c:pt idx="210">
                  <c:v>150.3779337249905</c:v>
                </c:pt>
                <c:pt idx="211">
                  <c:v>150.93066859579602</c:v>
                </c:pt>
                <c:pt idx="212">
                  <c:v>151.47635760842508</c:v>
                </c:pt>
                <c:pt idx="213">
                  <c:v>152.01487801727282</c:v>
                </c:pt>
                <c:pt idx="214">
                  <c:v>152.54611872181252</c:v>
                </c:pt>
                <c:pt idx="215">
                  <c:v>153.06998004446876</c:v>
                </c:pt>
                <c:pt idx="216">
                  <c:v>153.58637347788408</c:v>
                </c:pt>
                <c:pt idx="217">
                  <c:v>154.09522140475565</c:v>
                </c:pt>
                <c:pt idx="218">
                  <c:v>154.59645679338558</c:v>
                </c:pt>
                <c:pt idx="219">
                  <c:v>155.09002287205024</c:v>
                </c:pt>
                <c:pt idx="220">
                  <c:v>155.57587278519699</c:v>
                </c:pt>
                <c:pt idx="221">
                  <c:v>156.05396923439963</c:v>
                </c:pt>
                <c:pt idx="222">
                  <c:v>156.52428410686065</c:v>
                </c:pt>
                <c:pt idx="223">
                  <c:v>156.98679809413565</c:v>
                </c:pt>
                <c:pt idx="224">
                  <c:v>157.44150030359467</c:v>
                </c:pt>
                <c:pt idx="225">
                  <c:v>157.88838786498798</c:v>
                </c:pt>
                <c:pt idx="226">
                  <c:v>158.32746553431809</c:v>
                </c:pt>
                <c:pt idx="227">
                  <c:v>158.75874529705186</c:v>
                </c:pt>
                <c:pt idx="228">
                  <c:v>159.18224597254385</c:v>
                </c:pt>
                <c:pt idx="229">
                  <c:v>159.59799282137121</c:v>
                </c:pt>
                <c:pt idx="230">
                  <c:v>160.00601715711167</c:v>
                </c:pt>
                <c:pt idx="231">
                  <c:v>160.40635596394085</c:v>
                </c:pt>
                <c:pt idx="232">
                  <c:v>160.79905152126065</c:v>
                </c:pt>
                <c:pt idx="233">
                  <c:v>161.18415103642704</c:v>
                </c:pt>
                <c:pt idx="234">
                  <c:v>161.56170628649178</c:v>
                </c:pt>
                <c:pt idx="235">
                  <c:v>161.93177326974464</c:v>
                </c:pt>
                <c:pt idx="236">
                  <c:v>162.29441186770799</c:v>
                </c:pt>
                <c:pt idx="237">
                  <c:v>162.6496855181181</c:v>
                </c:pt>
                <c:pt idx="238">
                  <c:v>162.99766089931393</c:v>
                </c:pt>
                <c:pt idx="239">
                  <c:v>163.33840762635211</c:v>
                </c:pt>
                <c:pt idx="240">
                  <c:v>163.67199795907149</c:v>
                </c:pt>
                <c:pt idx="241">
                  <c:v>163.99850652224433</c:v>
                </c:pt>
                <c:pt idx="242">
                  <c:v>164.31801003787513</c:v>
                </c:pt>
                <c:pt idx="243">
                  <c:v>164.63058706963176</c:v>
                </c:pt>
                <c:pt idx="244">
                  <c:v>164.93631777934348</c:v>
                </c:pt>
                <c:pt idx="245">
                  <c:v>165.23528369542856</c:v>
                </c:pt>
                <c:pt idx="246">
                  <c:v>165.52756749308216</c:v>
                </c:pt>
                <c:pt idx="247">
                  <c:v>165.81325278600065</c:v>
                </c:pt>
                <c:pt idx="248">
                  <c:v>166.09242392939171</c:v>
                </c:pt>
                <c:pt idx="249">
                  <c:v>166.36516583398131</c:v>
                </c:pt>
                <c:pt idx="250">
                  <c:v>166.63156379071111</c:v>
                </c:pt>
                <c:pt idx="251">
                  <c:v>166.89170330579211</c:v>
                </c:pt>
                <c:pt idx="252">
                  <c:v>167.14566994576938</c:v>
                </c:pt>
                <c:pt idx="253">
                  <c:v>167.3935491922376</c:v>
                </c:pt>
                <c:pt idx="254">
                  <c:v>167.63542630583876</c:v>
                </c:pt>
                <c:pt idx="255">
                  <c:v>167.87138619916817</c:v>
                </c:pt>
                <c:pt idx="256">
                  <c:v>168.10151331821049</c:v>
                </c:pt>
                <c:pt idx="257">
                  <c:v>168.32589153192933</c:v>
                </c:pt>
                <c:pt idx="258">
                  <c:v>168.54460402963298</c:v>
                </c:pt>
                <c:pt idx="259">
                  <c:v>168.75773322574406</c:v>
                </c:pt>
                <c:pt idx="260">
                  <c:v>168.96536067160605</c:v>
                </c:pt>
                <c:pt idx="261">
                  <c:v>169.16756697396437</c:v>
                </c:pt>
                <c:pt idx="262">
                  <c:v>169.36443171977035</c:v>
                </c:pt>
                <c:pt idx="263">
                  <c:v>169.55603340696237</c:v>
                </c:pt>
                <c:pt idx="264">
                  <c:v>169.74244938088967</c:v>
                </c:pt>
                <c:pt idx="265">
                  <c:v>169.92375577605347</c:v>
                </c:pt>
                <c:pt idx="266">
                  <c:v>170.1000274628517</c:v>
                </c:pt>
                <c:pt idx="267">
                  <c:v>170.2713379990237</c:v>
                </c:pt>
                <c:pt idx="268">
                  <c:v>170.43775958550245</c:v>
                </c:pt>
                <c:pt idx="269">
                  <c:v>170.59936302639525</c:v>
                </c:pt>
                <c:pt idx="270">
                  <c:v>170.75621769282142</c:v>
                </c:pt>
                <c:pt idx="271">
                  <c:v>170.90839149035173</c:v>
                </c:pt>
                <c:pt idx="272">
                  <c:v>171.05595082980173</c:v>
                </c:pt>
                <c:pt idx="273">
                  <c:v>171.19896060114465</c:v>
                </c:pt>
                <c:pt idx="274">
                  <c:v>171.33748415031965</c:v>
                </c:pt>
                <c:pt idx="275">
                  <c:v>171.47158325872309</c:v>
                </c:pt>
                <c:pt idx="276">
                  <c:v>171.60131812517929</c:v>
                </c:pt>
                <c:pt idx="277">
                  <c:v>171.72674735019979</c:v>
                </c:pt>
                <c:pt idx="278">
                  <c:v>171.84792792234802</c:v>
                </c:pt>
                <c:pt idx="279">
                  <c:v>171.96491520653817</c:v>
                </c:pt>
                <c:pt idx="280">
                  <c:v>172.07776293410402</c:v>
                </c:pt>
                <c:pt idx="281">
                  <c:v>172.18652319448458</c:v>
                </c:pt>
                <c:pt idx="282">
                  <c:v>172.2912464283815</c:v>
                </c:pt>
                <c:pt idx="283">
                  <c:v>172.39198142225024</c:v>
                </c:pt>
                <c:pt idx="284">
                  <c:v>172.4887753039973</c:v>
                </c:pt>
                <c:pt idx="285">
                  <c:v>172.58167353976174</c:v>
                </c:pt>
                <c:pt idx="286">
                  <c:v>172.67071993166687</c:v>
                </c:pt>
                <c:pt idx="287">
                  <c:v>172.75595661643592</c:v>
                </c:pt>
                <c:pt idx="288">
                  <c:v>172.83742406477052</c:v>
                </c:pt>
                <c:pt idx="289">
                  <c:v>172.91516108139922</c:v>
                </c:pt>
                <c:pt idx="290">
                  <c:v>172.98920480570732</c:v>
                </c:pt>
                <c:pt idx="291">
                  <c:v>173.05959071286648</c:v>
                </c:pt>
                <c:pt idx="292">
                  <c:v>173.12635261538796</c:v>
                </c:pt>
                <c:pt idx="293">
                  <c:v>173.18952266502711</c:v>
                </c:pt>
                <c:pt idx="294">
                  <c:v>173.24913135497408</c:v>
                </c:pt>
                <c:pt idx="295">
                  <c:v>173.30520752226832</c:v>
                </c:pt>
                <c:pt idx="296">
                  <c:v>173.35777835038022</c:v>
                </c:pt>
                <c:pt idx="297">
                  <c:v>173.40686937190679</c:v>
                </c:pt>
                <c:pt idx="298">
                  <c:v>173.45250447133316</c:v>
                </c:pt>
                <c:pt idx="299">
                  <c:v>173.49470588781415</c:v>
                </c:pt>
                <c:pt idx="300">
                  <c:v>173.53349421793595</c:v>
                </c:pt>
                <c:pt idx="301">
                  <c:v>173.56888841841933</c:v>
                </c:pt>
                <c:pt idx="302">
                  <c:v>173.60090580873086</c:v>
                </c:pt>
                <c:pt idx="303">
                  <c:v>173.6295620735703</c:v>
                </c:pt>
                <c:pt idx="304">
                  <c:v>173.65487126520711</c:v>
                </c:pt>
                <c:pt idx="305">
                  <c:v>173.67684580564094</c:v>
                </c:pt>
                <c:pt idx="306">
                  <c:v>173.69549648856361</c:v>
                </c:pt>
                <c:pt idx="307">
                  <c:v>173.71083248110401</c:v>
                </c:pt>
                <c:pt idx="308">
                  <c:v>173.72286132533841</c:v>
                </c:pt>
                <c:pt idx="309">
                  <c:v>173.73158893955355</c:v>
                </c:pt>
                <c:pt idx="310">
                  <c:v>173.73701961924965</c:v>
                </c:pt>
                <c:pt idx="311">
                  <c:v>173.73915603787589</c:v>
                </c:pt>
                <c:pt idx="312">
                  <c:v>173.73799924729045</c:v>
                </c:pt>
                <c:pt idx="313">
                  <c:v>173.73354867794259</c:v>
                </c:pt>
                <c:pt idx="314">
                  <c:v>173.72580213877384</c:v>
                </c:pt>
                <c:pt idx="315">
                  <c:v>173.71475581684061</c:v>
                </c:pt>
                <c:pt idx="316">
                  <c:v>173.70040427665975</c:v>
                </c:pt>
                <c:pt idx="317">
                  <c:v>173.68274045928462</c:v>
                </c:pt>
                <c:pt idx="318">
                  <c:v>173.66175568111817</c:v>
                </c:pt>
                <c:pt idx="319">
                  <c:v>173.63743963247464</c:v>
                </c:pt>
                <c:pt idx="320">
                  <c:v>173.60978037590326</c:v>
                </c:pt>
                <c:pt idx="321">
                  <c:v>173.57876434428832</c:v>
                </c:pt>
                <c:pt idx="322">
                  <c:v>173.54437633874628</c:v>
                </c:pt>
                <c:pt idx="323">
                  <c:v>173.50659952633856</c:v>
                </c:pt>
                <c:pt idx="324">
                  <c:v>173.46541543762666</c:v>
                </c:pt>
                <c:pt idx="325">
                  <c:v>173.42080396409423</c:v>
                </c:pt>
                <c:pt idx="326">
                  <c:v>173.37274335546834</c:v>
                </c:pt>
                <c:pt idx="327">
                  <c:v>173.321210216971</c:v>
                </c:pt>
                <c:pt idx="328">
                  <c:v>173.26617950653952</c:v>
                </c:pt>
                <c:pt idx="329">
                  <c:v>173.20762453205458</c:v>
                </c:pt>
                <c:pt idx="330">
                  <c:v>173.14551694861996</c:v>
                </c:pt>
                <c:pt idx="331">
                  <c:v>173.07982675594153</c:v>
                </c:pt>
                <c:pt idx="332">
                  <c:v>173.01052229585775</c:v>
                </c:pt>
                <c:pt idx="333">
                  <c:v>172.93757025007554</c:v>
                </c:pt>
                <c:pt idx="334">
                  <c:v>172.86093563817445</c:v>
                </c:pt>
                <c:pt idx="335">
                  <c:v>172.7805818159413</c:v>
                </c:pt>
                <c:pt idx="336">
                  <c:v>172.6964704741072</c:v>
                </c:pt>
                <c:pt idx="337">
                  <c:v>172.60856163756057</c:v>
                </c:pt>
                <c:pt idx="338">
                  <c:v>172.51681366511662</c:v>
                </c:pt>
                <c:pt idx="339">
                  <c:v>172.42118324993029</c:v>
                </c:pt>
                <c:pt idx="340">
                  <c:v>172.3216254206435</c:v>
                </c:pt>
                <c:pt idx="341">
                  <c:v>172.21809354336546</c:v>
                </c:pt>
                <c:pt idx="342">
                  <c:v>172.11053932459086</c:v>
                </c:pt>
                <c:pt idx="343">
                  <c:v>171.99891281516818</c:v>
                </c:pt>
                <c:pt idx="344">
                  <c:v>171.88316241543654</c:v>
                </c:pt>
                <c:pt idx="345">
                  <c:v>171.76323488165727</c:v>
                </c:pt>
                <c:pt idx="346">
                  <c:v>171.63907533387578</c:v>
                </c:pt>
                <c:pt idx="347">
                  <c:v>171.51062726535676</c:v>
                </c:pt>
                <c:pt idx="348">
                  <c:v>171.37783255374134</c:v>
                </c:pt>
                <c:pt idx="349">
                  <c:v>171.24063147408987</c:v>
                </c:pt>
                <c:pt idx="350">
                  <c:v>171.09896271397798</c:v>
                </c:pt>
                <c:pt idx="351">
                  <c:v>170.95276339082517</c:v>
                </c:pt>
                <c:pt idx="352">
                  <c:v>170.80196907164537</c:v>
                </c:pt>
                <c:pt idx="353">
                  <c:v>170.64651379541908</c:v>
                </c:pt>
                <c:pt idx="354">
                  <c:v>170.48633009829615</c:v>
                </c:pt>
                <c:pt idx="355">
                  <c:v>170.32134904185014</c:v>
                </c:pt>
                <c:pt idx="356">
                  <c:v>170.15150024461681</c:v>
                </c:pt>
                <c:pt idx="357">
                  <c:v>169.97671191715784</c:v>
                </c:pt>
                <c:pt idx="358">
                  <c:v>169.79691090090566</c:v>
                </c:pt>
                <c:pt idx="359">
                  <c:v>169.61202271105449</c:v>
                </c:pt>
                <c:pt idx="360">
                  <c:v>169.42197158377417</c:v>
                </c:pt>
                <c:pt idx="361">
                  <c:v>169.22668052803664</c:v>
                </c:pt>
                <c:pt idx="362">
                  <c:v>169.02607138235393</c:v>
                </c:pt>
                <c:pt idx="363">
                  <c:v>168.820064876739</c:v>
                </c:pt>
                <c:pt idx="364">
                  <c:v>168.60858070021183</c:v>
                </c:pt>
                <c:pt idx="365">
                  <c:v>168.39153757418208</c:v>
                </c:pt>
                <c:pt idx="366">
                  <c:v>168.16885333204991</c:v>
                </c:pt>
                <c:pt idx="367">
                  <c:v>167.94044500537774</c:v>
                </c:pt>
                <c:pt idx="368">
                  <c:v>167.70622891698844</c:v>
                </c:pt>
                <c:pt idx="369">
                  <c:v>167.46612078135888</c:v>
                </c:pt>
                <c:pt idx="370">
                  <c:v>167.22003581267785</c:v>
                </c:pt>
                <c:pt idx="371">
                  <c:v>166.96788884094576</c:v>
                </c:pt>
                <c:pt idx="372">
                  <c:v>166.7095944364911</c:v>
                </c:pt>
                <c:pt idx="373">
                  <c:v>166.4450670432841</c:v>
                </c:pt>
                <c:pt idx="374">
                  <c:v>166.17422112142097</c:v>
                </c:pt>
                <c:pt idx="375">
                  <c:v>165.89697129915081</c:v>
                </c:pt>
                <c:pt idx="376">
                  <c:v>165.61323253480683</c:v>
                </c:pt>
                <c:pt idx="377">
                  <c:v>165.32292028899315</c:v>
                </c:pt>
                <c:pt idx="378">
                  <c:v>165.0259507073645</c:v>
                </c:pt>
                <c:pt idx="379">
                  <c:v>164.72224081431384</c:v>
                </c:pt>
                <c:pt idx="380">
                  <c:v>164.41170871786289</c:v>
                </c:pt>
                <c:pt idx="381">
                  <c:v>164.09427382601859</c:v>
                </c:pt>
                <c:pt idx="382">
                  <c:v>163.76985707482544</c:v>
                </c:pt>
                <c:pt idx="383">
                  <c:v>163.43838116830517</c:v>
                </c:pt>
                <c:pt idx="384">
                  <c:v>163.09977083042432</c:v>
                </c:pt>
                <c:pt idx="385">
                  <c:v>162.75395306918304</c:v>
                </c:pt>
                <c:pt idx="386">
                  <c:v>162.40085745285361</c:v>
                </c:pt>
                <c:pt idx="387">
                  <c:v>162.04041639833122</c:v>
                </c:pt>
                <c:pt idx="388">
                  <c:v>161.6725654714829</c:v>
                </c:pt>
                <c:pt idx="389">
                  <c:v>161.29724369930091</c:v>
                </c:pt>
                <c:pt idx="390">
                  <c:v>160.91439389356688</c:v>
                </c:pt>
                <c:pt idx="391">
                  <c:v>160.52396298563835</c:v>
                </c:pt>
                <c:pt idx="392">
                  <c:v>160.12590237186291</c:v>
                </c:pt>
                <c:pt idx="393">
                  <c:v>159.72016826899375</c:v>
                </c:pt>
                <c:pt idx="394">
                  <c:v>159.30672207887312</c:v>
                </c:pt>
                <c:pt idx="395">
                  <c:v>158.88553076149768</c:v>
                </c:pt>
                <c:pt idx="396">
                  <c:v>158.45656721545038</c:v>
                </c:pt>
                <c:pt idx="397">
                  <c:v>158.01981066452694</c:v>
                </c:pt>
                <c:pt idx="398">
                  <c:v>157.57524704923304</c:v>
                </c:pt>
                <c:pt idx="399">
                  <c:v>157.12286942166523</c:v>
                </c:pt>
                <c:pt idx="400">
                  <c:v>156.66267834212505</c:v>
                </c:pt>
                <c:pt idx="401">
                  <c:v>156.19468227564965</c:v>
                </c:pt>
                <c:pt idx="402">
                  <c:v>155.71889798646851</c:v>
                </c:pt>
                <c:pt idx="403">
                  <c:v>155.23535092823988</c:v>
                </c:pt>
                <c:pt idx="404">
                  <c:v>154.74407562774286</c:v>
                </c:pt>
                <c:pt idx="405">
                  <c:v>154.24511605955411</c:v>
                </c:pt>
                <c:pt idx="406">
                  <c:v>153.738526009086</c:v>
                </c:pt>
                <c:pt idx="407">
                  <c:v>153.22436942122181</c:v>
                </c:pt>
                <c:pt idx="408">
                  <c:v>152.70272073166424</c:v>
                </c:pt>
                <c:pt idx="409">
                  <c:v>152.17366517800519</c:v>
                </c:pt>
                <c:pt idx="410">
                  <c:v>151.63729908744111</c:v>
                </c:pt>
                <c:pt idx="411">
                  <c:v>151.09373013799694</c:v>
                </c:pt>
                <c:pt idx="412">
                  <c:v>150.54307759008822</c:v>
                </c:pt>
                <c:pt idx="413">
                  <c:v>149.98547248524926</c:v>
                </c:pt>
                <c:pt idx="414">
                  <c:v>149.42105780888588</c:v>
                </c:pt>
                <c:pt idx="415">
                  <c:v>148.84998861398284</c:v>
                </c:pt>
                <c:pt idx="416">
                  <c:v>148.27243210279349</c:v>
                </c:pt>
                <c:pt idx="417">
                  <c:v>147.68856766370138</c:v>
                </c:pt>
                <c:pt idx="418">
                  <c:v>147.09858686062273</c:v>
                </c:pt>
                <c:pt idx="419">
                  <c:v>146.50269337255563</c:v>
                </c:pt>
                <c:pt idx="420">
                  <c:v>145.90110288116222</c:v>
                </c:pt>
                <c:pt idx="421">
                  <c:v>145.2940429045837</c:v>
                </c:pt>
                <c:pt idx="422">
                  <c:v>144.68175257605893</c:v>
                </c:pt>
                <c:pt idx="423">
                  <c:v>144.06448236630305</c:v>
                </c:pt>
                <c:pt idx="424">
                  <c:v>143.44249374905328</c:v>
                </c:pt>
                <c:pt idx="425">
                  <c:v>142.8160588096431</c:v>
                </c:pt>
                <c:pt idx="426">
                  <c:v>142.1854597969693</c:v>
                </c:pt>
                <c:pt idx="427">
                  <c:v>141.55098861972067</c:v>
                </c:pt>
                <c:pt idx="428">
                  <c:v>140.91294628827097</c:v>
                </c:pt>
                <c:pt idx="429">
                  <c:v>140.27164230416707</c:v>
                </c:pt>
                <c:pt idx="430">
                  <c:v>139.62739399968021</c:v>
                </c:pt>
                <c:pt idx="431">
                  <c:v>138.98052583040391</c:v>
                </c:pt>
                <c:pt idx="432">
                  <c:v>138.33136862439369</c:v>
                </c:pt>
                <c:pt idx="433">
                  <c:v>137.68025879181002</c:v>
                </c:pt>
                <c:pt idx="434">
                  <c:v>137.02753749948357</c:v>
                </c:pt>
                <c:pt idx="435">
                  <c:v>136.3735498152073</c:v>
                </c:pt>
                <c:pt idx="436">
                  <c:v>135.71864382691919</c:v>
                </c:pt>
                <c:pt idx="437">
                  <c:v>135.06316974222983</c:v>
                </c:pt>
                <c:pt idx="438">
                  <c:v>134.4074789739845</c:v>
                </c:pt>
                <c:pt idx="439">
                  <c:v>133.75192321770697</c:v>
                </c:pt>
                <c:pt idx="440">
                  <c:v>133.09685352688402</c:v>
                </c:pt>
                <c:pt idx="441">
                  <c:v>132.44261939205907</c:v>
                </c:pt>
                <c:pt idx="442">
                  <c:v>131.78956782966824</c:v>
                </c:pt>
                <c:pt idx="443">
                  <c:v>131.13804248643106</c:v>
                </c:pt>
                <c:pt idx="444">
                  <c:v>130.48838276492472</c:v>
                </c:pt>
                <c:pt idx="445">
                  <c:v>129.84092297571578</c:v>
                </c:pt>
                <c:pt idx="446">
                  <c:v>129.19599152112036</c:v>
                </c:pt>
                <c:pt idx="447">
                  <c:v>128.55391011529275</c:v>
                </c:pt>
                <c:pt idx="448">
                  <c:v>127.91499304492926</c:v>
                </c:pt>
                <c:pt idx="449">
                  <c:v>127.27954647442436</c:v>
                </c:pt>
                <c:pt idx="450">
                  <c:v>126.64786779882992</c:v>
                </c:pt>
                <c:pt idx="451">
                  <c:v>126.02024504745553</c:v>
                </c:pt>
                <c:pt idx="452">
                  <c:v>125.39695634042221</c:v>
                </c:pt>
                <c:pt idx="453">
                  <c:v>124.7782693999535</c:v>
                </c:pt>
                <c:pt idx="454">
                  <c:v>124.16444111765293</c:v>
                </c:pt>
                <c:pt idx="455">
                  <c:v>123.55571717848628</c:v>
                </c:pt>
                <c:pt idx="456">
                  <c:v>122.95233174169722</c:v>
                </c:pt>
                <c:pt idx="457">
                  <c:v>122.35450717837134</c:v>
                </c:pt>
                <c:pt idx="458">
                  <c:v>121.76245386493613</c:v>
                </c:pt>
                <c:pt idx="459">
                  <c:v>121.1763700314314</c:v>
                </c:pt>
                <c:pt idx="460">
                  <c:v>120.59644166301439</c:v>
                </c:pt>
                <c:pt idx="461">
                  <c:v>120.02284245280555</c:v>
                </c:pt>
                <c:pt idx="462">
                  <c:v>119.45573380387165</c:v>
                </c:pt>
                <c:pt idx="463">
                  <c:v>118.89526487788723</c:v>
                </c:pt>
                <c:pt idx="464">
                  <c:v>118.34157268778164</c:v>
                </c:pt>
                <c:pt idx="465">
                  <c:v>117.79478223151199</c:v>
                </c:pt>
                <c:pt idx="466">
                  <c:v>117.25500666395629</c:v>
                </c:pt>
                <c:pt idx="467">
                  <c:v>116.72234750383433</c:v>
                </c:pt>
                <c:pt idx="468">
                  <c:v>116.1968948724998</c:v>
                </c:pt>
                <c:pt idx="469">
                  <c:v>115.67872776142627</c:v>
                </c:pt>
                <c:pt idx="470">
                  <c:v>115.16791432522659</c:v>
                </c:pt>
                <c:pt idx="471">
                  <c:v>114.66451219707889</c:v>
                </c:pt>
                <c:pt idx="472">
                  <c:v>114.16856882350568</c:v>
                </c:pt>
                <c:pt idx="473">
                  <c:v>113.68012181554305</c:v>
                </c:pt>
                <c:pt idx="474">
                  <c:v>113.19919931344275</c:v>
                </c:pt>
                <c:pt idx="475">
                  <c:v>112.72582036218948</c:v>
                </c:pt>
                <c:pt idx="476">
                  <c:v>112.25999529524087</c:v>
                </c:pt>
                <c:pt idx="477">
                  <c:v>111.80172612406756</c:v>
                </c:pt>
                <c:pt idx="478">
                  <c:v>111.35100693121414</c:v>
                </c:pt>
                <c:pt idx="479">
                  <c:v>110.90782426477868</c:v>
                </c:pt>
                <c:pt idx="480">
                  <c:v>110.47215753236921</c:v>
                </c:pt>
                <c:pt idx="481">
                  <c:v>110.04397939276492</c:v>
                </c:pt>
                <c:pt idx="482">
                  <c:v>109.62325614367909</c:v>
                </c:pt>
                <c:pt idx="483">
                  <c:v>109.20994810418205</c:v>
                </c:pt>
                <c:pt idx="484">
                  <c:v>108.80400999050215</c:v>
                </c:pt>
                <c:pt idx="485">
                  <c:v>108.40539128407706</c:v>
                </c:pt>
                <c:pt idx="486">
                  <c:v>108.01403659087529</c:v>
                </c:pt>
                <c:pt idx="487">
                  <c:v>107.62988599114794</c:v>
                </c:pt>
                <c:pt idx="488">
                  <c:v>107.25287537890161</c:v>
                </c:pt>
                <c:pt idx="489">
                  <c:v>106.88293679050936</c:v>
                </c:pt>
                <c:pt idx="490">
                  <c:v>106.51999872198921</c:v>
                </c:pt>
                <c:pt idx="491">
                  <c:v>106.16398643459171</c:v>
                </c:pt>
                <c:pt idx="492">
                  <c:v>105.81482224842811</c:v>
                </c:pt>
                <c:pt idx="493">
                  <c:v>105.47242582396946</c:v>
                </c:pt>
                <c:pt idx="494">
                  <c:v>105.13671443132158</c:v>
                </c:pt>
                <c:pt idx="495">
                  <c:v>104.80760320725774</c:v>
                </c:pt>
                <c:pt idx="496">
                  <c:v>104.48500540005411</c:v>
                </c:pt>
                <c:pt idx="497">
                  <c:v>104.16883260223382</c:v>
                </c:pt>
                <c:pt idx="498">
                  <c:v>103.85899497137325</c:v>
                </c:pt>
                <c:pt idx="499">
                  <c:v>103.55540143917366</c:v>
                </c:pt>
                <c:pt idx="500">
                  <c:v>103.25795990903221</c:v>
                </c:pt>
                <c:pt idx="501">
                  <c:v>102.96657744238772</c:v>
                </c:pt>
                <c:pt idx="502">
                  <c:v>102.68116043413613</c:v>
                </c:pt>
                <c:pt idx="503">
                  <c:v>102.40161477743895</c:v>
                </c:pt>
                <c:pt idx="504">
                  <c:v>102.12784601826196</c:v>
                </c:pt>
                <c:pt idx="505">
                  <c:v>101.85975949999688</c:v>
                </c:pt>
                <c:pt idx="506">
                  <c:v>101.59726049853073</c:v>
                </c:pt>
                <c:pt idx="507">
                  <c:v>101.34025434813044</c:v>
                </c:pt>
                <c:pt idx="508">
                  <c:v>101.08864655851964</c:v>
                </c:pt>
                <c:pt idx="509">
                  <c:v>100.84234292351992</c:v>
                </c:pt>
                <c:pt idx="510">
                  <c:v>100.6012496216352</c:v>
                </c:pt>
                <c:pt idx="511">
                  <c:v>100.36527330894816</c:v>
                </c:pt>
                <c:pt idx="512">
                  <c:v>100.1343212046973</c:v>
                </c:pt>
                <c:pt idx="513">
                  <c:v>99.908301169896717</c:v>
                </c:pt>
                <c:pt idx="514">
                  <c:v>99.687121779351912</c:v>
                </c:pt>
                <c:pt idx="515">
                  <c:v>99.470692387417429</c:v>
                </c:pt>
                <c:pt idx="516">
                  <c:v>99.258923187833517</c:v>
                </c:pt>
                <c:pt idx="517">
                  <c:v>99.051725267968067</c:v>
                </c:pt>
                <c:pt idx="518">
                  <c:v>98.849010657780084</c:v>
                </c:pt>
                <c:pt idx="519">
                  <c:v>98.650692373809918</c:v>
                </c:pt>
                <c:pt idx="520">
                  <c:v>98.456684458490699</c:v>
                </c:pt>
                <c:pt idx="521">
                  <c:v>98.266902015062882</c:v>
                </c:pt>
                <c:pt idx="522">
                  <c:v>98.081261238364661</c:v>
                </c:pt>
                <c:pt idx="523">
                  <c:v>97.899679441756007</c:v>
                </c:pt>
                <c:pt idx="524">
                  <c:v>97.722075080425938</c:v>
                </c:pt>
                <c:pt idx="525">
                  <c:v>97.548367771319818</c:v>
                </c:pt>
                <c:pt idx="526">
                  <c:v>97.37847830991241</c:v>
                </c:pt>
                <c:pt idx="527">
                  <c:v>97.212328684040557</c:v>
                </c:pt>
                <c:pt idx="528">
                  <c:v>97.049842085001487</c:v>
                </c:pt>
                <c:pt idx="529">
                  <c:v>96.890942916108187</c:v>
                </c:pt>
                <c:pt idx="530">
                  <c:v>96.73555679888716</c:v>
                </c:pt>
                <c:pt idx="531">
                  <c:v>96.583610577091591</c:v>
                </c:pt>
                <c:pt idx="532">
                  <c:v>96.435032318693729</c:v>
                </c:pt>
                <c:pt idx="533">
                  <c:v>96.289751316011603</c:v>
                </c:pt>
                <c:pt idx="534">
                  <c:v>96.147698084117948</c:v>
                </c:pt>
                <c:pt idx="535">
                  <c:v>96.008804357665696</c:v>
                </c:pt>
                <c:pt idx="536">
                  <c:v>95.873003086264305</c:v>
                </c:pt>
                <c:pt idx="537">
                  <c:v>95.740228428524048</c:v>
                </c:pt>
                <c:pt idx="538">
                  <c:v>95.610415744887149</c:v>
                </c:pt>
                <c:pt idx="539">
                  <c:v>95.483501589350027</c:v>
                </c:pt>
                <c:pt idx="540">
                  <c:v>95.35942370017996</c:v>
                </c:pt>
                <c:pt idx="541">
                  <c:v>95.238120989718169</c:v>
                </c:pt>
              </c:numCache>
            </c:numRef>
          </c:yVal>
          <c:smooth val="1"/>
          <c:extLst>
            <c:ext xmlns:c16="http://schemas.microsoft.com/office/drawing/2014/chart" uri="{C3380CC4-5D6E-409C-BE32-E72D297353CC}">
              <c16:uniqueId val="{00000001-0B5D-4E78-BD48-CC54C4E43363}"/>
            </c:ext>
          </c:extLst>
        </c:ser>
        <c:dLbls>
          <c:showLegendKey val="0"/>
          <c:showVal val="0"/>
          <c:showCatName val="0"/>
          <c:showSerName val="0"/>
          <c:showPercent val="0"/>
          <c:showBubbleSize val="0"/>
        </c:dLbls>
        <c:axId val="365441024"/>
        <c:axId val="365439232"/>
      </c:scatterChart>
      <c:valAx>
        <c:axId val="555280640"/>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365437312"/>
        <c:crosses val="autoZero"/>
        <c:crossBetween val="midCat"/>
      </c:valAx>
      <c:valAx>
        <c:axId val="365437312"/>
        <c:scaling>
          <c:orientation val="minMax"/>
          <c:max val="40"/>
          <c:min val="-40"/>
        </c:scaling>
        <c:delete val="0"/>
        <c:axPos val="l"/>
        <c:majorGridlines/>
        <c:minorGridlines/>
        <c:title>
          <c:tx>
            <c:rich>
              <a:bodyPr rot="-5400000" vert="horz"/>
              <a:lstStyle/>
              <a:p>
                <a:pPr>
                  <a:defRPr/>
                </a:pPr>
                <a:r>
                  <a:rPr lang="en-US"/>
                  <a:t>Gain</a:t>
                </a:r>
                <a:r>
                  <a:rPr lang="en-US" baseline="0"/>
                  <a:t> (dB)</a:t>
                </a:r>
                <a:endParaRPr lang="en-US"/>
              </a:p>
            </c:rich>
          </c:tx>
          <c:overlay val="0"/>
        </c:title>
        <c:numFmt formatCode="General" sourceLinked="0"/>
        <c:majorTickMark val="out"/>
        <c:minorTickMark val="none"/>
        <c:tickLblPos val="nextTo"/>
        <c:crossAx val="555280640"/>
        <c:crosses val="autoZero"/>
        <c:crossBetween val="midCat"/>
        <c:majorUnit val="20"/>
        <c:minorUnit val="10"/>
      </c:valAx>
      <c:valAx>
        <c:axId val="365439232"/>
        <c:scaling>
          <c:orientation val="minMax"/>
          <c:max val="180"/>
          <c:min val="-180"/>
        </c:scaling>
        <c:delete val="0"/>
        <c:axPos val="r"/>
        <c:numFmt formatCode="General" sourceLinked="1"/>
        <c:majorTickMark val="out"/>
        <c:minorTickMark val="none"/>
        <c:tickLblPos val="nextTo"/>
        <c:crossAx val="365441024"/>
        <c:crosses val="max"/>
        <c:crossBetween val="midCat"/>
        <c:majorUnit val="90"/>
        <c:minorUnit val="45"/>
      </c:valAx>
      <c:valAx>
        <c:axId val="365441024"/>
        <c:scaling>
          <c:logBase val="10"/>
          <c:orientation val="minMax"/>
        </c:scaling>
        <c:delete val="1"/>
        <c:axPos val="b"/>
        <c:numFmt formatCode="0.00" sourceLinked="1"/>
        <c:majorTickMark val="out"/>
        <c:minorTickMark val="none"/>
        <c:tickLblPos val="nextTo"/>
        <c:crossAx val="365439232"/>
        <c:crosses val="autoZero"/>
        <c:crossBetween val="midCat"/>
      </c:valAx>
    </c:plotArea>
    <c:legend>
      <c:legendPos val="r"/>
      <c:layout>
        <c:manualLayout>
          <c:xMode val="edge"/>
          <c:yMode val="edge"/>
          <c:x val="0.79880558209512509"/>
          <c:y val="0.14321997959862004"/>
          <c:w val="0.13485048155591431"/>
          <c:h val="0.10528624969913696"/>
        </c:manualLayout>
      </c:layout>
      <c:overlay val="1"/>
      <c:spPr>
        <a:solidFill>
          <a:schemeClr val="bg1"/>
        </a:solidFill>
      </c:spPr>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CCM Control Loop Transfer Function</a:t>
            </a:r>
          </a:p>
        </c:rich>
      </c:tx>
      <c:overlay val="0"/>
    </c:title>
    <c:autoTitleDeleted val="0"/>
    <c:plotArea>
      <c:layout/>
      <c:scatterChart>
        <c:scatterStyle val="smoothMarker"/>
        <c:varyColors val="0"/>
        <c:ser>
          <c:idx val="0"/>
          <c:order val="0"/>
          <c:tx>
            <c:v>Gain (dB)</c:v>
          </c:tx>
          <c:spPr>
            <a:ln w="38100">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Loop_Modeling!$BG$19:$BG$560</c:f>
              <c:numCache>
                <c:formatCode>0.000</c:formatCode>
                <c:ptCount val="542"/>
                <c:pt idx="0">
                  <c:v>84.476415445167618</c:v>
                </c:pt>
                <c:pt idx="1">
                  <c:v>84.264380267956142</c:v>
                </c:pt>
                <c:pt idx="2">
                  <c:v>84.051813777348642</c:v>
                </c:pt>
                <c:pt idx="3">
                  <c:v>83.838694167660833</c:v>
                </c:pt>
                <c:pt idx="4">
                  <c:v>83.62499888612858</c:v>
                </c:pt>
                <c:pt idx="5">
                  <c:v>83.410704620546383</c:v>
                </c:pt>
                <c:pt idx="6">
                  <c:v>83.195787287981432</c:v>
                </c:pt>
                <c:pt idx="7">
                  <c:v>82.980222024707743</c:v>
                </c:pt>
                <c:pt idx="8">
                  <c:v>82.763983177513083</c:v>
                </c:pt>
                <c:pt idx="9">
                  <c:v>82.547044296539482</c:v>
                </c:pt>
                <c:pt idx="10">
                  <c:v>82.32937812982567</c:v>
                </c:pt>
                <c:pt idx="11">
                  <c:v>82.110956619729365</c:v>
                </c:pt>
                <c:pt idx="12">
                  <c:v>81.891750901411399</c:v>
                </c:pt>
                <c:pt idx="13">
                  <c:v>81.671731303573253</c:v>
                </c:pt>
                <c:pt idx="14">
                  <c:v>81.450867351642785</c:v>
                </c:pt>
                <c:pt idx="15">
                  <c:v>81.229127773610173</c:v>
                </c:pt>
                <c:pt idx="16">
                  <c:v>81.006480508717686</c:v>
                </c:pt>
                <c:pt idx="17">
                  <c:v>80.782892719210366</c:v>
                </c:pt>
                <c:pt idx="18">
                  <c:v>80.558330805355155</c:v>
                </c:pt>
                <c:pt idx="19">
                  <c:v>80.332760423935113</c:v>
                </c:pt>
                <c:pt idx="20">
                  <c:v>80.106146510423528</c:v>
                </c:pt>
                <c:pt idx="21">
                  <c:v>79.878453305034611</c:v>
                </c:pt>
                <c:pt idx="22">
                  <c:v>79.649644382845935</c:v>
                </c:pt>
                <c:pt idx="23">
                  <c:v>79.419682688170667</c:v>
                </c:pt>
                <c:pt idx="24">
                  <c:v>79.18853057335096</c:v>
                </c:pt>
                <c:pt idx="25">
                  <c:v>78.956149842124944</c:v>
                </c:pt>
                <c:pt idx="26">
                  <c:v>78.722501797702591</c:v>
                </c:pt>
                <c:pt idx="27">
                  <c:v>78.487547295662026</c:v>
                </c:pt>
                <c:pt idx="28">
                  <c:v>78.251246801755315</c:v>
                </c:pt>
                <c:pt idx="29">
                  <c:v>78.013560454680473</c:v>
                </c:pt>
                <c:pt idx="30">
                  <c:v>77.774448133847258</c:v>
                </c:pt>
                <c:pt idx="31">
                  <c:v>77.533869532127127</c:v>
                </c:pt>
                <c:pt idx="32">
                  <c:v>77.291784233540014</c:v>
                </c:pt>
                <c:pt idx="33">
                  <c:v>77.048151795786339</c:v>
                </c:pt>
                <c:pt idx="34">
                  <c:v>76.802931837491016</c:v>
                </c:pt>
                <c:pt idx="35">
                  <c:v>76.556084129976682</c:v>
                </c:pt>
                <c:pt idx="36">
                  <c:v>76.307568693333153</c:v>
                </c:pt>
                <c:pt idx="37">
                  <c:v>76.05734589650163</c:v>
                </c:pt>
                <c:pt idx="38">
                  <c:v>75.805376561036539</c:v>
                </c:pt>
                <c:pt idx="39">
                  <c:v>75.551622068156689</c:v>
                </c:pt>
                <c:pt idx="40">
                  <c:v>75.296044468644951</c:v>
                </c:pt>
                <c:pt idx="41">
                  <c:v>75.038606595102166</c:v>
                </c:pt>
                <c:pt idx="42">
                  <c:v>74.779272176012782</c:v>
                </c:pt>
                <c:pt idx="43">
                  <c:v>74.518005951030972</c:v>
                </c:pt>
                <c:pt idx="44">
                  <c:v>74.254773786853434</c:v>
                </c:pt>
                <c:pt idx="45">
                  <c:v>73.989542793004702</c:v>
                </c:pt>
                <c:pt idx="46">
                  <c:v>73.722281436827217</c:v>
                </c:pt>
                <c:pt idx="47">
                  <c:v>73.45295965694109</c:v>
                </c:pt>
                <c:pt idx="48">
                  <c:v>73.181548974416927</c:v>
                </c:pt>
                <c:pt idx="49">
                  <c:v>72.908022600893304</c:v>
                </c:pt>
                <c:pt idx="50">
                  <c:v>72.632355542865184</c:v>
                </c:pt>
                <c:pt idx="51">
                  <c:v>72.354524701374061</c:v>
                </c:pt>
                <c:pt idx="52">
                  <c:v>72.074508966345405</c:v>
                </c:pt>
                <c:pt idx="53">
                  <c:v>71.79228930484112</c:v>
                </c:pt>
                <c:pt idx="54">
                  <c:v>71.50784884252846</c:v>
                </c:pt>
                <c:pt idx="55">
                  <c:v>71.221172937709142</c:v>
                </c:pt>
                <c:pt idx="56">
                  <c:v>70.932249247304114</c:v>
                </c:pt>
                <c:pt idx="57">
                  <c:v>70.641067784249302</c:v>
                </c:pt>
                <c:pt idx="58">
                  <c:v>70.347620965825939</c:v>
                </c:pt>
                <c:pt idx="59">
                  <c:v>70.051903652525198</c:v>
                </c:pt>
                <c:pt idx="60">
                  <c:v>69.753913177126762</c:v>
                </c:pt>
                <c:pt idx="61">
                  <c:v>69.453649363758302</c:v>
                </c:pt>
                <c:pt idx="62">
                  <c:v>69.151114536792505</c:v>
                </c:pt>
                <c:pt idx="63">
                  <c:v>68.846313519529843</c:v>
                </c:pt>
                <c:pt idx="64">
                  <c:v>68.539253622709481</c:v>
                </c:pt>
                <c:pt idx="65">
                  <c:v>68.229944622981748</c:v>
                </c:pt>
                <c:pt idx="66">
                  <c:v>67.918398731567194</c:v>
                </c:pt>
                <c:pt idx="67">
                  <c:v>67.604630553414424</c:v>
                </c:pt>
                <c:pt idx="68">
                  <c:v>67.288657037250047</c:v>
                </c:pt>
                <c:pt idx="69">
                  <c:v>66.970497416992274</c:v>
                </c:pt>
                <c:pt idx="70">
                  <c:v>66.650173145068862</c:v>
                </c:pt>
                <c:pt idx="71">
                  <c:v>66.327707818242274</c:v>
                </c:pt>
                <c:pt idx="72">
                  <c:v>66.003127096597623</c:v>
                </c:pt>
                <c:pt idx="73">
                  <c:v>65.676458616394612</c:v>
                </c:pt>
                <c:pt idx="74">
                  <c:v>65.347731897519864</c:v>
                </c:pt>
                <c:pt idx="75">
                  <c:v>65.016978246298294</c:v>
                </c:pt>
                <c:pt idx="76">
                  <c:v>64.684230654443951</c:v>
                </c:pt>
                <c:pt idx="77">
                  <c:v>64.349523694930639</c:v>
                </c:pt>
                <c:pt idx="78">
                  <c:v>64.012893415565713</c:v>
                </c:pt>
                <c:pt idx="79">
                  <c:v>63.674377231034441</c:v>
                </c:pt>
                <c:pt idx="80">
                  <c:v>63.334013814168131</c:v>
                </c:pt>
                <c:pt idx="81">
                  <c:v>62.991842987157852</c:v>
                </c:pt>
                <c:pt idx="82">
                  <c:v>62.647905613407644</c:v>
                </c:pt>
                <c:pt idx="83">
                  <c:v>62.302243490679203</c:v>
                </c:pt>
                <c:pt idx="84">
                  <c:v>61.954899246138908</c:v>
                </c:pt>
                <c:pt idx="85">
                  <c:v>61.605916233871376</c:v>
                </c:pt>
                <c:pt idx="86">
                  <c:v>61.255338435372693</c:v>
                </c:pt>
                <c:pt idx="87">
                  <c:v>60.903210363487055</c:v>
                </c:pt>
                <c:pt idx="88">
                  <c:v>60.549576970195467</c:v>
                </c:pt>
                <c:pt idx="89">
                  <c:v>60.194483558614053</c:v>
                </c:pt>
                <c:pt idx="90">
                  <c:v>59.837975699505151</c:v>
                </c:pt>
                <c:pt idx="91">
                  <c:v>59.480099152553841</c:v>
                </c:pt>
                <c:pt idx="92">
                  <c:v>59.120899792610757</c:v>
                </c:pt>
                <c:pt idx="93">
                  <c:v>58.760423541056056</c:v>
                </c:pt>
                <c:pt idx="94">
                  <c:v>58.398716302389929</c:v>
                </c:pt>
                <c:pt idx="95">
                  <c:v>58.035823906116903</c:v>
                </c:pt>
                <c:pt idx="96">
                  <c:v>57.671792053946255</c:v>
                </c:pt>
                <c:pt idx="97">
                  <c:v>57.30666627229725</c:v>
                </c:pt>
                <c:pt idx="98">
                  <c:v>56.940491870062715</c:v>
                </c:pt>
                <c:pt idx="99">
                  <c:v>56.573313901554918</c:v>
                </c:pt>
                <c:pt idx="100">
                  <c:v>56.205177134530828</c:v>
                </c:pt>
                <c:pt idx="101">
                  <c:v>55.836126023168326</c:v>
                </c:pt>
                <c:pt idx="102">
                  <c:v>55.466204685848098</c:v>
                </c:pt>
                <c:pt idx="103">
                  <c:v>55.095456887573668</c:v>
                </c:pt>
                <c:pt idx="104">
                  <c:v>54.723926026851906</c:v>
                </c:pt>
                <c:pt idx="105">
                  <c:v>54.351655126840043</c:v>
                </c:pt>
                <c:pt idx="106">
                  <c:v>53.978686830558978</c:v>
                </c:pt>
                <c:pt idx="107">
                  <c:v>53.605063399963328</c:v>
                </c:pt>
                <c:pt idx="108">
                  <c:v>53.230826718653844</c:v>
                </c:pt>
                <c:pt idx="109">
                  <c:v>52.856018298013439</c:v>
                </c:pt>
                <c:pt idx="110">
                  <c:v>52.480679286547286</c:v>
                </c:pt>
                <c:pt idx="111">
                  <c:v>52.104850482205535</c:v>
                </c:pt>
                <c:pt idx="112">
                  <c:v>51.72857234746759</c:v>
                </c:pt>
                <c:pt idx="113">
                  <c:v>51.351885026968262</c:v>
                </c:pt>
                <c:pt idx="114">
                  <c:v>50.974828367448524</c:v>
                </c:pt>
                <c:pt idx="115">
                  <c:v>50.597441939814203</c:v>
                </c:pt>
                <c:pt idx="116">
                  <c:v>50.219765063092197</c:v>
                </c:pt>
                <c:pt idx="117">
                  <c:v>49.841836830071514</c:v>
                </c:pt>
                <c:pt idx="118">
                  <c:v>49.463696134424957</c:v>
                </c:pt>
                <c:pt idx="119">
                  <c:v>49.085381699107131</c:v>
                </c:pt>
                <c:pt idx="120">
                  <c:v>48.706932105826937</c:v>
                </c:pt>
                <c:pt idx="121">
                  <c:v>48.328385825396829</c:v>
                </c:pt>
                <c:pt idx="122">
                  <c:v>47.949781248763358</c:v>
                </c:pt>
                <c:pt idx="123">
                  <c:v>47.571156718522836</c:v>
                </c:pt>
                <c:pt idx="124">
                  <c:v>47.192550560730702</c:v>
                </c:pt>
                <c:pt idx="125">
                  <c:v>46.814001116810964</c:v>
                </c:pt>
                <c:pt idx="126">
                  <c:v>46.435546775373773</c:v>
                </c:pt>
                <c:pt idx="127">
                  <c:v>46.057226003749953</c:v>
                </c:pt>
                <c:pt idx="128">
                  <c:v>45.679077379048387</c:v>
                </c:pt>
                <c:pt idx="129">
                  <c:v>45.30113961854088</c:v>
                </c:pt>
                <c:pt idx="130">
                  <c:v>44.923451609180731</c:v>
                </c:pt>
                <c:pt idx="131">
                  <c:v>44.546052436055284</c:v>
                </c:pt>
                <c:pt idx="132">
                  <c:v>44.168981409571231</c:v>
                </c:pt>
                <c:pt idx="133">
                  <c:v>43.792278091170303</c:v>
                </c:pt>
                <c:pt idx="134">
                  <c:v>43.415982317368282</c:v>
                </c:pt>
                <c:pt idx="135">
                  <c:v>43.040134221907095</c:v>
                </c:pt>
                <c:pt idx="136">
                  <c:v>42.664774255809554</c:v>
                </c:pt>
                <c:pt idx="137">
                  <c:v>42.289943205117751</c:v>
                </c:pt>
                <c:pt idx="138">
                  <c:v>41.915682206102439</c:v>
                </c:pt>
                <c:pt idx="139">
                  <c:v>41.542032757718836</c:v>
                </c:pt>
                <c:pt idx="140">
                  <c:v>41.169036731091722</c:v>
                </c:pt>
                <c:pt idx="141">
                  <c:v>40.796736375805864</c:v>
                </c:pt>
                <c:pt idx="142">
                  <c:v>40.425174322783768</c:v>
                </c:pt>
                <c:pt idx="143">
                  <c:v>40.054393583531521</c:v>
                </c:pt>
                <c:pt idx="144">
                  <c:v>39.684437545536703</c:v>
                </c:pt>
                <c:pt idx="145">
                  <c:v>39.315349963611588</c:v>
                </c:pt>
                <c:pt idx="146">
                  <c:v>38.947174946977668</c:v>
                </c:pt>
                <c:pt idx="147">
                  <c:v>38.579956941899994</c:v>
                </c:pt>
                <c:pt idx="148">
                  <c:v>38.213740709690555</c:v>
                </c:pt>
                <c:pt idx="149">
                  <c:v>37.848571299915072</c:v>
                </c:pt>
                <c:pt idx="150">
                  <c:v>37.484494018654949</c:v>
                </c:pt>
                <c:pt idx="151">
                  <c:v>37.121554391695547</c:v>
                </c:pt>
                <c:pt idx="152">
                  <c:v>36.759798122538513</c:v>
                </c:pt>
                <c:pt idx="153">
                  <c:v>36.399271045157704</c:v>
                </c:pt>
                <c:pt idx="154">
                  <c:v>36.040019071454054</c:v>
                </c:pt>
                <c:pt idx="155">
                  <c:v>35.682088133394039</c:v>
                </c:pt>
                <c:pt idx="156">
                  <c:v>35.325524119854748</c:v>
                </c:pt>
                <c:pt idx="157">
                  <c:v>34.970372808238572</c:v>
                </c:pt>
                <c:pt idx="158">
                  <c:v>34.616679790962905</c:v>
                </c:pt>
                <c:pt idx="159">
                  <c:v>34.26449039697691</c:v>
                </c:pt>
                <c:pt idx="160">
                  <c:v>33.913849608504073</c:v>
                </c:pt>
                <c:pt idx="161">
                  <c:v>33.564801973260955</c:v>
                </c:pt>
                <c:pt idx="162">
                  <c:v>33.217391512454022</c:v>
                </c:pt>
                <c:pt idx="163">
                  <c:v>32.871661624907176</c:v>
                </c:pt>
                <c:pt idx="164">
                  <c:v>32.527654987730507</c:v>
                </c:pt>
                <c:pt idx="165">
                  <c:v>32.185413453987685</c:v>
                </c:pt>
                <c:pt idx="166">
                  <c:v>31.844977947875019</c:v>
                </c:pt>
                <c:pt idx="167">
                  <c:v>31.506388357975098</c:v>
                </c:pt>
                <c:pt idx="168">
                  <c:v>31.169683429190851</c:v>
                </c:pt>
                <c:pt idx="169">
                  <c:v>30.834900654015019</c:v>
                </c:pt>
                <c:pt idx="170">
                  <c:v>30.502076163821389</c:v>
                </c:pt>
                <c:pt idx="171">
                  <c:v>30.171244620905249</c:v>
                </c:pt>
                <c:pt idx="172">
                  <c:v>29.842439112018834</c:v>
                </c:pt>
                <c:pt idx="173">
                  <c:v>29.515691044173693</c:v>
                </c:pt>
                <c:pt idx="174">
                  <c:v>29.191030043489384</c:v>
                </c:pt>
                <c:pt idx="175">
                  <c:v>28.868483857872175</c:v>
                </c:pt>
                <c:pt idx="176">
                  <c:v>28.548078264302326</c:v>
                </c:pt>
                <c:pt idx="177">
                  <c:v>28.22983698149028</c:v>
                </c:pt>
                <c:pt idx="178">
                  <c:v>27.913781588640859</c:v>
                </c:pt>
                <c:pt idx="179">
                  <c:v>27.599931451026535</c:v>
                </c:pt>
                <c:pt idx="180">
                  <c:v>27.288303653029409</c:v>
                </c:pt>
                <c:pt idx="181">
                  <c:v>26.97891293925629</c:v>
                </c:pt>
                <c:pt idx="182">
                  <c:v>26.671771664271269</c:v>
                </c:pt>
                <c:pt idx="183">
                  <c:v>26.366889751420377</c:v>
                </c:pt>
                <c:pt idx="184">
                  <c:v>26.064274661145102</c:v>
                </c:pt>
                <c:pt idx="185">
                  <c:v>25.763931369102458</c:v>
                </c:pt>
                <c:pt idx="186">
                  <c:v>25.465862354317707</c:v>
                </c:pt>
                <c:pt idx="187">
                  <c:v>25.170067597510783</c:v>
                </c:pt>
                <c:pt idx="188">
                  <c:v>24.876544589640758</c:v>
                </c:pt>
                <c:pt idx="189">
                  <c:v>24.585288350621639</c:v>
                </c:pt>
                <c:pt idx="190">
                  <c:v>24.296291458070719</c:v>
                </c:pt>
                <c:pt idx="191">
                  <c:v>24.009544085859787</c:v>
                </c:pt>
                <c:pt idx="192">
                  <c:v>23.72503405215372</c:v>
                </c:pt>
                <c:pt idx="193">
                  <c:v>23.442746876539037</c:v>
                </c:pt>
                <c:pt idx="194">
                  <c:v>23.162665845769965</c:v>
                </c:pt>
                <c:pt idx="195">
                  <c:v>22.884772087590282</c:v>
                </c:pt>
                <c:pt idx="196">
                  <c:v>22.609044652029361</c:v>
                </c:pt>
                <c:pt idx="197">
                  <c:v>22.335460599518015</c:v>
                </c:pt>
                <c:pt idx="198">
                  <c:v>22.063995095128547</c:v>
                </c:pt>
                <c:pt idx="199">
                  <c:v>21.794621508207182</c:v>
                </c:pt>
                <c:pt idx="200">
                  <c:v>21.527311516646282</c:v>
                </c:pt>
                <c:pt idx="201">
                  <c:v>21.262035215027943</c:v>
                </c:pt>
                <c:pt idx="202">
                  <c:v>20.998761225865383</c:v>
                </c:pt>
                <c:pt idx="203">
                  <c:v>20.737456813173672</c:v>
                </c:pt>
                <c:pt idx="204">
                  <c:v>20.47808799761302</c:v>
                </c:pt>
                <c:pt idx="205">
                  <c:v>20.220619672469237</c:v>
                </c:pt>
                <c:pt idx="206">
                  <c:v>19.965015719761887</c:v>
                </c:pt>
                <c:pt idx="207">
                  <c:v>19.711239125805445</c:v>
                </c:pt>
                <c:pt idx="208">
                  <c:v>19.459252095588404</c:v>
                </c:pt>
                <c:pt idx="209">
                  <c:v>19.209016165377136</c:v>
                </c:pt>
                <c:pt idx="210">
                  <c:v>18.960492313000273</c:v>
                </c:pt>
                <c:pt idx="211">
                  <c:v>18.713641065318409</c:v>
                </c:pt>
                <c:pt idx="212">
                  <c:v>18.468422602436476</c:v>
                </c:pt>
                <c:pt idx="213">
                  <c:v>18.224796858267098</c:v>
                </c:pt>
                <c:pt idx="214">
                  <c:v>17.982723617109226</c:v>
                </c:pt>
                <c:pt idx="215">
                  <c:v>17.742162605955624</c:v>
                </c:pt>
                <c:pt idx="216">
                  <c:v>17.503073582296999</c:v>
                </c:pt>
                <c:pt idx="217">
                  <c:v>17.26541641723848</c:v>
                </c:pt>
                <c:pt idx="218">
                  <c:v>17.02915117379149</c:v>
                </c:pt>
                <c:pt idx="219">
                  <c:v>16.794238180252279</c:v>
                </c:pt>
                <c:pt idx="220">
                  <c:v>16.560638098614511</c:v>
                </c:pt>
                <c:pt idx="221">
                  <c:v>16.328311988010213</c:v>
                </c:pt>
                <c:pt idx="222">
                  <c:v>16.097221363201129</c:v>
                </c:pt>
                <c:pt idx="223">
                  <c:v>15.867328248180845</c:v>
                </c:pt>
                <c:pt idx="224">
                  <c:v>15.638595224974344</c:v>
                </c:pt>
                <c:pt idx="225">
                  <c:v>15.41098547774741</c:v>
                </c:pt>
                <c:pt idx="226">
                  <c:v>15.184462832361092</c:v>
                </c:pt>
                <c:pt idx="227">
                  <c:v>14.958991791524518</c:v>
                </c:pt>
                <c:pt idx="228">
                  <c:v>14.734537565716622</c:v>
                </c:pt>
                <c:pt idx="229">
                  <c:v>14.511066100058052</c:v>
                </c:pt>
                <c:pt idx="230">
                  <c:v>14.288544097326403</c:v>
                </c:pt>
                <c:pt idx="231">
                  <c:v>14.066939037315443</c:v>
                </c:pt>
                <c:pt idx="232">
                  <c:v>13.846219192742687</c:v>
                </c:pt>
                <c:pt idx="233">
                  <c:v>13.626353641912743</c:v>
                </c:pt>
                <c:pt idx="234">
                  <c:v>13.407312278348344</c:v>
                </c:pt>
                <c:pt idx="235">
                  <c:v>13.189065817594638</c:v>
                </c:pt>
                <c:pt idx="236">
                  <c:v>12.971585801404469</c:v>
                </c:pt>
                <c:pt idx="237">
                  <c:v>12.754844599507864</c:v>
                </c:pt>
                <c:pt idx="238">
                  <c:v>12.538815409162126</c:v>
                </c:pt>
                <c:pt idx="239">
                  <c:v>12.32347225267706</c:v>
                </c:pt>
                <c:pt idx="240">
                  <c:v>12.108789973099922</c:v>
                </c:pt>
                <c:pt idx="241">
                  <c:v>11.894744228239437</c:v>
                </c:pt>
                <c:pt idx="242">
                  <c:v>11.681311483200567</c:v>
                </c:pt>
                <c:pt idx="243">
                  <c:v>11.468469001593412</c:v>
                </c:pt>
                <c:pt idx="244">
                  <c:v>11.256194835572089</c:v>
                </c:pt>
                <c:pt idx="245">
                  <c:v>11.044467814849071</c:v>
                </c:pt>
                <c:pt idx="246">
                  <c:v>10.833267534826426</c:v>
                </c:pt>
                <c:pt idx="247">
                  <c:v>10.622574343971554</c:v>
                </c:pt>
                <c:pt idx="248">
                  <c:v>10.412369330561589</c:v>
                </c:pt>
                <c:pt idx="249">
                  <c:v>10.202634308909326</c:v>
                </c:pt>
                <c:pt idx="250">
                  <c:v>9.9933518051780919</c:v>
                </c:pt>
                <c:pt idx="251">
                  <c:v>9.7845050428822624</c:v>
                </c:pt>
                <c:pt idx="252">
                  <c:v>9.5760779281667148</c:v>
                </c:pt>
                <c:pt idx="253">
                  <c:v>9.3680550349479592</c:v>
                </c:pt>
                <c:pt idx="254">
                  <c:v>9.1604215899946269</c:v>
                </c:pt>
                <c:pt idx="255">
                  <c:v>8.9531634580181496</c:v>
                </c:pt>
                <c:pt idx="256">
                  <c:v>8.746267126839518</c:v>
                </c:pt>
                <c:pt idx="257">
                  <c:v>8.5397196926891787</c:v>
                </c:pt>
                <c:pt idx="258">
                  <c:v>8.3335088456962954</c:v>
                </c:pt>
                <c:pt idx="259">
                  <c:v>8.1276228556136161</c:v>
                </c:pt>
                <c:pt idx="260">
                  <c:v>7.9220505578244671</c:v>
                </c:pt>
                <c:pt idx="261">
                  <c:v>7.716781339668942</c:v>
                </c:pt>
                <c:pt idx="262">
                  <c:v>7.5118051271272188</c:v>
                </c:pt>
                <c:pt idx="263">
                  <c:v>7.3071123718899464</c:v>
                </c:pt>
                <c:pt idx="264">
                  <c:v>7.1026940388453728</c:v>
                </c:pt>
                <c:pt idx="265">
                  <c:v>6.8985415940083081</c:v>
                </c:pt>
                <c:pt idx="266">
                  <c:v>6.6946469929114478</c:v>
                </c:pt>
                <c:pt idx="267">
                  <c:v>6.4910026694827492</c:v>
                </c:pt>
                <c:pt idx="268">
                  <c:v>6.2876015254215698</c:v>
                </c:pt>
                <c:pt idx="269">
                  <c:v>6.0844369200924131</c:v>
                </c:pt>
                <c:pt idx="270">
                  <c:v>5.8815026609477759</c:v>
                </c:pt>
                <c:pt idx="271">
                  <c:v>5.6787929944915767</c:v>
                </c:pt>
                <c:pt idx="272">
                  <c:v>5.4763025977951081</c:v>
                </c:pt>
                <c:pt idx="273">
                  <c:v>5.2740265705713076</c:v>
                </c:pt>
                <c:pt idx="274">
                  <c:v>5.0719604278173946</c:v>
                </c:pt>
                <c:pt idx="275">
                  <c:v>4.8701000930306488</c:v>
                </c:pt>
                <c:pt idx="276">
                  <c:v>4.6684418920039734</c:v>
                </c:pt>
                <c:pt idx="277">
                  <c:v>4.4669825472057987</c:v>
                </c:pt>
                <c:pt idx="278">
                  <c:v>4.2657191727468664</c:v>
                </c:pt>
                <c:pt idx="279">
                  <c:v>4.0646492699405092</c:v>
                </c:pt>
                <c:pt idx="280">
                  <c:v>3.8637707234566472</c:v>
                </c:pt>
                <c:pt idx="281">
                  <c:v>3.6630817980732044</c:v>
                </c:pt>
                <c:pt idx="282">
                  <c:v>3.4625811360282519</c:v>
                </c:pt>
                <c:pt idx="283">
                  <c:v>3.2622677549735495</c:v>
                </c:pt>
                <c:pt idx="284">
                  <c:v>3.062141046531202</c:v>
                </c:pt>
                <c:pt idx="285">
                  <c:v>2.862200775458112</c:v>
                </c:pt>
                <c:pt idx="286">
                  <c:v>2.6624470794151378</c:v>
                </c:pt>
                <c:pt idx="287">
                  <c:v>2.4628804693469246</c:v>
                </c:pt>
                <c:pt idx="288">
                  <c:v>2.263501830471002</c:v>
                </c:pt>
                <c:pt idx="289">
                  <c:v>2.064312423878842</c:v>
                </c:pt>
                <c:pt idx="290">
                  <c:v>1.8653138887492784</c:v>
                </c:pt>
                <c:pt idx="291">
                  <c:v>1.6665082451769835</c:v>
                </c:pt>
                <c:pt idx="292">
                  <c:v>1.4678978976143899</c:v>
                </c:pt>
                <c:pt idx="293">
                  <c:v>1.2694856389316003</c:v>
                </c:pt>
                <c:pt idx="294">
                  <c:v>1.0712746550911607</c:v>
                </c:pt>
                <c:pt idx="295">
                  <c:v>0.87326853044159369</c:v>
                </c:pt>
                <c:pt idx="296">
                  <c:v>0.6754712536269627</c:v>
                </c:pt>
                <c:pt idx="297">
                  <c:v>0.47788722411577772</c:v>
                </c:pt>
                <c:pt idx="298">
                  <c:v>0.28052125934415989</c:v>
                </c:pt>
                <c:pt idx="299">
                  <c:v>8.3378602477004127E-2</c:v>
                </c:pt>
                <c:pt idx="300">
                  <c:v>-0.11353506921862608</c:v>
                </c:pt>
                <c:pt idx="301">
                  <c:v>-0.31021363538753977</c:v>
                </c:pt>
                <c:pt idx="302">
                  <c:v>-0.50665052299257829</c:v>
                </c:pt>
                <c:pt idx="303">
                  <c:v>-0.70283869611737948</c:v>
                </c:pt>
                <c:pt idx="304">
                  <c:v>-0.89877064517011807</c:v>
                </c:pt>
                <c:pt idx="305">
                  <c:v>-1.0944383754959195</c:v>
                </c:pt>
                <c:pt idx="306">
                  <c:v>-1.2898333954058572</c:v>
                </c:pt>
                <c:pt idx="307">
                  <c:v>-1.4849467036324135</c:v>
                </c:pt>
                <c:pt idx="308">
                  <c:v>-1.6797687762238058</c:v>
                </c:pt>
                <c:pt idx="309">
                  <c:v>-1.8742895528897758</c:v>
                </c:pt>
                <c:pt idx="310">
                  <c:v>-2.0684984228168481</c:v>
                </c:pt>
                <c:pt idx="311">
                  <c:v>-2.2623842099701656</c:v>
                </c:pt>
                <c:pt idx="312">
                  <c:v>-2.4559351579050452</c:v>
                </c:pt>
                <c:pt idx="313">
                  <c:v>-2.6491389141121422</c:v>
                </c:pt>
                <c:pt idx="314">
                  <c:v>-2.841982513925239</c:v>
                </c:pt>
                <c:pt idx="315">
                  <c:v>-3.0344523640223011</c:v>
                </c:pt>
                <c:pt idx="316">
                  <c:v>-3.2265342255582175</c:v>
                </c:pt>
                <c:pt idx="317">
                  <c:v>-3.4182131969673071</c:v>
                </c:pt>
                <c:pt idx="318">
                  <c:v>-3.6094736964820875</c:v>
                </c:pt>
                <c:pt idx="319">
                  <c:v>-3.8002994444193683</c:v>
                </c:pt>
                <c:pt idx="320">
                  <c:v>-3.9906734452873751</c:v>
                </c:pt>
                <c:pt idx="321">
                  <c:v>-4.1805779697784908</c:v>
                </c:pt>
                <c:pt idx="322">
                  <c:v>-4.3699945367126061</c:v>
                </c:pt>
                <c:pt idx="323">
                  <c:v>-4.5589038950092133</c:v>
                </c:pt>
                <c:pt idx="324">
                  <c:v>-4.7472860057661119</c:v>
                </c:pt>
                <c:pt idx="325">
                  <c:v>-4.935120024537393</c:v>
                </c:pt>
                <c:pt idx="326">
                  <c:v>-5.122384283904621</c:v>
                </c:pt>
                <c:pt idx="327">
                  <c:v>-5.3090562764484979</c:v>
                </c:pt>
                <c:pt idx="328">
                  <c:v>-5.495112638232329</c:v>
                </c:pt>
                <c:pt idx="329">
                  <c:v>-5.6805291329207366</c:v>
                </c:pt>
                <c:pt idx="330">
                  <c:v>-5.8652806366641306</c:v>
                </c:pt>
                <c:pt idx="331">
                  <c:v>-6.0493411238884782</c:v>
                </c:pt>
                <c:pt idx="332">
                  <c:v>-6.2326836541403523</c:v>
                </c:pt>
                <c:pt idx="333">
                  <c:v>-6.4152803601462978</c:v>
                </c:pt>
                <c:pt idx="334">
                  <c:v>-6.5971024372529783</c:v>
                </c:pt>
                <c:pt idx="335">
                  <c:v>-6.7781201344268585</c:v>
                </c:pt>
                <c:pt idx="336">
                  <c:v>-6.9583027469989087</c:v>
                </c:pt>
                <c:pt idx="337">
                  <c:v>-7.1376186113491649</c:v>
                </c:pt>
                <c:pt idx="338">
                  <c:v>-7.3160351017351335</c:v>
                </c:pt>
                <c:pt idx="339">
                  <c:v>-7.4935186294727982</c:v>
                </c:pt>
                <c:pt idx="340">
                  <c:v>-7.6700346446901637</c:v>
                </c:pt>
                <c:pt idx="341">
                  <c:v>-7.845547640876446</c:v>
                </c:pt>
                <c:pt idx="342">
                  <c:v>-8.020021162453391</c:v>
                </c:pt>
                <c:pt idx="343">
                  <c:v>-8.1934178156040041</c:v>
                </c:pt>
                <c:pt idx="344">
                  <c:v>-8.3656992825905192</c:v>
                </c:pt>
                <c:pt idx="345">
                  <c:v>-8.5368263397980026</c:v>
                </c:pt>
                <c:pt idx="346">
                  <c:v>-8.7067588797354993</c:v>
                </c:pt>
                <c:pt idx="347">
                  <c:v>-8.8754559372252917</c:v>
                </c:pt>
                <c:pt idx="348">
                  <c:v>-9.0428757200044725</c:v>
                </c:pt>
                <c:pt idx="349">
                  <c:v>-9.2089756439545081</c:v>
                </c:pt>
                <c:pt idx="350">
                  <c:v>-9.3737123731620358</c:v>
                </c:pt>
                <c:pt idx="351">
                  <c:v>-9.5370418650044382</c:v>
                </c:pt>
                <c:pt idx="352">
                  <c:v>-9.6989194204319755</c:v>
                </c:pt>
                <c:pt idx="353">
                  <c:v>-9.8592997396017257</c:v>
                </c:pt>
                <c:pt idx="354">
                  <c:v>-10.018136982994033</c:v>
                </c:pt>
                <c:pt idx="355">
                  <c:v>-10.175384838116987</c:v>
                </c:pt>
                <c:pt idx="356">
                  <c:v>-10.330996591872328</c:v>
                </c:pt>
                <c:pt idx="357">
                  <c:v>-10.484925208627212</c:v>
                </c:pt>
                <c:pt idx="358">
                  <c:v>-10.637123413997502</c:v>
                </c:pt>
                <c:pt idx="359">
                  <c:v>-10.787543784310339</c:v>
                </c:pt>
                <c:pt idx="360">
                  <c:v>-10.93613884167377</c:v>
                </c:pt>
                <c:pt idx="361">
                  <c:v>-11.082861154536232</c:v>
                </c:pt>
                <c:pt idx="362">
                  <c:v>-11.227663443574041</c:v>
                </c:pt>
                <c:pt idx="363">
                  <c:v>-11.370498692698705</c:v>
                </c:pt>
                <c:pt idx="364">
                  <c:v>-11.511320264926868</c:v>
                </c:pt>
                <c:pt idx="365">
                  <c:v>-11.650082022809784</c:v>
                </c:pt>
                <c:pt idx="366">
                  <c:v>-11.786738453070736</c:v>
                </c:pt>
                <c:pt idx="367">
                  <c:v>-11.92124479505247</c:v>
                </c:pt>
                <c:pt idx="368">
                  <c:v>-12.053557172532196</c:v>
                </c:pt>
                <c:pt idx="369">
                  <c:v>-12.183632728422181</c:v>
                </c:pt>
                <c:pt idx="370">
                  <c:v>-12.311429761832546</c:v>
                </c:pt>
                <c:pt idx="371">
                  <c:v>-12.436907866940089</c:v>
                </c:pt>
                <c:pt idx="372">
                  <c:v>-12.560028073080518</c:v>
                </c:pt>
                <c:pt idx="373">
                  <c:v>-12.680752985452727</c:v>
                </c:pt>
                <c:pt idx="374">
                  <c:v>-12.799046925812199</c:v>
                </c:pt>
                <c:pt idx="375">
                  <c:v>-12.914876072515408</c:v>
                </c:pt>
                <c:pt idx="376">
                  <c:v>-13.028208599276866</c:v>
                </c:pt>
                <c:pt idx="377">
                  <c:v>-13.139014812002806</c:v>
                </c:pt>
                <c:pt idx="378">
                  <c:v>-13.24726728307656</c:v>
                </c:pt>
                <c:pt idx="379">
                  <c:v>-13.352940982490182</c:v>
                </c:pt>
                <c:pt idx="380">
                  <c:v>-13.456013405242134</c:v>
                </c:pt>
                <c:pt idx="381">
                  <c:v>-13.556464694451787</c:v>
                </c:pt>
                <c:pt idx="382">
                  <c:v>-13.654277759681978</c:v>
                </c:pt>
                <c:pt idx="383">
                  <c:v>-13.749438390001449</c:v>
                </c:pt>
                <c:pt idx="384">
                  <c:v>-13.841935361368801</c:v>
                </c:pt>
                <c:pt idx="385">
                  <c:v>-13.931760537969204</c:v>
                </c:pt>
                <c:pt idx="386">
                  <c:v>-14.018908967187418</c:v>
                </c:pt>
                <c:pt idx="387">
                  <c:v>-14.103378967954974</c:v>
                </c:pt>
                <c:pt idx="388">
                  <c:v>-14.185172212262209</c:v>
                </c:pt>
                <c:pt idx="389">
                  <c:v>-14.264293799675656</c:v>
                </c:pt>
                <c:pt idx="390">
                  <c:v>-14.340752324750357</c:v>
                </c:pt>
                <c:pt idx="391">
                  <c:v>-14.414559937269498</c:v>
                </c:pt>
                <c:pt idx="392">
                  <c:v>-14.485732395282621</c:v>
                </c:pt>
                <c:pt idx="393">
                  <c:v>-14.55428911094276</c:v>
                </c:pt>
                <c:pt idx="394">
                  <c:v>-14.620253189173338</c:v>
                </c:pt>
                <c:pt idx="395">
                  <c:v>-14.683651459204068</c:v>
                </c:pt>
                <c:pt idx="396">
                  <c:v>-14.744514499033656</c:v>
                </c:pt>
                <c:pt idx="397">
                  <c:v>-14.802876652870278</c:v>
                </c:pt>
                <c:pt idx="398">
                  <c:v>-14.858776041599633</c:v>
                </c:pt>
                <c:pt idx="399">
                  <c:v>-14.912254566314655</c:v>
                </c:pt>
                <c:pt idx="400">
                  <c:v>-14.963357904921185</c:v>
                </c:pt>
                <c:pt idx="401">
                  <c:v>-15.012135501806338</c:v>
                </c:pt>
                <c:pt idx="402">
                  <c:v>-15.058640550531504</c:v>
                </c:pt>
                <c:pt idx="403">
                  <c:v>-15.102929969472726</c:v>
                </c:pt>
                <c:pt idx="404">
                  <c:v>-15.145064370301117</c:v>
                </c:pt>
                <c:pt idx="405">
                  <c:v>-15.185108019161987</c:v>
                </c:pt>
                <c:pt idx="406">
                  <c:v>-15.223128790374819</c:v>
                </c:pt>
                <c:pt idx="407">
                  <c:v>-15.259198112454399</c:v>
                </c:pt>
                <c:pt idx="408">
                  <c:v>-15.293390906222895</c:v>
                </c:pt>
                <c:pt idx="409">
                  <c:v>-15.325785514770754</c:v>
                </c:pt>
                <c:pt idx="410">
                  <c:v>-15.356463625013493</c:v>
                </c:pt>
                <c:pt idx="411">
                  <c:v>-15.385510180589449</c:v>
                </c:pt>
                <c:pt idx="412">
                  <c:v>-15.413013285859032</c:v>
                </c:pt>
                <c:pt idx="413">
                  <c:v>-15.439064100780557</c:v>
                </c:pt>
                <c:pt idx="414">
                  <c:v>-15.463756726474562</c:v>
                </c:pt>
                <c:pt idx="415">
                  <c:v>-15.487188081327846</c:v>
                </c:pt>
                <c:pt idx="416">
                  <c:v>-15.509457767544252</c:v>
                </c:pt>
                <c:pt idx="417">
                  <c:v>-15.530667928111626</c:v>
                </c:pt>
                <c:pt idx="418">
                  <c:v>-15.550923094226272</c:v>
                </c:pt>
                <c:pt idx="419">
                  <c:v>-15.570330023299853</c:v>
                </c:pt>
                <c:pt idx="420">
                  <c:v>-15.588997527756415</c:v>
                </c:pt>
                <c:pt idx="421">
                  <c:v>-15.607036294923047</c:v>
                </c:pt>
                <c:pt idx="422">
                  <c:v>-15.624558698409384</c:v>
                </c:pt>
                <c:pt idx="423">
                  <c:v>-15.64167860146928</c:v>
                </c:pt>
                <c:pt idx="424">
                  <c:v>-15.658511152929446</c:v>
                </c:pt>
                <c:pt idx="425">
                  <c:v>-15.675172576365458</c:v>
                </c:pt>
                <c:pt idx="426">
                  <c:v>-15.691779953286765</c:v>
                </c:pt>
                <c:pt idx="427">
                  <c:v>-15.708451001177847</c:v>
                </c:pt>
                <c:pt idx="428">
                  <c:v>-15.725303847306533</c:v>
                </c:pt>
                <c:pt idx="429">
                  <c:v>-15.742456799277138</c:v>
                </c:pt>
                <c:pt idx="430">
                  <c:v>-15.760028113354061</c:v>
                </c:pt>
                <c:pt idx="431">
                  <c:v>-15.778135761615255</c:v>
                </c:pt>
                <c:pt idx="432">
                  <c:v>-15.796897199025878</c:v>
                </c:pt>
                <c:pt idx="433">
                  <c:v>-15.816429131529974</c:v>
                </c:pt>
                <c:pt idx="434">
                  <c:v>-15.836847286256289</c:v>
                </c:pt>
                <c:pt idx="435">
                  <c:v>-15.858266184925125</c:v>
                </c:pt>
                <c:pt idx="436">
                  <c:v>-15.880798921512341</c:v>
                </c:pt>
                <c:pt idx="437">
                  <c:v>-15.904556945194358</c:v>
                </c:pt>
                <c:pt idx="438">
                  <c:v>-15.929649849548451</c:v>
                </c:pt>
                <c:pt idx="439">
                  <c:v>-15.956185168931514</c:v>
                </c:pt>
                <c:pt idx="440">
                  <c:v>-15.984268182894548</c:v>
                </c:pt>
                <c:pt idx="441">
                  <c:v>-16.014001729428649</c:v>
                </c:pt>
                <c:pt idx="442">
                  <c:v>-16.04548602776179</c:v>
                </c:pt>
                <c:pt idx="443">
                  <c:v>-16.078818511357255</c:v>
                </c:pt>
                <c:pt idx="444">
                  <c:v>-16.114093671687627</c:v>
                </c:pt>
                <c:pt idx="445">
                  <c:v>-16.151402913286322</c:v>
                </c:pt>
                <c:pt idx="446">
                  <c:v>-16.190834420506441</c:v>
                </c:pt>
                <c:pt idx="447">
                  <c:v>-16.232473036346125</c:v>
                </c:pt>
                <c:pt idx="448">
                  <c:v>-16.276400153637379</c:v>
                </c:pt>
                <c:pt idx="449">
                  <c:v>-16.322693618827813</c:v>
                </c:pt>
                <c:pt idx="450">
                  <c:v>-16.371427648531277</c:v>
                </c:pt>
                <c:pt idx="451">
                  <c:v>-16.422672758968179</c:v>
                </c:pt>
                <c:pt idx="452">
                  <c:v>-16.476495708365132</c:v>
                </c:pt>
                <c:pt idx="453">
                  <c:v>-16.532959452340204</c:v>
                </c:pt>
                <c:pt idx="454">
                  <c:v>-16.5921231122554</c:v>
                </c:pt>
                <c:pt idx="455">
                  <c:v>-16.654041956478135</c:v>
                </c:pt>
                <c:pt idx="456">
                  <c:v>-16.718767394458453</c:v>
                </c:pt>
                <c:pt idx="457">
                  <c:v>-16.786346983485963</c:v>
                </c:pt>
                <c:pt idx="458">
                  <c:v>-16.856824447962936</c:v>
                </c:pt>
                <c:pt idx="459">
                  <c:v>-16.930239710985905</c:v>
                </c:pt>
                <c:pt idx="460">
                  <c:v>-17.0066289379984</c:v>
                </c:pt>
                <c:pt idx="461">
                  <c:v>-17.08602459223496</c:v>
                </c:pt>
                <c:pt idx="462">
                  <c:v>-17.168455501642864</c:v>
                </c:pt>
                <c:pt idx="463">
                  <c:v>-17.253946936923231</c:v>
                </c:pt>
                <c:pt idx="464">
                  <c:v>-17.342520700293292</c:v>
                </c:pt>
                <c:pt idx="465">
                  <c:v>-17.434195224532075</c:v>
                </c:pt>
                <c:pt idx="466">
                  <c:v>-17.528985681820782</c:v>
                </c:pt>
                <c:pt idx="467">
                  <c:v>-17.62690410185067</c:v>
                </c:pt>
                <c:pt idx="468">
                  <c:v>-17.727959498623896</c:v>
                </c:pt>
                <c:pt idx="469">
                  <c:v>-17.832158005326175</c:v>
                </c:pt>
                <c:pt idx="470">
                  <c:v>-17.939503016612719</c:v>
                </c:pt>
                <c:pt idx="471">
                  <c:v>-18.049995337601988</c:v>
                </c:pt>
                <c:pt idx="472">
                  <c:v>-18.163633338835648</c:v>
                </c:pt>
                <c:pt idx="473">
                  <c:v>-18.280413116429944</c:v>
                </c:pt>
                <c:pt idx="474">
                  <c:v>-18.400328656608657</c:v>
                </c:pt>
                <c:pt idx="475">
                  <c:v>-18.523372003785823</c:v>
                </c:pt>
                <c:pt idx="476">
                  <c:v>-18.649533431342334</c:v>
                </c:pt>
                <c:pt idx="477">
                  <c:v>-18.778801614228456</c:v>
                </c:pt>
                <c:pt idx="478">
                  <c:v>-18.91116380251097</c:v>
                </c:pt>
                <c:pt idx="479">
                  <c:v>-19.046605994986493</c:v>
                </c:pt>
                <c:pt idx="480">
                  <c:v>-19.185113111979664</c:v>
                </c:pt>
                <c:pt idx="481">
                  <c:v>-19.326669166459144</c:v>
                </c:pt>
                <c:pt idx="482">
                  <c:v>-19.471257432618337</c:v>
                </c:pt>
                <c:pt idx="483">
                  <c:v>-19.618860611087868</c:v>
                </c:pt>
                <c:pt idx="484">
                  <c:v>-19.769460989975656</c:v>
                </c:pt>
                <c:pt idx="485">
                  <c:v>-19.923040600960924</c:v>
                </c:pt>
                <c:pt idx="486">
                  <c:v>-20.079581369704286</c:v>
                </c:pt>
                <c:pt idx="487">
                  <c:v>-20.239065259877194</c:v>
                </c:pt>
                <c:pt idx="488">
                  <c:v>-20.401474410155696</c:v>
                </c:pt>
                <c:pt idx="489">
                  <c:v>-20.5667912635721</c:v>
                </c:pt>
                <c:pt idx="490">
                  <c:v>-20.734998688663211</c:v>
                </c:pt>
                <c:pt idx="491">
                  <c:v>-20.906080091908468</c:v>
                </c:pt>
                <c:pt idx="492">
                  <c:v>-21.080019520997645</c:v>
                </c:pt>
                <c:pt idx="493">
                  <c:v>-21.256801758524478</c:v>
                </c:pt>
                <c:pt idx="494">
                  <c:v>-21.436412405754602</c:v>
                </c:pt>
                <c:pt idx="495">
                  <c:v>-21.618837956168356</c:v>
                </c:pt>
                <c:pt idx="496">
                  <c:v>-21.8040658585331</c:v>
                </c:pt>
                <c:pt idx="497">
                  <c:v>-21.992084569313413</c:v>
                </c:pt>
                <c:pt idx="498">
                  <c:v>-22.182883594281186</c:v>
                </c:pt>
                <c:pt idx="499">
                  <c:v>-22.376453519238954</c:v>
                </c:pt>
                <c:pt idx="500">
                  <c:v>-22.572786029824581</c:v>
                </c:pt>
                <c:pt idx="501">
                  <c:v>-22.771873920415921</c:v>
                </c:pt>
                <c:pt idx="502">
                  <c:v>-22.973711092209285</c:v>
                </c:pt>
                <c:pt idx="503">
                  <c:v>-23.178292540594754</c:v>
                </c:pt>
                <c:pt idx="504">
                  <c:v>-23.385614332008259</c:v>
                </c:pt>
                <c:pt idx="505">
                  <c:v>-23.5956735704873</c:v>
                </c:pt>
                <c:pt idx="506">
                  <c:v>-23.808468354215737</c:v>
                </c:pt>
                <c:pt idx="507">
                  <c:v>-24.023997722392323</c:v>
                </c:pt>
                <c:pt idx="508">
                  <c:v>-24.242261592811936</c:v>
                </c:pt>
                <c:pt idx="509">
                  <c:v>-24.463260690600215</c:v>
                </c:pt>
                <c:pt idx="510">
                  <c:v>-24.686996468597986</c:v>
                </c:pt>
                <c:pt idx="511">
                  <c:v>-24.913471019939625</c:v>
                </c:pt>
                <c:pt idx="512">
                  <c:v>-25.14268698342519</c:v>
                </c:pt>
                <c:pt idx="513">
                  <c:v>-25.374647442332133</c:v>
                </c:pt>
                <c:pt idx="514">
                  <c:v>-25.609355817365461</c:v>
                </c:pt>
                <c:pt idx="515">
                  <c:v>-25.846815754484638</c:v>
                </c:pt>
                <c:pt idx="516">
                  <c:v>-26.087031008396725</c:v>
                </c:pt>
                <c:pt idx="517">
                  <c:v>-26.330005322535847</c:v>
                </c:pt>
                <c:pt idx="518">
                  <c:v>-26.575742306391874</c:v>
                </c:pt>
                <c:pt idx="519">
                  <c:v>-26.824245311074186</c:v>
                </c:pt>
                <c:pt idx="520">
                  <c:v>-27.075517304026036</c:v>
                </c:pt>
                <c:pt idx="521">
                  <c:v>-27.329560743818181</c:v>
                </c:pt>
                <c:pt idx="522">
                  <c:v>-27.586377455962317</c:v>
                </c:pt>
                <c:pt idx="523">
                  <c:v>-27.845968510687307</c:v>
                </c:pt>
                <c:pt idx="524">
                  <c:v>-28.108334103612695</c:v>
                </c:pt>
                <c:pt idx="525">
                  <c:v>-28.373473440241824</c:v>
                </c:pt>
                <c:pt idx="526">
                  <c:v>-28.641384625168293</c:v>
                </c:pt>
                <c:pt idx="527">
                  <c:v>-28.912064556861022</c:v>
                </c:pt>
                <c:pt idx="528">
                  <c:v>-29.185508828843332</c:v>
                </c:pt>
                <c:pt idx="529">
                  <c:v>-29.461711638037286</c:v>
                </c:pt>
                <c:pt idx="530">
                  <c:v>-29.740665700974517</c:v>
                </c:pt>
                <c:pt idx="531">
                  <c:v>-30.022362178513408</c:v>
                </c:pt>
                <c:pt idx="532">
                  <c:v>-30.306790609620194</c:v>
                </c:pt>
                <c:pt idx="533">
                  <c:v>-30.593938854693086</c:v>
                </c:pt>
                <c:pt idx="534">
                  <c:v>-30.883793048812755</c:v>
                </c:pt>
                <c:pt idx="535">
                  <c:v>-31.176337565217345</c:v>
                </c:pt>
                <c:pt idx="536">
                  <c:v>-31.471554989196846</c:v>
                </c:pt>
                <c:pt idx="537">
                  <c:v>-31.769426102508369</c:v>
                </c:pt>
                <c:pt idx="538">
                  <c:v>-32.069929878310909</c:v>
                </c:pt>
                <c:pt idx="539">
                  <c:v>-32.373043486525496</c:v>
                </c:pt>
                <c:pt idx="540">
                  <c:v>-32.678742309426532</c:v>
                </c:pt>
                <c:pt idx="541">
                  <c:v>-32.986999967184033</c:v>
                </c:pt>
              </c:numCache>
            </c:numRef>
          </c:yVal>
          <c:smooth val="1"/>
          <c:extLst>
            <c:ext xmlns:c16="http://schemas.microsoft.com/office/drawing/2014/chart" uri="{C3380CC4-5D6E-409C-BE32-E72D297353CC}">
              <c16:uniqueId val="{00000000-7AB1-42AA-8DBD-6D7B5452EF93}"/>
            </c:ext>
          </c:extLst>
        </c:ser>
        <c:dLbls>
          <c:showLegendKey val="0"/>
          <c:showVal val="0"/>
          <c:showCatName val="0"/>
          <c:showSerName val="0"/>
          <c:showPercent val="0"/>
          <c:showBubbleSize val="0"/>
        </c:dLbls>
        <c:axId val="365455232"/>
        <c:axId val="365465600"/>
      </c:scatterChart>
      <c:scatterChart>
        <c:scatterStyle val="smoothMarker"/>
        <c:varyColors val="0"/>
        <c:ser>
          <c:idx val="1"/>
          <c:order val="1"/>
          <c:tx>
            <c:v>Phase (deg)</c:v>
          </c:tx>
          <c:spPr>
            <a:ln w="38100">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Loop_Modeling!$BH$19:$BH$560</c:f>
              <c:numCache>
                <c:formatCode>General</c:formatCode>
                <c:ptCount val="542"/>
                <c:pt idx="0">
                  <c:v>76.734252053962663</c:v>
                </c:pt>
                <c:pt idx="1">
                  <c:v>76.438697695497339</c:v>
                </c:pt>
                <c:pt idx="2">
                  <c:v>76.137171304511725</c:v>
                </c:pt>
                <c:pt idx="3">
                  <c:v>75.829593358332062</c:v>
                </c:pt>
                <c:pt idx="4">
                  <c:v>75.515886108596305</c:v>
                </c:pt>
                <c:pt idx="5">
                  <c:v>75.195973813564464</c:v>
                </c:pt>
                <c:pt idx="6">
                  <c:v>74.869782982568339</c:v>
                </c:pt>
                <c:pt idx="7">
                  <c:v>74.537242632733708</c:v>
                </c:pt>
                <c:pt idx="8">
                  <c:v>74.198284558049849</c:v>
                </c:pt>
                <c:pt idx="9">
                  <c:v>73.852843610800718</c:v>
                </c:pt>
                <c:pt idx="10">
                  <c:v>73.500857995303335</c:v>
                </c:pt>
                <c:pt idx="11">
                  <c:v>73.142269573819775</c:v>
                </c:pt>
                <c:pt idx="12">
                  <c:v>72.777024184424249</c:v>
                </c:pt>
                <c:pt idx="13">
                  <c:v>72.405071970512338</c:v>
                </c:pt>
                <c:pt idx="14">
                  <c:v>72.026367721535237</c:v>
                </c:pt>
                <c:pt idx="15">
                  <c:v>71.640871224435102</c:v>
                </c:pt>
                <c:pt idx="16">
                  <c:v>71.248547625130087</c:v>
                </c:pt>
                <c:pt idx="17">
                  <c:v>70.849367799276351</c:v>
                </c:pt>
                <c:pt idx="18">
                  <c:v>70.443308731394097</c:v>
                </c:pt>
                <c:pt idx="19">
                  <c:v>70.030353901299591</c:v>
                </c:pt>
                <c:pt idx="20">
                  <c:v>69.610493676639706</c:v>
                </c:pt>
                <c:pt idx="21">
                  <c:v>69.18372571015999</c:v>
                </c:pt>
                <c:pt idx="22">
                  <c:v>68.750055340186321</c:v>
                </c:pt>
                <c:pt idx="23">
                  <c:v>68.30949599262027</c:v>
                </c:pt>
                <c:pt idx="24">
                  <c:v>67.862069582598991</c:v>
                </c:pt>
                <c:pt idx="25">
                  <c:v>67.40780691378103</c:v>
                </c:pt>
                <c:pt idx="26">
                  <c:v>66.946748073074659</c:v>
                </c:pt>
                <c:pt idx="27">
                  <c:v>66.478942818445532</c:v>
                </c:pt>
                <c:pt idx="28">
                  <c:v>66.004450957293926</c:v>
                </c:pt>
                <c:pt idx="29">
                  <c:v>65.523342712743997</c:v>
                </c:pt>
                <c:pt idx="30">
                  <c:v>65.035699075050559</c:v>
                </c:pt>
                <c:pt idx="31">
                  <c:v>64.541612135208752</c:v>
                </c:pt>
                <c:pt idx="32">
                  <c:v>64.041185397758539</c:v>
                </c:pt>
                <c:pt idx="33">
                  <c:v>63.534534069683453</c:v>
                </c:pt>
                <c:pt idx="34">
                  <c:v>63.021785322264904</c:v>
                </c:pt>
                <c:pt idx="35">
                  <c:v>62.503078522712343</c:v>
                </c:pt>
                <c:pt idx="36">
                  <c:v>61.978565432407095</c:v>
                </c:pt>
                <c:pt idx="37">
                  <c:v>61.448410368631954</c:v>
                </c:pt>
                <c:pt idx="38">
                  <c:v>60.912790326737458</c:v>
                </c:pt>
                <c:pt idx="39">
                  <c:v>60.371895059812985</c:v>
                </c:pt>
                <c:pt idx="40">
                  <c:v>59.825927113091971</c:v>
                </c:pt>
                <c:pt idx="41">
                  <c:v>59.275101810515245</c:v>
                </c:pt>
                <c:pt idx="42">
                  <c:v>58.719647191128644</c:v>
                </c:pt>
                <c:pt idx="43">
                  <c:v>58.159803893273761</c:v>
                </c:pt>
                <c:pt idx="44">
                  <c:v>57.595824984864016</c:v>
                </c:pt>
                <c:pt idx="45">
                  <c:v>57.027975738405345</c:v>
                </c:pt>
                <c:pt idx="46">
                  <c:v>56.456533349834913</c:v>
                </c:pt>
                <c:pt idx="47">
                  <c:v>55.881786600689367</c:v>
                </c:pt>
                <c:pt idx="48">
                  <c:v>55.30403546359247</c:v>
                </c:pt>
                <c:pt idx="49">
                  <c:v>54.723590651546864</c:v>
                </c:pt>
                <c:pt idx="50">
                  <c:v>54.140773112032498</c:v>
                </c:pt>
                <c:pt idx="51">
                  <c:v>53.555913467444775</c:v>
                </c:pt>
                <c:pt idx="52">
                  <c:v>52.969351403936741</c:v>
                </c:pt>
                <c:pt idx="53">
                  <c:v>52.381435011257793</c:v>
                </c:pt>
                <c:pt idx="54">
                  <c:v>51.792520076705372</c:v>
                </c:pt>
                <c:pt idx="55">
                  <c:v>51.202969336793593</c:v>
                </c:pt>
                <c:pt idx="56">
                  <c:v>50.613151690721359</c:v>
                </c:pt>
                <c:pt idx="57">
                  <c:v>50.023441380145762</c:v>
                </c:pt>
                <c:pt idx="58">
                  <c:v>49.434217140161437</c:v>
                </c:pt>
                <c:pt idx="59">
                  <c:v>48.845861326714633</c:v>
                </c:pt>
                <c:pt idx="60">
                  <c:v>48.258759025966214</c:v>
                </c:pt>
                <c:pt idx="61">
                  <c:v>47.673297151325173</c:v>
                </c:pt>
                <c:pt idx="62">
                  <c:v>47.08986353402809</c:v>
                </c:pt>
                <c:pt idx="63">
                  <c:v>46.508846013215155</c:v>
                </c:pt>
                <c:pt idx="64">
                  <c:v>45.930631531456598</c:v>
                </c:pt>
                <c:pt idx="65">
                  <c:v>45.355605241624197</c:v>
                </c:pt>
                <c:pt idx="66">
                  <c:v>44.784149630861187</c:v>
                </c:pt>
                <c:pt idx="67">
                  <c:v>44.216643667203613</c:v>
                </c:pt>
                <c:pt idx="68">
                  <c:v>43.653461974133862</c:v>
                </c:pt>
                <c:pt idx="69">
                  <c:v>43.09497403802694</c:v>
                </c:pt>
                <c:pt idx="70">
                  <c:v>42.541543453062509</c:v>
                </c:pt>
                <c:pt idx="71">
                  <c:v>41.993527207758106</c:v>
                </c:pt>
                <c:pt idx="72">
                  <c:v>41.451275016806434</c:v>
                </c:pt>
                <c:pt idx="73">
                  <c:v>40.915128701403923</c:v>
                </c:pt>
                <c:pt idx="74">
                  <c:v>40.385421620759757</c:v>
                </c:pt>
                <c:pt idx="75">
                  <c:v>39.862478156904409</c:v>
                </c:pt>
                <c:pt idx="76">
                  <c:v>39.346613254427957</c:v>
                </c:pt>
                <c:pt idx="77">
                  <c:v>38.838132016200667</c:v>
                </c:pt>
                <c:pt idx="78">
                  <c:v>38.337329355639419</c:v>
                </c:pt>
                <c:pt idx="79">
                  <c:v>37.844489705548796</c:v>
                </c:pt>
                <c:pt idx="80">
                  <c:v>37.359886783105324</c:v>
                </c:pt>
                <c:pt idx="81">
                  <c:v>36.883783410081662</c:v>
                </c:pt>
                <c:pt idx="82">
                  <c:v>36.416431386995576</c:v>
                </c:pt>
                <c:pt idx="83">
                  <c:v>35.958071419484597</c:v>
                </c:pt>
                <c:pt idx="84">
                  <c:v>35.508933094855514</c:v>
                </c:pt>
                <c:pt idx="85">
                  <c:v>35.069234906467919</c:v>
                </c:pt>
                <c:pt idx="86">
                  <c:v>34.639184323338718</c:v>
                </c:pt>
                <c:pt idx="87">
                  <c:v>34.218977902150968</c:v>
                </c:pt>
                <c:pt idx="88">
                  <c:v>33.808801438664567</c:v>
                </c:pt>
                <c:pt idx="89">
                  <c:v>33.408830155405433</c:v>
                </c:pt>
                <c:pt idx="90">
                  <c:v>33.019228922408686</c:v>
                </c:pt>
                <c:pt idx="91">
                  <c:v>32.640152507743899</c:v>
                </c:pt>
                <c:pt idx="92">
                  <c:v>32.271745854520205</c:v>
                </c:pt>
                <c:pt idx="93">
                  <c:v>31.914144381093724</c:v>
                </c:pt>
                <c:pt idx="94">
                  <c:v>31.567474301228241</c:v>
                </c:pt>
                <c:pt idx="95">
                  <c:v>31.231852961032097</c:v>
                </c:pt>
                <c:pt idx="96">
                  <c:v>30.907389189582926</c:v>
                </c:pt>
                <c:pt idx="97">
                  <c:v>30.594183660251691</c:v>
                </c:pt>
                <c:pt idx="98">
                  <c:v>30.292329259870396</c:v>
                </c:pt>
                <c:pt idx="99">
                  <c:v>30.0019114630113</c:v>
                </c:pt>
                <c:pt idx="100">
                  <c:v>29.723008708797508</c:v>
                </c:pt>
                <c:pt idx="101">
                  <c:v>29.45569277781426</c:v>
                </c:pt>
                <c:pt idx="102">
                  <c:v>29.200029166839236</c:v>
                </c:pt>
                <c:pt idx="103">
                  <c:v>28.956077459278092</c:v>
                </c:pt>
                <c:pt idx="104">
                  <c:v>28.723891689336423</c:v>
                </c:pt>
                <c:pt idx="105">
                  <c:v>28.503520698124166</c:v>
                </c:pt>
                <c:pt idx="106">
                  <c:v>28.295008480033818</c:v>
                </c:pt>
                <c:pt idx="107">
                  <c:v>28.098394517880319</c:v>
                </c:pt>
                <c:pt idx="108">
                  <c:v>27.913714105437563</c:v>
                </c:pt>
                <c:pt idx="109">
                  <c:v>27.740998656131421</c:v>
                </c:pt>
                <c:pt idx="110">
                  <c:v>27.580275996783431</c:v>
                </c:pt>
                <c:pt idx="111">
                  <c:v>27.431570645416564</c:v>
                </c:pt>
                <c:pt idx="112">
                  <c:v>27.294904072241383</c:v>
                </c:pt>
                <c:pt idx="113">
                  <c:v>27.170294943051246</c:v>
                </c:pt>
                <c:pt idx="114">
                  <c:v>27.057759344344753</c:v>
                </c:pt>
                <c:pt idx="115">
                  <c:v>26.957310989583583</c:v>
                </c:pt>
                <c:pt idx="116">
                  <c:v>26.86896140607352</c:v>
                </c:pt>
                <c:pt idx="117">
                  <c:v>26.792720102028628</c:v>
                </c:pt>
                <c:pt idx="118">
                  <c:v>26.728594713445258</c:v>
                </c:pt>
                <c:pt idx="119">
                  <c:v>26.676591130473732</c:v>
                </c:pt>
                <c:pt idx="120">
                  <c:v>26.63671360302817</c:v>
                </c:pt>
                <c:pt idx="121">
                  <c:v>26.608964825427392</c:v>
                </c:pt>
                <c:pt idx="122">
                  <c:v>26.593345999907669</c:v>
                </c:pt>
                <c:pt idx="123">
                  <c:v>26.589856878881008</c:v>
                </c:pt>
                <c:pt idx="124">
                  <c:v>26.5984957858707</c:v>
                </c:pt>
                <c:pt idx="125">
                  <c:v>26.619259615077418</c:v>
                </c:pt>
                <c:pt idx="126">
                  <c:v>26.652143809577257</c:v>
                </c:pt>
                <c:pt idx="127">
                  <c:v>26.697142318188575</c:v>
                </c:pt>
                <c:pt idx="128">
                  <c:v>26.754247531082637</c:v>
                </c:pt>
                <c:pt idx="129">
                  <c:v>26.823450194253716</c:v>
                </c:pt>
                <c:pt idx="130">
                  <c:v>26.904739303008874</c:v>
                </c:pt>
                <c:pt idx="131">
                  <c:v>26.998101974679763</c:v>
                </c:pt>
                <c:pt idx="132">
                  <c:v>27.103523300814267</c:v>
                </c:pt>
                <c:pt idx="133">
                  <c:v>27.220986179154938</c:v>
                </c:pt>
                <c:pt idx="134">
                  <c:v>27.350471125774746</c:v>
                </c:pt>
                <c:pt idx="135">
                  <c:v>27.491956067807166</c:v>
                </c:pt>
                <c:pt idx="136">
                  <c:v>27.645416117274497</c:v>
                </c:pt>
                <c:pt idx="137">
                  <c:v>27.810823326608492</c:v>
                </c:pt>
                <c:pt idx="138">
                  <c:v>27.988146426531273</c:v>
                </c:pt>
                <c:pt idx="139">
                  <c:v>28.177350547070628</c:v>
                </c:pt>
                <c:pt idx="140">
                  <c:v>28.378396922581477</c:v>
                </c:pt>
                <c:pt idx="141">
                  <c:v>28.591242581755832</c:v>
                </c:pt>
                <c:pt idx="142">
                  <c:v>28.815840023722991</c:v>
                </c:pt>
                <c:pt idx="143">
                  <c:v>29.05213688146922</c:v>
                </c:pt>
                <c:pt idx="144">
                  <c:v>29.30007557394115</c:v>
                </c:pt>
                <c:pt idx="145">
                  <c:v>29.559592948331932</c:v>
                </c:pt>
                <c:pt idx="146">
                  <c:v>29.830619914202508</c:v>
                </c:pt>
                <c:pt idx="147">
                  <c:v>30.113081071237012</c:v>
                </c:pt>
                <c:pt idx="148">
                  <c:v>30.406894332588639</c:v>
                </c:pt>
                <c:pt idx="149">
                  <c:v>30.711970545925737</c:v>
                </c:pt>
                <c:pt idx="150">
                  <c:v>31.028213114450192</c:v>
                </c:pt>
                <c:pt idx="151">
                  <c:v>31.355517620309278</c:v>
                </c:pt>
                <c:pt idx="152">
                  <c:v>31.69377145297668</c:v>
                </c:pt>
                <c:pt idx="153">
                  <c:v>32.042853445324923</c:v>
                </c:pt>
                <c:pt idx="154">
                  <c:v>32.402633520239128</c:v>
                </c:pt>
                <c:pt idx="155">
                  <c:v>32.772972350754607</c:v>
                </c:pt>
                <c:pt idx="156">
                  <c:v>33.153721036798878</c:v>
                </c:pt>
                <c:pt idx="157">
                  <c:v>33.544720801716466</c:v>
                </c:pt>
                <c:pt idx="158">
                  <c:v>33.945802711812121</c:v>
                </c:pt>
                <c:pt idx="159">
                  <c:v>34.356787422197556</c:v>
                </c:pt>
                <c:pt idx="160">
                  <c:v>34.77748495223733</c:v>
                </c:pt>
                <c:pt idx="161">
                  <c:v>35.207694493866583</c:v>
                </c:pt>
                <c:pt idx="162">
                  <c:v>35.64720425600818</c:v>
                </c:pt>
                <c:pt idx="163">
                  <c:v>36.09579134821611</c:v>
                </c:pt>
                <c:pt idx="164">
                  <c:v>36.55322170655198</c:v>
                </c:pt>
                <c:pt idx="165">
                  <c:v>37.019250064520357</c:v>
                </c:pt>
                <c:pt idx="166">
                  <c:v>37.493619971681696</c:v>
                </c:pt>
                <c:pt idx="167">
                  <c:v>37.976063862299512</c:v>
                </c:pt>
                <c:pt idx="168">
                  <c:v>38.466303176080551</c:v>
                </c:pt>
                <c:pt idx="169">
                  <c:v>38.964048532724256</c:v>
                </c:pt>
                <c:pt idx="170">
                  <c:v>39.468999961615502</c:v>
                </c:pt>
                <c:pt idx="171">
                  <c:v>39.980847187571875</c:v>
                </c:pt>
                <c:pt idx="172">
                  <c:v>40.49926997311276</c:v>
                </c:pt>
                <c:pt idx="173">
                  <c:v>41.023938517221495</c:v>
                </c:pt>
                <c:pt idx="174">
                  <c:v>41.554513910080303</c:v>
                </c:pt>
                <c:pt idx="175">
                  <c:v>42.09064864272159</c:v>
                </c:pt>
                <c:pt idx="176">
                  <c:v>42.631987170018391</c:v>
                </c:pt>
                <c:pt idx="177">
                  <c:v>43.178166524886038</c:v>
                </c:pt>
                <c:pt idx="178">
                  <c:v>43.72881698104753</c:v>
                </c:pt>
                <c:pt idx="179">
                  <c:v>44.283562761191725</c:v>
                </c:pt>
                <c:pt idx="180">
                  <c:v>44.842022786856262</c:v>
                </c:pt>
                <c:pt idx="181">
                  <c:v>45.403811465902741</c:v>
                </c:pt>
                <c:pt idx="182">
                  <c:v>45.968539513023337</c:v>
                </c:pt>
                <c:pt idx="183">
                  <c:v>46.535814798336972</c:v>
                </c:pt>
                <c:pt idx="184">
                  <c:v>47.105243218802457</c:v>
                </c:pt>
                <c:pt idx="185">
                  <c:v>47.676429586902998</c:v>
                </c:pt>
                <c:pt idx="186">
                  <c:v>48.248978530857045</c:v>
                </c:pt>
                <c:pt idx="187">
                  <c:v>48.8224954004639</c:v>
                </c:pt>
                <c:pt idx="188">
                  <c:v>49.396587172626717</c:v>
                </c:pt>
                <c:pt idx="189">
                  <c:v>49.970863350599132</c:v>
                </c:pt>
                <c:pt idx="190">
                  <c:v>50.544936851075725</c:v>
                </c:pt>
                <c:pt idx="191">
                  <c:v>51.118424873393153</c:v>
                </c:pt>
                <c:pt idx="192">
                  <c:v>51.690949745312039</c:v>
                </c:pt>
                <c:pt idx="193">
                  <c:v>52.26213974013973</c:v>
                </c:pt>
                <c:pt idx="194">
                  <c:v>52.831629860273424</c:v>
                </c:pt>
                <c:pt idx="195">
                  <c:v>53.399062582633533</c:v>
                </c:pt>
                <c:pt idx="196">
                  <c:v>53.964088561891451</c:v>
                </c:pt>
                <c:pt idx="197">
                  <c:v>54.526367287852793</c:v>
                </c:pt>
                <c:pt idx="198">
                  <c:v>55.085567693867056</c:v>
                </c:pt>
                <c:pt idx="199">
                  <c:v>55.641368713633902</c:v>
                </c:pt>
                <c:pt idx="200">
                  <c:v>56.193459784324347</c:v>
                </c:pt>
                <c:pt idx="201">
                  <c:v>56.741541294453036</c:v>
                </c:pt>
                <c:pt idx="202">
                  <c:v>57.285324975478275</c:v>
                </c:pt>
                <c:pt idx="203">
                  <c:v>57.824534236612294</c:v>
                </c:pt>
                <c:pt idx="204">
                  <c:v>58.35890444283546</c:v>
                </c:pt>
                <c:pt idx="205">
                  <c:v>58.888183136576409</c:v>
                </c:pt>
                <c:pt idx="206">
                  <c:v>59.412130203962938</c:v>
                </c:pt>
                <c:pt idx="207">
                  <c:v>59.930517986965995</c:v>
                </c:pt>
                <c:pt idx="208">
                  <c:v>60.443131343124413</c:v>
                </c:pt>
                <c:pt idx="209">
                  <c:v>60.949767654876588</c:v>
                </c:pt>
                <c:pt idx="210">
                  <c:v>61.450236790807061</c:v>
                </c:pt>
                <c:pt idx="211">
                  <c:v>61.944361021373375</c:v>
                </c:pt>
                <c:pt idx="212">
                  <c:v>62.431974891870979</c:v>
                </c:pt>
                <c:pt idx="213">
                  <c:v>62.912925055557771</c:v>
                </c:pt>
                <c:pt idx="214">
                  <c:v>63.387070069985846</c:v>
                </c:pt>
                <c:pt idx="215">
                  <c:v>63.85428015965465</c:v>
                </c:pt>
                <c:pt idx="216">
                  <c:v>64.314436948151382</c:v>
                </c:pt>
                <c:pt idx="217">
                  <c:v>64.767433162949942</c:v>
                </c:pt>
                <c:pt idx="218">
                  <c:v>65.213172316009704</c:v>
                </c:pt>
                <c:pt idx="219">
                  <c:v>65.651568363272631</c:v>
                </c:pt>
                <c:pt idx="220">
                  <c:v>66.082545346065643</c:v>
                </c:pt>
                <c:pt idx="221">
                  <c:v>66.506037017332304</c:v>
                </c:pt>
                <c:pt idx="222">
                  <c:v>66.921986455480138</c:v>
                </c:pt>
                <c:pt idx="223">
                  <c:v>67.330345668512152</c:v>
                </c:pt>
                <c:pt idx="224">
                  <c:v>67.731075190954272</c:v>
                </c:pt>
                <c:pt idx="225">
                  <c:v>68.12414367594117</c:v>
                </c:pt>
                <c:pt idx="226">
                  <c:v>68.509527484657809</c:v>
                </c:pt>
                <c:pt idx="227">
                  <c:v>68.88721027516641</c:v>
                </c:pt>
                <c:pt idx="228">
                  <c:v>69.257182592484185</c:v>
                </c:pt>
                <c:pt idx="229">
                  <c:v>69.619441461610165</c:v>
                </c:pt>
                <c:pt idx="230">
                  <c:v>69.973989985026179</c:v>
                </c:pt>
                <c:pt idx="231">
                  <c:v>70.320836946044196</c:v>
                </c:pt>
                <c:pt idx="232">
                  <c:v>70.65999641920925</c:v>
                </c:pt>
                <c:pt idx="233">
                  <c:v>70.99148738881965</c:v>
                </c:pt>
                <c:pt idx="234">
                  <c:v>71.315333376477241</c:v>
                </c:pt>
                <c:pt idx="235">
                  <c:v>71.631562078449321</c:v>
                </c:pt>
                <c:pt idx="236">
                  <c:v>71.94020501348956</c:v>
                </c:pt>
                <c:pt idx="237">
                  <c:v>72.241297181651106</c:v>
                </c:pt>
                <c:pt idx="238">
                  <c:v>72.534876734506582</c:v>
                </c:pt>
                <c:pt idx="239">
                  <c:v>72.820984657092126</c:v>
                </c:pt>
                <c:pt idx="240">
                  <c:v>73.099664461794731</c:v>
                </c:pt>
                <c:pt idx="241">
                  <c:v>73.370961894318853</c:v>
                </c:pt>
                <c:pt idx="242">
                  <c:v>73.634924651787983</c:v>
                </c:pt>
                <c:pt idx="243">
                  <c:v>73.89160211296668</c:v>
                </c:pt>
                <c:pt idx="244">
                  <c:v>74.141045080533061</c:v>
                </c:pt>
                <c:pt idx="245">
                  <c:v>74.383305535264654</c:v>
                </c:pt>
                <c:pt idx="246">
                  <c:v>74.618436401964956</c:v>
                </c:pt>
                <c:pt idx="247">
                  <c:v>74.846491326908307</c:v>
                </c:pt>
                <c:pt idx="248">
                  <c:v>75.067524466549344</c:v>
                </c:pt>
                <c:pt idx="249">
                  <c:v>75.281590287210008</c:v>
                </c:pt>
                <c:pt idx="250">
                  <c:v>75.488743375436471</c:v>
                </c:pt>
                <c:pt idx="251">
                  <c:v>75.689038258693259</c:v>
                </c:pt>
                <c:pt idx="252">
                  <c:v>75.882529236050672</c:v>
                </c:pt>
                <c:pt idx="253">
                  <c:v>76.069270218506887</c:v>
                </c:pt>
                <c:pt idx="254">
                  <c:v>76.249314578578819</c:v>
                </c:pt>
                <c:pt idx="255">
                  <c:v>76.422715008790362</c:v>
                </c:pt>
                <c:pt idx="256">
                  <c:v>76.589523388684952</c:v>
                </c:pt>
                <c:pt idx="257">
                  <c:v>76.749790659988619</c:v>
                </c:pt>
                <c:pt idx="258">
                  <c:v>76.903566709553559</c:v>
                </c:pt>
                <c:pt idx="259">
                  <c:v>77.05090025971451</c:v>
                </c:pt>
                <c:pt idx="260">
                  <c:v>77.191838765699273</c:v>
                </c:pt>
                <c:pt idx="261">
                  <c:v>77.326428319738724</c:v>
                </c:pt>
                <c:pt idx="262">
                  <c:v>77.454713561534078</c:v>
                </c:pt>
                <c:pt idx="263">
                  <c:v>77.576737594745978</c:v>
                </c:pt>
                <c:pt idx="264">
                  <c:v>77.692541909182339</c:v>
                </c:pt>
                <c:pt idx="265">
                  <c:v>77.802166308373785</c:v>
                </c:pt>
                <c:pt idx="266">
                  <c:v>77.905648842234797</c:v>
                </c:pt>
                <c:pt idx="267">
                  <c:v>78.003025744525516</c:v>
                </c:pt>
                <c:pt idx="268">
                  <c:v>78.094331374837623</c:v>
                </c:pt>
                <c:pt idx="269">
                  <c:v>78.179598164844165</c:v>
                </c:pt>
                <c:pt idx="270">
                  <c:v>78.25885656856417</c:v>
                </c:pt>
                <c:pt idx="271">
                  <c:v>78.332135016408174</c:v>
                </c:pt>
                <c:pt idx="272">
                  <c:v>78.399459872782316</c:v>
                </c:pt>
                <c:pt idx="273">
                  <c:v>78.460855397044824</c:v>
                </c:pt>
                <c:pt idx="274">
                  <c:v>78.516343707617949</c:v>
                </c:pt>
                <c:pt idx="275">
                  <c:v>78.565944749076962</c:v>
                </c:pt>
                <c:pt idx="276">
                  <c:v>78.609676262046477</c:v>
                </c:pt>
                <c:pt idx="277">
                  <c:v>78.647553755750636</c:v>
                </c:pt>
                <c:pt idx="278">
                  <c:v>78.679590483073724</c:v>
                </c:pt>
                <c:pt idx="279">
                  <c:v>78.705797418005588</c:v>
                </c:pt>
                <c:pt idx="280">
                  <c:v>78.726183235351797</c:v>
                </c:pt>
                <c:pt idx="281">
                  <c:v>78.740754292608059</c:v>
                </c:pt>
                <c:pt idx="282">
                  <c:v>78.74951461390711</c:v>
                </c:pt>
                <c:pt idx="283">
                  <c:v>78.752465875958677</c:v>
                </c:pt>
                <c:pt idx="284">
                  <c:v>78.749607395915717</c:v>
                </c:pt>
                <c:pt idx="285">
                  <c:v>78.740936121115453</c:v>
                </c:pt>
                <c:pt idx="286">
                  <c:v>78.726446620648261</c:v>
                </c:pt>
                <c:pt idx="287">
                  <c:v>78.706131078728248</c:v>
                </c:pt>
                <c:pt idx="288">
                  <c:v>78.679979289843331</c:v>
                </c:pt>
                <c:pt idx="289">
                  <c:v>78.64797865568184</c:v>
                </c:pt>
                <c:pt idx="290">
                  <c:v>78.610114183836373</c:v>
                </c:pt>
                <c:pt idx="291">
                  <c:v>78.566368488305969</c:v>
                </c:pt>
                <c:pt idx="292">
                  <c:v>78.516721791821155</c:v>
                </c:pt>
                <c:pt idx="293">
                  <c:v>78.461151930035626</c:v>
                </c:pt>
                <c:pt idx="294">
                  <c:v>78.399634357634355</c:v>
                </c:pt>
                <c:pt idx="295">
                  <c:v>78.332142156422933</c:v>
                </c:pt>
                <c:pt idx="296">
                  <c:v>78.258646045474123</c:v>
                </c:pt>
                <c:pt idx="297">
                  <c:v>78.179114393419439</c:v>
                </c:pt>
                <c:pt idx="298">
                  <c:v>78.093513232984108</c:v>
                </c:pt>
                <c:pt idx="299">
                  <c:v>78.00180627787995</c:v>
                </c:pt>
                <c:pt idx="300">
                  <c:v>77.903954942177108</c:v>
                </c:pt>
                <c:pt idx="301">
                  <c:v>77.799918362292814</c:v>
                </c:pt>
                <c:pt idx="302">
                  <c:v>77.689653421744111</c:v>
                </c:pt>
                <c:pt idx="303">
                  <c:v>77.573114778825556</c:v>
                </c:pt>
                <c:pt idx="304">
                  <c:v>77.450254897383644</c:v>
                </c:pt>
                <c:pt idx="305">
                  <c:v>77.321024080873485</c:v>
                </c:pt>
                <c:pt idx="306">
                  <c:v>77.185370509893772</c:v>
                </c:pt>
                <c:pt idx="307">
                  <c:v>77.043240283408537</c:v>
                </c:pt>
                <c:pt idx="308">
                  <c:v>76.894577463875365</c:v>
                </c:pt>
                <c:pt idx="309">
                  <c:v>76.739324126512997</c:v>
                </c:pt>
                <c:pt idx="310">
                  <c:v>76.57742041294847</c:v>
                </c:pt>
                <c:pt idx="311">
                  <c:v>76.408804589500619</c:v>
                </c:pt>
                <c:pt idx="312">
                  <c:v>76.233413110357787</c:v>
                </c:pt>
                <c:pt idx="313">
                  <c:v>76.051180685928699</c:v>
                </c:pt>
                <c:pt idx="314">
                  <c:v>75.862040356640904</c:v>
                </c:pt>
                <c:pt idx="315">
                  <c:v>75.665923572481944</c:v>
                </c:pt>
                <c:pt idx="316">
                  <c:v>75.462760278572972</c:v>
                </c:pt>
                <c:pt idx="317">
                  <c:v>75.252479007078264</c:v>
                </c:pt>
                <c:pt idx="318">
                  <c:v>75.035006975753959</c:v>
                </c:pt>
                <c:pt idx="319">
                  <c:v>74.810270193440402</c:v>
                </c:pt>
                <c:pt idx="320">
                  <c:v>74.578193572805475</c:v>
                </c:pt>
                <c:pt idx="321">
                  <c:v>74.338701050640594</c:v>
                </c:pt>
                <c:pt idx="322">
                  <c:v>74.091715716008594</c:v>
                </c:pt>
                <c:pt idx="323">
                  <c:v>73.837159946532253</c:v>
                </c:pt>
                <c:pt idx="324">
                  <c:v>73.574955553104246</c:v>
                </c:pt>
                <c:pt idx="325">
                  <c:v>73.305023933280779</c:v>
                </c:pt>
                <c:pt idx="326">
                  <c:v>73.027286233607782</c:v>
                </c:pt>
                <c:pt idx="327">
                  <c:v>72.741663521099298</c:v>
                </c:pt>
                <c:pt idx="328">
                  <c:v>72.448076964064981</c:v>
                </c:pt>
                <c:pt idx="329">
                  <c:v>72.146448022449007</c:v>
                </c:pt>
                <c:pt idx="330">
                  <c:v>71.836698647805378</c:v>
                </c:pt>
                <c:pt idx="331">
                  <c:v>71.518751492986596</c:v>
                </c:pt>
                <c:pt idx="332">
                  <c:v>71.19253013157963</c:v>
                </c:pt>
                <c:pt idx="333">
                  <c:v>70.857959287055195</c:v>
                </c:pt>
                <c:pt idx="334">
                  <c:v>70.51496507154387</c:v>
                </c:pt>
                <c:pt idx="335">
                  <c:v>70.163475234068073</c:v>
                </c:pt>
                <c:pt idx="336">
                  <c:v>69.803419417990682</c:v>
                </c:pt>
                <c:pt idx="337">
                  <c:v>69.434729427342887</c:v>
                </c:pt>
                <c:pt idx="338">
                  <c:v>69.057339501604233</c:v>
                </c:pt>
                <c:pt idx="339">
                  <c:v>68.671186598403239</c:v>
                </c:pt>
                <c:pt idx="340">
                  <c:v>68.276210683487776</c:v>
                </c:pt>
                <c:pt idx="341">
                  <c:v>67.872355027198807</c:v>
                </c:pt>
                <c:pt idx="342">
                  <c:v>67.459566506551369</c:v>
                </c:pt>
                <c:pt idx="343">
                  <c:v>67.037795911886349</c:v>
                </c:pt>
                <c:pt idx="344">
                  <c:v>66.606998256913926</c:v>
                </c:pt>
                <c:pt idx="345">
                  <c:v>66.167133090818609</c:v>
                </c:pt>
                <c:pt idx="346">
                  <c:v>65.718164810941303</c:v>
                </c:pt>
                <c:pt idx="347">
                  <c:v>65.260062974389783</c:v>
                </c:pt>
                <c:pt idx="348">
                  <c:v>64.79280260676606</c:v>
                </c:pt>
                <c:pt idx="349">
                  <c:v>64.316364506036592</c:v>
                </c:pt>
                <c:pt idx="350">
                  <c:v>63.830735539404131</c:v>
                </c:pt>
                <c:pt idx="351">
                  <c:v>63.335908930878311</c:v>
                </c:pt>
                <c:pt idx="352">
                  <c:v>62.831884537085173</c:v>
                </c:pt>
                <c:pt idx="353">
                  <c:v>62.318669108709535</c:v>
                </c:pt>
                <c:pt idx="354">
                  <c:v>61.79627653481792</c:v>
                </c:pt>
                <c:pt idx="355">
                  <c:v>61.264728067196529</c:v>
                </c:pt>
                <c:pt idx="356">
                  <c:v>60.724052521717432</c:v>
                </c:pt>
                <c:pt idx="357">
                  <c:v>60.174286453671826</c:v>
                </c:pt>
                <c:pt idx="358">
                  <c:v>59.615474303935265</c:v>
                </c:pt>
                <c:pt idx="359">
                  <c:v>59.047668512802147</c:v>
                </c:pt>
                <c:pt idx="360">
                  <c:v>58.470929598319543</c:v>
                </c:pt>
                <c:pt idx="361">
                  <c:v>57.885326195979864</c:v>
                </c:pt>
                <c:pt idx="362">
                  <c:v>57.290935056705422</c:v>
                </c:pt>
                <c:pt idx="363">
                  <c:v>56.687841000165349</c:v>
                </c:pt>
                <c:pt idx="364">
                  <c:v>56.076136820623773</c:v>
                </c:pt>
                <c:pt idx="365">
                  <c:v>55.455923142717182</c:v>
                </c:pt>
                <c:pt idx="366">
                  <c:v>54.827308224807609</c:v>
                </c:pt>
                <c:pt idx="367">
                  <c:v>54.190407707868225</c:v>
                </c:pt>
                <c:pt idx="368">
                  <c:v>53.545344308193194</c:v>
                </c:pt>
                <c:pt idx="369">
                  <c:v>52.89224745263401</c:v>
                </c:pt>
                <c:pt idx="370">
                  <c:v>52.231252855507933</c:v>
                </c:pt>
                <c:pt idx="371">
                  <c:v>51.562502036820753</c:v>
                </c:pt>
                <c:pt idx="372">
                  <c:v>50.886141781977393</c:v>
                </c:pt>
                <c:pt idx="373">
                  <c:v>50.202323543732454</c:v>
                </c:pt>
                <c:pt idx="374">
                  <c:v>49.511202787745901</c:v>
                </c:pt>
                <c:pt idx="375">
                  <c:v>48.812938283730048</c:v>
                </c:pt>
                <c:pt idx="376">
                  <c:v>48.107691344848377</c:v>
                </c:pt>
                <c:pt idx="377">
                  <c:v>47.395625018674416</c:v>
                </c:pt>
                <c:pt idx="378">
                  <c:v>46.676903233704223</c:v>
                </c:pt>
                <c:pt idx="379">
                  <c:v>45.951689906074598</c:v>
                </c:pt>
                <c:pt idx="380">
                  <c:v>45.220148011781788</c:v>
                </c:pt>
                <c:pt idx="381">
                  <c:v>44.48243863033337</c:v>
                </c:pt>
                <c:pt idx="382">
                  <c:v>43.738719966334202</c:v>
                </c:pt>
                <c:pt idx="383">
                  <c:v>42.989146356069341</c:v>
                </c:pt>
                <c:pt idx="384">
                  <c:v>42.233867266615128</c:v>
                </c:pt>
                <c:pt idx="385">
                  <c:v>41.473026295448442</c:v>
                </c:pt>
                <c:pt idx="386">
                  <c:v>40.706760178864634</c:v>
                </c:pt>
                <c:pt idx="387">
                  <c:v>39.935197817788669</c:v>
                </c:pt>
                <c:pt idx="388">
                  <c:v>39.158459329753583</c:v>
                </c:pt>
                <c:pt idx="389">
                  <c:v>38.37665513590823</c:v>
                </c:pt>
                <c:pt idx="390">
                  <c:v>37.589885091918838</c:v>
                </c:pt>
                <c:pt idx="391">
                  <c:v>36.798237671526415</c:v>
                </c:pt>
                <c:pt idx="392">
                  <c:v>36.001789211329033</c:v>
                </c:pt>
                <c:pt idx="393">
                  <c:v>35.200603225052561</c:v>
                </c:pt>
                <c:pt idx="394">
                  <c:v>34.394729795186763</c:v>
                </c:pt>
                <c:pt idx="395">
                  <c:v>33.584205049357834</c:v>
                </c:pt>
                <c:pt idx="396">
                  <c:v>32.769050728244174</c:v>
                </c:pt>
                <c:pt idx="397">
                  <c:v>31.949273851159329</c:v>
                </c:pt>
                <c:pt idx="398">
                  <c:v>31.124866484676208</c:v>
                </c:pt>
                <c:pt idx="399">
                  <c:v>30.295805618855269</c:v>
                </c:pt>
                <c:pt idx="400">
                  <c:v>29.46205315473831</c:v>
                </c:pt>
                <c:pt idx="401">
                  <c:v>28.623556005835447</c:v>
                </c:pt>
                <c:pt idx="402">
                  <c:v>27.780246315330118</c:v>
                </c:pt>
                <c:pt idx="403">
                  <c:v>26.932041789719563</c:v>
                </c:pt>
                <c:pt idx="404">
                  <c:v>26.078846148528211</c:v>
                </c:pt>
                <c:pt idx="405">
                  <c:v>25.220549688685942</c:v>
                </c:pt>
                <c:pt idx="406">
                  <c:v>24.357029961084205</c:v>
                </c:pt>
                <c:pt idx="407">
                  <c:v>23.488152555753125</c:v>
                </c:pt>
                <c:pt idx="408">
                  <c:v>22.613771991074501</c:v>
                </c:pt>
                <c:pt idx="409">
                  <c:v>21.733732701422749</c:v>
                </c:pt>
                <c:pt idx="410">
                  <c:v>20.847870116666243</c:v>
                </c:pt>
                <c:pt idx="411">
                  <c:v>19.956011826055104</c:v>
                </c:pt>
                <c:pt idx="412">
                  <c:v>19.057978818166767</c:v>
                </c:pt>
                <c:pt idx="413">
                  <c:v>18.15358678782928</c:v>
                </c:pt>
                <c:pt idx="414">
                  <c:v>17.242647500255636</c:v>
                </c:pt>
                <c:pt idx="415">
                  <c:v>16.324970202050302</c:v>
                </c:pt>
                <c:pt idx="416">
                  <c:v>15.400363068265035</c:v>
                </c:pt>
                <c:pt idx="417">
                  <c:v>14.468634674332803</c:v>
                </c:pt>
                <c:pt idx="418">
                  <c:v>13.529595481455916</c:v>
                </c:pt>
                <c:pt idx="419">
                  <c:v>12.583059323903704</c:v>
                </c:pt>
                <c:pt idx="420">
                  <c:v>11.628844886685187</c:v>
                </c:pt>
                <c:pt idx="421">
                  <c:v>10.666777162179619</c:v>
                </c:pt>
                <c:pt idx="422">
                  <c:v>9.696688874576914</c:v>
                </c:pt>
                <c:pt idx="423">
                  <c:v>8.7184218613235078</c:v>
                </c:pt>
                <c:pt idx="424">
                  <c:v>7.7318284012874603</c:v>
                </c:pt>
                <c:pt idx="425">
                  <c:v>6.7367724799192397</c:v>
                </c:pt>
                <c:pt idx="426">
                  <c:v>5.7331309823983361</c:v>
                </c:pt>
                <c:pt idx="427">
                  <c:v>4.7207948065144691</c:v>
                </c:pt>
                <c:pt idx="428">
                  <c:v>3.6996698878946348</c:v>
                </c:pt>
                <c:pt idx="429">
                  <c:v>2.6696781310881832</c:v>
                </c:pt>
                <c:pt idx="430">
                  <c:v>1.6307582409962482</c:v>
                </c:pt>
                <c:pt idx="431">
                  <c:v>0.58286645009497906</c:v>
                </c:pt>
                <c:pt idx="432">
                  <c:v>-0.47402286206429817</c:v>
                </c:pt>
                <c:pt idx="433">
                  <c:v>-1.5399166596237019</c:v>
                </c:pt>
                <c:pt idx="434">
                  <c:v>-2.6148028529750706</c:v>
                </c:pt>
                <c:pt idx="435">
                  <c:v>-3.6986500136935629</c:v>
                </c:pt>
                <c:pt idx="436">
                  <c:v>-4.7914072014938389</c:v>
                </c:pt>
                <c:pt idx="437">
                  <c:v>-5.8930039019969325</c:v>
                </c:pt>
                <c:pt idx="438">
                  <c:v>-7.0033500732769696</c:v>
                </c:pt>
                <c:pt idx="439">
                  <c:v>-8.1223362984303495</c:v>
                </c:pt>
                <c:pt idx="440">
                  <c:v>-9.2498340407258084</c:v>
                </c:pt>
                <c:pt idx="441">
                  <c:v>-10.385695997325316</c:v>
                </c:pt>
                <c:pt idx="442">
                  <c:v>-11.529756547042236</c:v>
                </c:pt>
                <c:pt idx="443">
                  <c:v>-12.68183228717972</c:v>
                </c:pt>
                <c:pt idx="444">
                  <c:v>-13.841722654138099</c:v>
                </c:pt>
                <c:pt idx="445">
                  <c:v>-15.009210622199976</c:v>
                </c:pt>
                <c:pt idx="446">
                  <c:v>-16.184063474681022</c:v>
                </c:pt>
                <c:pt idx="447">
                  <c:v>-17.366033641487665</c:v>
                </c:pt>
                <c:pt idx="448">
                  <c:v>-18.554859597023185</c:v>
                </c:pt>
                <c:pt idx="449">
                  <c:v>-19.750266812320099</c:v>
                </c:pt>
                <c:pt idx="450">
                  <c:v>-20.951968755268116</c:v>
                </c:pt>
                <c:pt idx="451">
                  <c:v>-22.159667932815712</c:v>
                </c:pt>
                <c:pt idx="452">
                  <c:v>-23.373056969062294</c:v>
                </c:pt>
                <c:pt idx="453">
                  <c:v>-24.591819713207148</c:v>
                </c:pt>
                <c:pt idx="454">
                  <c:v>-25.815632371382961</c:v>
                </c:pt>
                <c:pt idx="455">
                  <c:v>-27.04416465648373</c:v>
                </c:pt>
                <c:pt idx="456">
                  <c:v>-28.277080950144956</c:v>
                </c:pt>
                <c:pt idx="457">
                  <c:v>-29.514041471144722</c:v>
                </c:pt>
                <c:pt idx="458">
                  <c:v>-30.754703444528907</c:v>
                </c:pt>
                <c:pt idx="459">
                  <c:v>-31.998722265873027</c:v>
                </c:pt>
                <c:pt idx="460">
                  <c:v>-33.24575265515427</c:v>
                </c:pt>
                <c:pt idx="461">
                  <c:v>-34.495449794788748</c:v>
                </c:pt>
                <c:pt idx="462">
                  <c:v>-35.747470446497658</c:v>
                </c:pt>
                <c:pt idx="463">
                  <c:v>-37.001474041742306</c:v>
                </c:pt>
                <c:pt idx="464">
                  <c:v>-38.257123740609856</c:v>
                </c:pt>
                <c:pt idx="465">
                  <c:v>-39.514087454149816</c:v>
                </c:pt>
                <c:pt idx="466">
                  <c:v>-40.772038825334619</c:v>
                </c:pt>
                <c:pt idx="467">
                  <c:v>-42.030658163989848</c:v>
                </c:pt>
                <c:pt idx="468">
                  <c:v>-43.289633331257647</c:v>
                </c:pt>
                <c:pt idx="469">
                  <c:v>-44.548660569407573</c:v>
                </c:pt>
                <c:pt idx="470">
                  <c:v>-45.807445273070023</c:v>
                </c:pt>
                <c:pt idx="471">
                  <c:v>-47.065702698286529</c:v>
                </c:pt>
                <c:pt idx="472">
                  <c:v>-48.323158606097721</c:v>
                </c:pt>
                <c:pt idx="473">
                  <c:v>-49.579549837768795</c:v>
                </c:pt>
                <c:pt idx="474">
                  <c:v>-50.834624819135882</c:v>
                </c:pt>
                <c:pt idx="475">
                  <c:v>-52.08814399197319</c:v>
                </c:pt>
                <c:pt idx="476">
                  <c:v>-53.339880170731668</c:v>
                </c:pt>
                <c:pt idx="477">
                  <c:v>-54.58961882343015</c:v>
                </c:pt>
                <c:pt idx="478">
                  <c:v>-55.837158275961812</c:v>
                </c:pt>
                <c:pt idx="479">
                  <c:v>-57.082309839533366</c:v>
                </c:pt>
                <c:pt idx="480">
                  <c:v>-58.324897861430152</c:v>
                </c:pt>
                <c:pt idx="481">
                  <c:v>-59.564759699756301</c:v>
                </c:pt>
                <c:pt idx="482">
                  <c:v>-60.801745623261354</c:v>
                </c:pt>
                <c:pt idx="483">
                  <c:v>-62.035718637792669</c:v>
                </c:pt>
                <c:pt idx="484">
                  <c:v>-63.266554241346185</c:v>
                </c:pt>
                <c:pt idx="485">
                  <c:v>-64.494140110080153</c:v>
                </c:pt>
                <c:pt idx="486">
                  <c:v>-65.718375718035588</c:v>
                </c:pt>
                <c:pt idx="487">
                  <c:v>-66.939171893656791</c:v>
                </c:pt>
                <c:pt idx="488">
                  <c:v>-68.156450316524101</c:v>
                </c:pt>
                <c:pt idx="489">
                  <c:v>-69.370142958007833</c:v>
                </c:pt>
                <c:pt idx="490">
                  <c:v>-70.5801914698133</c:v>
                </c:pt>
                <c:pt idx="491">
                  <c:v>-71.786546524616924</c:v>
                </c:pt>
                <c:pt idx="492">
                  <c:v>-72.989167113208183</c:v>
                </c:pt>
                <c:pt idx="493">
                  <c:v>-74.188019802718159</c:v>
                </c:pt>
                <c:pt idx="494">
                  <c:v>-75.383077960675507</c:v>
                </c:pt>
                <c:pt idx="495">
                  <c:v>-76.574320949750671</c:v>
                </c:pt>
                <c:pt idx="496">
                  <c:v>-77.761733298155946</c:v>
                </c:pt>
                <c:pt idx="497">
                  <c:v>-78.945303850743116</c:v>
                </c:pt>
                <c:pt idx="498">
                  <c:v>-80.125024905907608</c:v>
                </c:pt>
                <c:pt idx="499">
                  <c:v>-81.300891343437158</c:v>
                </c:pt>
                <c:pt idx="500">
                  <c:v>-82.472899748477914</c:v>
                </c:pt>
                <c:pt idx="501">
                  <c:v>-83.641047536780903</c:v>
                </c:pt>
                <c:pt idx="502">
                  <c:v>-84.805332086387381</c:v>
                </c:pt>
                <c:pt idx="503">
                  <c:v>-85.965749880878121</c:v>
                </c:pt>
                <c:pt idx="504">
                  <c:v>-87.122295669258548</c:v>
                </c:pt>
                <c:pt idx="505">
                  <c:v>-88.274961647493711</c:v>
                </c:pt>
                <c:pt idx="506">
                  <c:v>-89.423736666612342</c:v>
                </c:pt>
                <c:pt idx="507">
                  <c:v>-90.568605472196765</c:v>
                </c:pt>
                <c:pt idx="508">
                  <c:v>-91.709547979945484</c:v>
                </c:pt>
                <c:pt idx="509">
                  <c:v>-92.846538591842744</c:v>
                </c:pt>
                <c:pt idx="510">
                  <c:v>-93.979545557289839</c:v>
                </c:pt>
                <c:pt idx="511">
                  <c:v>-95.108530383344828</c:v>
                </c:pt>
                <c:pt idx="512">
                  <c:v>-96.233447297986004</c:v>
                </c:pt>
                <c:pt idx="513">
                  <c:v>-97.354242770040685</c:v>
                </c:pt>
                <c:pt idx="514">
                  <c:v>-98.470855089126871</c:v>
                </c:pt>
                <c:pt idx="515">
                  <c:v>-99.583214008615812</c:v>
                </c:pt>
                <c:pt idx="516">
                  <c:v>-100.69124045426514</c:v>
                </c:pt>
                <c:pt idx="517">
                  <c:v>-101.7948463007593</c:v>
                </c:pt>
                <c:pt idx="518">
                  <c:v>-102.89393421797271</c:v>
                </c:pt>
                <c:pt idx="519">
                  <c:v>-103.98839758829654</c:v>
                </c:pt>
                <c:pt idx="520">
                  <c:v>-105.07812049588139</c:v>
                </c:pt>
                <c:pt idx="521">
                  <c:v>-106.16297778812711</c:v>
                </c:pt>
                <c:pt idx="522">
                  <c:v>-107.24283520920791</c:v>
                </c:pt>
                <c:pt idx="523">
                  <c:v>-108.31754960487068</c:v>
                </c:pt>
                <c:pt idx="524">
                  <c:v>-109.38696919716986</c:v>
                </c:pt>
                <c:pt idx="525">
                  <c:v>-110.45093392722765</c:v>
                </c:pt>
                <c:pt idx="526">
                  <c:v>-111.50927586355265</c:v>
                </c:pt>
                <c:pt idx="527">
                  <c:v>-112.56181967287218</c:v>
                </c:pt>
                <c:pt idx="528">
                  <c:v>-113.60838314990559</c:v>
                </c:pt>
                <c:pt idx="529">
                  <c:v>-114.64877780199181</c:v>
                </c:pt>
                <c:pt idx="530">
                  <c:v>-115.68280948398599</c:v>
                </c:pt>
                <c:pt idx="531">
                  <c:v>-116.71027907842527</c:v>
                </c:pt>
                <c:pt idx="532">
                  <c:v>-117.73098321554953</c:v>
                </c:pt>
                <c:pt idx="533">
                  <c:v>-118.74471502744922</c:v>
                </c:pt>
                <c:pt idx="534">
                  <c:v>-119.7512649303156</c:v>
                </c:pt>
                <c:pt idx="535">
                  <c:v>-120.75042142858096</c:v>
                </c:pt>
                <c:pt idx="536">
                  <c:v>-121.74197193458077</c:v>
                </c:pt>
                <c:pt idx="537">
                  <c:v>-122.72570359732056</c:v>
                </c:pt>
                <c:pt idx="538">
                  <c:v>-123.70140413391741</c:v>
                </c:pt>
                <c:pt idx="539">
                  <c:v>-124.66886265738125</c:v>
                </c:pt>
                <c:pt idx="540">
                  <c:v>-125.62787049454212</c:v>
                </c:pt>
                <c:pt idx="541">
                  <c:v>-126.57822198815941</c:v>
                </c:pt>
              </c:numCache>
            </c:numRef>
          </c:yVal>
          <c:smooth val="1"/>
          <c:extLst>
            <c:ext xmlns:c16="http://schemas.microsoft.com/office/drawing/2014/chart" uri="{C3380CC4-5D6E-409C-BE32-E72D297353CC}">
              <c16:uniqueId val="{00000001-7AB1-42AA-8DBD-6D7B5452EF93}"/>
            </c:ext>
          </c:extLst>
        </c:ser>
        <c:dLbls>
          <c:showLegendKey val="0"/>
          <c:showVal val="0"/>
          <c:showCatName val="0"/>
          <c:showSerName val="0"/>
          <c:showPercent val="0"/>
          <c:showBubbleSize val="0"/>
        </c:dLbls>
        <c:axId val="365469056"/>
        <c:axId val="365467520"/>
      </c:scatterChart>
      <c:valAx>
        <c:axId val="365455232"/>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365465600"/>
        <c:crosses val="autoZero"/>
        <c:crossBetween val="midCat"/>
      </c:valAx>
      <c:valAx>
        <c:axId val="365465600"/>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a:solidFill>
                  <a:srgbClr val="FF0000"/>
                </a:solidFill>
              </a:defRPr>
            </a:pPr>
            <a:endParaRPr lang="en-DE"/>
          </a:p>
        </c:txPr>
        <c:crossAx val="365455232"/>
        <c:crosses val="autoZero"/>
        <c:crossBetween val="midCat"/>
        <c:majorUnit val="20"/>
        <c:minorUnit val="10"/>
      </c:valAx>
      <c:valAx>
        <c:axId val="365467520"/>
        <c:scaling>
          <c:orientation val="minMax"/>
          <c:max val="180"/>
          <c:min val="-180"/>
        </c:scaling>
        <c:delete val="0"/>
        <c:axPos val="r"/>
        <c:numFmt formatCode="General" sourceLinked="1"/>
        <c:majorTickMark val="out"/>
        <c:minorTickMark val="none"/>
        <c:tickLblPos val="nextTo"/>
        <c:txPr>
          <a:bodyPr/>
          <a:lstStyle/>
          <a:p>
            <a:pPr>
              <a:defRPr>
                <a:solidFill>
                  <a:schemeClr val="tx1">
                    <a:lumMod val="95000"/>
                    <a:lumOff val="5000"/>
                  </a:schemeClr>
                </a:solidFill>
              </a:defRPr>
            </a:pPr>
            <a:endParaRPr lang="en-DE"/>
          </a:p>
        </c:txPr>
        <c:crossAx val="365469056"/>
        <c:crosses val="max"/>
        <c:crossBetween val="midCat"/>
        <c:majorUnit val="90"/>
        <c:minorUnit val="45"/>
      </c:valAx>
      <c:valAx>
        <c:axId val="365469056"/>
        <c:scaling>
          <c:logBase val="10"/>
          <c:orientation val="minMax"/>
        </c:scaling>
        <c:delete val="1"/>
        <c:axPos val="b"/>
        <c:numFmt formatCode="0.00" sourceLinked="1"/>
        <c:majorTickMark val="out"/>
        <c:minorTickMark val="none"/>
        <c:tickLblPos val="nextTo"/>
        <c:crossAx val="365467520"/>
        <c:crosses val="autoZero"/>
        <c:crossBetween val="midCat"/>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DCM Plant Transfer</a:t>
            </a:r>
            <a:r>
              <a:rPr lang="en-US" baseline="0"/>
              <a:t> Function</a:t>
            </a:r>
            <a:endParaRPr lang="en-US"/>
          </a:p>
        </c:rich>
      </c:tx>
      <c:overlay val="0"/>
    </c:title>
    <c:autoTitleDeleted val="0"/>
    <c:plotArea>
      <c:layout/>
      <c:scatterChart>
        <c:scatterStyle val="smoothMarker"/>
        <c:varyColors val="0"/>
        <c:ser>
          <c:idx val="0"/>
          <c:order val="0"/>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Loop_Modeling!$AQ$19:$AQ$560</c:f>
              <c:numCache>
                <c:formatCode>General</c:formatCode>
                <c:ptCount val="542"/>
                <c:pt idx="0">
                  <c:v>46.728018622918526</c:v>
                </c:pt>
                <c:pt idx="1">
                  <c:v>46.715649521881474</c:v>
                </c:pt>
                <c:pt idx="2">
                  <c:v>46.70273513035017</c:v>
                </c:pt>
                <c:pt idx="3">
                  <c:v>46.689253136798577</c:v>
                </c:pt>
                <c:pt idx="4">
                  <c:v>46.675180471253086</c:v>
                </c:pt>
                <c:pt idx="5">
                  <c:v>46.660493293303055</c:v>
                </c:pt>
                <c:pt idx="6">
                  <c:v>46.645166981256693</c:v>
                </c:pt>
                <c:pt idx="7">
                  <c:v>46.629176122591083</c:v>
                </c:pt>
                <c:pt idx="8">
                  <c:v>46.612494505851323</c:v>
                </c:pt>
                <c:pt idx="9">
                  <c:v>46.595095114165758</c:v>
                </c:pt>
                <c:pt idx="10">
                  <c:v>46.57695012054829</c:v>
                </c:pt>
                <c:pt idx="11">
                  <c:v>46.558030885168975</c:v>
                </c:pt>
                <c:pt idx="12">
                  <c:v>46.538307954778475</c:v>
                </c:pt>
                <c:pt idx="13">
                  <c:v>46.517751064480876</c:v>
                </c:pt>
                <c:pt idx="14">
                  <c:v>46.4963291420517</c:v>
                </c:pt>
                <c:pt idx="15">
                  <c:v>46.474010315003568</c:v>
                </c:pt>
                <c:pt idx="16">
                  <c:v>46.450761920606013</c:v>
                </c:pt>
                <c:pt idx="17">
                  <c:v>46.4265505190642</c:v>
                </c:pt>
                <c:pt idx="18">
                  <c:v>46.401341910065156</c:v>
                </c:pt>
                <c:pt idx="19">
                  <c:v>46.375101152894743</c:v>
                </c:pt>
                <c:pt idx="20">
                  <c:v>46.347792590326399</c:v>
                </c:pt>
                <c:pt idx="21">
                  <c:v>46.319379876476717</c:v>
                </c:pt>
                <c:pt idx="22">
                  <c:v>46.289826008811971</c:v>
                </c:pt>
                <c:pt idx="23">
                  <c:v>46.259093364481245</c:v>
                </c:pt>
                <c:pt idx="24">
                  <c:v>46.227143741134682</c:v>
                </c:pt>
                <c:pt idx="25">
                  <c:v>46.193938402369952</c:v>
                </c:pt>
                <c:pt idx="26">
                  <c:v>46.15943812792856</c:v>
                </c:pt>
                <c:pt idx="27">
                  <c:v>46.123603268739771</c:v>
                </c:pt>
                <c:pt idx="28">
                  <c:v>46.086393806883059</c:v>
                </c:pt>
                <c:pt idx="29">
                  <c:v>46.047769420508729</c:v>
                </c:pt>
                <c:pt idx="30">
                  <c:v>46.007689553722876</c:v>
                </c:pt>
                <c:pt idx="31">
                  <c:v>45.966113491404748</c:v>
                </c:pt>
                <c:pt idx="32">
                  <c:v>45.923000438884131</c:v>
                </c:pt>
                <c:pt idx="33">
                  <c:v>45.878309606363388</c:v>
                </c:pt>
                <c:pt idx="34">
                  <c:v>45.83200029792053</c:v>
                </c:pt>
                <c:pt idx="35">
                  <c:v>45.784032004883628</c:v>
                </c:pt>
                <c:pt idx="36">
                  <c:v>45.734364503313344</c:v>
                </c:pt>
                <c:pt idx="37">
                  <c:v>45.682957955280862</c:v>
                </c:pt>
                <c:pt idx="38">
                  <c:v>45.62977301357315</c:v>
                </c:pt>
                <c:pt idx="39">
                  <c:v>45.574770929406682</c:v>
                </c:pt>
                <c:pt idx="40">
                  <c:v>45.517913662676726</c:v>
                </c:pt>
                <c:pt idx="41">
                  <c:v>45.459163994219111</c:v>
                </c:pt>
                <c:pt idx="42">
                  <c:v>45.398485639512415</c:v>
                </c:pt>
                <c:pt idx="43">
                  <c:v>45.335843363202798</c:v>
                </c:pt>
                <c:pt idx="44">
                  <c:v>45.271203093792153</c:v>
                </c:pt>
                <c:pt idx="45">
                  <c:v>45.204532037794827</c:v>
                </c:pt>
                <c:pt idx="46">
                  <c:v>45.135798792634773</c:v>
                </c:pt>
                <c:pt idx="47">
                  <c:v>45.06497345753467</c:v>
                </c:pt>
                <c:pt idx="48">
                  <c:v>44.992027741628334</c:v>
                </c:pt>
                <c:pt idx="49">
                  <c:v>44.916935068521902</c:v>
                </c:pt>
                <c:pt idx="50">
                  <c:v>44.839670676529089</c:v>
                </c:pt>
                <c:pt idx="51">
                  <c:v>44.760211713813653</c:v>
                </c:pt>
                <c:pt idx="52">
                  <c:v>44.678537327694208</c:v>
                </c:pt>
                <c:pt idx="53">
                  <c:v>44.5946287473922</c:v>
                </c:pt>
                <c:pt idx="54">
                  <c:v>44.508469359543383</c:v>
                </c:pt>
                <c:pt idx="55">
                  <c:v>44.42004477584139</c:v>
                </c:pt>
                <c:pt idx="56">
                  <c:v>44.329342892235758</c:v>
                </c:pt>
                <c:pt idx="57">
                  <c:v>44.236353939174158</c:v>
                </c:pt>
                <c:pt idx="58">
                  <c:v>44.141070522448878</c:v>
                </c:pt>
                <c:pt idx="59">
                  <c:v>44.043487654287119</c:v>
                </c:pt>
                <c:pt idx="60">
                  <c:v>43.94360277440812</c:v>
                </c:pt>
                <c:pt idx="61">
                  <c:v>43.84141576085851</c:v>
                </c:pt>
                <c:pt idx="62">
                  <c:v>43.736928930529544</c:v>
                </c:pt>
                <c:pt idx="63">
                  <c:v>43.630147029350226</c:v>
                </c:pt>
                <c:pt idx="64">
                  <c:v>43.521077212245245</c:v>
                </c:pt>
                <c:pt idx="65">
                  <c:v>43.409729013037257</c:v>
                </c:pt>
                <c:pt idx="66">
                  <c:v>43.296114304560945</c:v>
                </c:pt>
                <c:pt idx="67">
                  <c:v>43.180247249341861</c:v>
                </c:pt>
                <c:pt idx="68">
                  <c:v>43.06214424127198</c:v>
                </c:pt>
                <c:pt idx="69">
                  <c:v>42.941823838785929</c:v>
                </c:pt>
                <c:pt idx="70">
                  <c:v>42.819306690108888</c:v>
                </c:pt>
                <c:pt idx="71">
                  <c:v>42.694615451201898</c:v>
                </c:pt>
                <c:pt idx="72">
                  <c:v>42.567774697081653</c:v>
                </c:pt>
                <c:pt idx="73">
                  <c:v>42.438810827228217</c:v>
                </c:pt>
                <c:pt idx="74">
                  <c:v>42.307751965825219</c:v>
                </c:pt>
                <c:pt idx="75">
                  <c:v>42.174627857596569</c:v>
                </c:pt>
                <c:pt idx="76">
                  <c:v>42.039469760014072</c:v>
                </c:pt>
                <c:pt idx="77">
                  <c:v>41.902310332651737</c:v>
                </c:pt>
                <c:pt idx="78">
                  <c:v>41.763183524455243</c:v>
                </c:pt>
                <c:pt idx="79">
                  <c:v>41.622124459678574</c:v>
                </c:pt>
                <c:pt idx="80">
                  <c:v>41.479169323217192</c:v>
                </c:pt>
                <c:pt idx="81">
                  <c:v>41.334355246036452</c:v>
                </c:pt>
                <c:pt idx="82">
                  <c:v>41.187720191359574</c:v>
                </c:pt>
                <c:pt idx="83">
                  <c:v>41.039302842235088</c:v>
                </c:pt>
                <c:pt idx="84">
                  <c:v>40.889142491062273</c:v>
                </c:pt>
                <c:pt idx="85">
                  <c:v>40.737278931602567</c:v>
                </c:pt>
                <c:pt idx="86">
                  <c:v>40.583752353953251</c:v>
                </c:pt>
                <c:pt idx="87">
                  <c:v>40.428603242910384</c:v>
                </c:pt>
                <c:pt idx="88">
                  <c:v>40.271872280091813</c:v>
                </c:pt>
                <c:pt idx="89">
                  <c:v>40.113600250139854</c:v>
                </c:pt>
                <c:pt idx="90">
                  <c:v>39.953827951271073</c:v>
                </c:pt>
                <c:pt idx="91">
                  <c:v>39.792596110388416</c:v>
                </c:pt>
                <c:pt idx="92">
                  <c:v>39.629945302924114</c:v>
                </c:pt>
                <c:pt idx="93">
                  <c:v>39.465915877532474</c:v>
                </c:pt>
                <c:pt idx="94">
                  <c:v>39.300547885710266</c:v>
                </c:pt>
                <c:pt idx="95">
                  <c:v>39.133881016379853</c:v>
                </c:pt>
                <c:pt idx="96">
                  <c:v>38.965954535432608</c:v>
                </c:pt>
                <c:pt idx="97">
                  <c:v>38.796807230196485</c:v>
                </c:pt>
                <c:pt idx="98">
                  <c:v>38.626477358759267</c:v>
                </c:pt>
                <c:pt idx="99">
                  <c:v>38.455002604052979</c:v>
                </c:pt>
                <c:pt idx="100">
                  <c:v>38.28242003257931</c:v>
                </c:pt>
                <c:pt idx="101">
                  <c:v>38.108766057635847</c:v>
                </c:pt>
                <c:pt idx="102">
                  <c:v>37.934076406884643</c:v>
                </c:pt>
                <c:pt idx="103">
                  <c:v>37.758386094090703</c:v>
                </c:pt>
                <c:pt idx="104">
                  <c:v>37.58172939484578</c:v>
                </c:pt>
                <c:pt idx="105">
                  <c:v>37.404139826083721</c:v>
                </c:pt>
                <c:pt idx="106">
                  <c:v>37.225650129187201</c:v>
                </c:pt>
                <c:pt idx="107">
                  <c:v>37.046292256482019</c:v>
                </c:pt>
                <c:pt idx="108">
                  <c:v>36.866097360911795</c:v>
                </c:pt>
                <c:pt idx="109">
                  <c:v>36.685095788686752</c:v>
                </c:pt>
                <c:pt idx="110">
                  <c:v>36.50331707470076</c:v>
                </c:pt>
                <c:pt idx="111">
                  <c:v>36.320789940514267</c:v>
                </c:pt>
                <c:pt idx="112">
                  <c:v>36.137542294704268</c:v>
                </c:pt>
                <c:pt idx="113">
                  <c:v>35.953601235387865</c:v>
                </c:pt>
                <c:pt idx="114">
                  <c:v>35.768993054732384</c:v>
                </c:pt>
                <c:pt idx="115">
                  <c:v>35.583743245270327</c:v>
                </c:pt>
                <c:pt idx="116">
                  <c:v>35.397876507846945</c:v>
                </c:pt>
                <c:pt idx="117">
                  <c:v>35.211416761033846</c:v>
                </c:pt>
                <c:pt idx="118">
                  <c:v>35.024387151851641</c:v>
                </c:pt>
                <c:pt idx="119">
                  <c:v>34.836810067652181</c:v>
                </c:pt>
                <c:pt idx="120">
                  <c:v>34.648707149019636</c:v>
                </c:pt>
                <c:pt idx="121">
                  <c:v>34.460099303557897</c:v>
                </c:pt>
                <c:pt idx="122">
                  <c:v>34.271006720440951</c:v>
                </c:pt>
                <c:pt idx="123">
                  <c:v>34.081448885609127</c:v>
                </c:pt>
                <c:pt idx="124">
                  <c:v>33.891444597505675</c:v>
                </c:pt>
                <c:pt idx="125">
                  <c:v>33.701011983252236</c:v>
                </c:pt>
                <c:pt idx="126">
                  <c:v>33.510168515171685</c:v>
                </c:pt>
                <c:pt idx="127">
                  <c:v>33.318931027574664</c:v>
                </c:pt>
                <c:pt idx="128">
                  <c:v>33.12731573373118</c:v>
                </c:pt>
                <c:pt idx="129">
                  <c:v>32.935338242956128</c:v>
                </c:pt>
                <c:pt idx="130">
                  <c:v>32.743013577746353</c:v>
                </c:pt>
                <c:pt idx="131">
                  <c:v>32.550356190908204</c:v>
                </c:pt>
                <c:pt idx="132">
                  <c:v>32.357379982625829</c:v>
                </c:pt>
                <c:pt idx="133">
                  <c:v>32.164098317420617</c:v>
                </c:pt>
                <c:pt idx="134">
                  <c:v>31.970524040961532</c:v>
                </c:pt>
                <c:pt idx="135">
                  <c:v>31.776669496688093</c:v>
                </c:pt>
                <c:pt idx="136">
                  <c:v>31.58254654221318</c:v>
                </c:pt>
                <c:pt idx="137">
                  <c:v>31.388166565477306</c:v>
                </c:pt>
                <c:pt idx="138">
                  <c:v>31.193540500628991</c:v>
                </c:pt>
                <c:pt idx="139">
                  <c:v>30.998678843609412</c:v>
                </c:pt>
                <c:pt idx="140">
                  <c:v>30.80359166742408</c:v>
                </c:pt>
                <c:pt idx="141">
                  <c:v>30.608288637085145</c:v>
                </c:pt>
                <c:pt idx="142">
                  <c:v>30.412779024212576</c:v>
                </c:pt>
                <c:pt idx="143">
                  <c:v>30.217071721283624</c:v>
                </c:pt>
                <c:pt idx="144">
                  <c:v>30.021175255523069</c:v>
                </c:pt>
                <c:pt idx="145">
                  <c:v>29.825097802428147</c:v>
                </c:pt>
                <c:pt idx="146">
                  <c:v>29.628847198924731</c:v>
                </c:pt>
                <c:pt idx="147">
                  <c:v>29.432430956152032</c:v>
                </c:pt>
                <c:pt idx="148">
                  <c:v>29.23585627187515</c:v>
                </c:pt>
                <c:pt idx="149">
                  <c:v>29.039130042526359</c:v>
                </c:pt>
                <c:pt idx="150">
                  <c:v>28.842258874876737</c:v>
                </c:pt>
                <c:pt idx="151">
                  <c:v>28.645249097340532</c:v>
                </c:pt>
                <c:pt idx="152">
                  <c:v>28.448106770917136</c:v>
                </c:pt>
                <c:pt idx="153">
                  <c:v>28.250837699773903</c:v>
                </c:pt>
                <c:pt idx="154">
                  <c:v>28.053447441476067</c:v>
                </c:pt>
                <c:pt idx="155">
                  <c:v>27.855941316869483</c:v>
                </c:pt>
                <c:pt idx="156">
                  <c:v>27.658324419622037</c:v>
                </c:pt>
                <c:pt idx="157">
                  <c:v>27.46060162543149</c:v>
                </c:pt>
                <c:pt idx="158">
                  <c:v>27.262777600906283</c:v>
                </c:pt>
                <c:pt idx="159">
                  <c:v>27.064856812127207</c:v>
                </c:pt>
                <c:pt idx="160">
                  <c:v>26.866843532897278</c:v>
                </c:pt>
                <c:pt idx="161">
                  <c:v>26.668741852688534</c:v>
                </c:pt>
                <c:pt idx="162">
                  <c:v>26.470555684293316</c:v>
                </c:pt>
                <c:pt idx="163">
                  <c:v>26.272288771187679</c:v>
                </c:pt>
                <c:pt idx="164">
                  <c:v>26.073944694616813</c:v>
                </c:pt>
                <c:pt idx="165">
                  <c:v>25.875526880408692</c:v>
                </c:pt>
                <c:pt idx="166">
                  <c:v>25.677038605526082</c:v>
                </c:pt>
                <c:pt idx="167">
                  <c:v>25.478483004363575</c:v>
                </c:pt>
                <c:pt idx="168">
                  <c:v>25.279863074798786</c:v>
                </c:pt>
                <c:pt idx="169">
                  <c:v>25.081181684005323</c:v>
                </c:pt>
                <c:pt idx="170">
                  <c:v>24.88244157403566</c:v>
                </c:pt>
                <c:pt idx="171">
                  <c:v>24.683645367181416</c:v>
                </c:pt>
                <c:pt idx="172">
                  <c:v>24.484795571119513</c:v>
                </c:pt>
                <c:pt idx="173">
                  <c:v>24.285894583850197</c:v>
                </c:pt>
                <c:pt idx="174">
                  <c:v>24.086944698436771</c:v>
                </c:pt>
                <c:pt idx="175">
                  <c:v>23.887948107551495</c:v>
                </c:pt>
                <c:pt idx="176">
                  <c:v>23.688906907836625</c:v>
                </c:pt>
                <c:pt idx="177">
                  <c:v>23.489823104087137</c:v>
                </c:pt>
                <c:pt idx="178">
                  <c:v>23.290698613260869</c:v>
                </c:pt>
                <c:pt idx="179">
                  <c:v>23.09153526832441</c:v>
                </c:pt>
                <c:pt idx="180">
                  <c:v>22.892334821938856</c:v>
                </c:pt>
                <c:pt idx="181">
                  <c:v>22.693098949993438</c:v>
                </c:pt>
                <c:pt idx="182">
                  <c:v>22.49382925499259</c:v>
                </c:pt>
                <c:pt idx="183">
                  <c:v>22.294527269300801</c:v>
                </c:pt>
                <c:pt idx="184">
                  <c:v>22.095194458253534</c:v>
                </c:pt>
                <c:pt idx="185">
                  <c:v>21.895832223137074</c:v>
                </c:pt>
                <c:pt idx="186">
                  <c:v>21.696441904044249</c:v>
                </c:pt>
                <c:pt idx="187">
                  <c:v>21.497024782610239</c:v>
                </c:pt>
                <c:pt idx="188">
                  <c:v>21.297582084633625</c:v>
                </c:pt>
                <c:pt idx="189">
                  <c:v>21.098114982588196</c:v>
                </c:pt>
                <c:pt idx="190">
                  <c:v>20.898624598028203</c:v>
                </c:pt>
                <c:pt idx="191">
                  <c:v>20.699112003893681</c:v>
                </c:pt>
                <c:pt idx="192">
                  <c:v>20.49957822671869</c:v>
                </c:pt>
                <c:pt idx="193">
                  <c:v>20.300024248747064</c:v>
                </c:pt>
                <c:pt idx="194">
                  <c:v>20.10045100995983</c:v>
                </c:pt>
                <c:pt idx="195">
                  <c:v>19.900859410017361</c:v>
                </c:pt>
                <c:pt idx="196">
                  <c:v>19.701250310121011</c:v>
                </c:pt>
                <c:pt idx="197">
                  <c:v>19.501624534797276</c:v>
                </c:pt>
                <c:pt idx="198">
                  <c:v>19.301982873607272</c:v>
                </c:pt>
                <c:pt idx="199">
                  <c:v>19.102326082786341</c:v>
                </c:pt>
                <c:pt idx="200">
                  <c:v>18.902654886815306</c:v>
                </c:pt>
                <c:pt idx="201">
                  <c:v>18.702969979927737</c:v>
                </c:pt>
                <c:pt idx="202">
                  <c:v>18.503272027555486</c:v>
                </c:pt>
                <c:pt idx="203">
                  <c:v>18.303561667715222</c:v>
                </c:pt>
                <c:pt idx="204">
                  <c:v>18.103839512339444</c:v>
                </c:pt>
                <c:pt idx="205">
                  <c:v>17.904106148553971</c:v>
                </c:pt>
                <c:pt idx="206">
                  <c:v>17.70436213990433</c:v>
                </c:pt>
                <c:pt idx="207">
                  <c:v>17.504608027534086</c:v>
                </c:pt>
                <c:pt idx="208">
                  <c:v>17.304844331317103</c:v>
                </c:pt>
                <c:pt idx="209">
                  <c:v>17.105071550945993</c:v>
                </c:pt>
                <c:pt idx="210">
                  <c:v>16.905290166978862</c:v>
                </c:pt>
                <c:pt idx="211">
                  <c:v>16.705500641846939</c:v>
                </c:pt>
                <c:pt idx="212">
                  <c:v>16.505703420824602</c:v>
                </c:pt>
                <c:pt idx="213">
                  <c:v>16.305898932963782</c:v>
                </c:pt>
                <c:pt idx="214">
                  <c:v>16.106087591995085</c:v>
                </c:pt>
                <c:pt idx="215">
                  <c:v>15.906269797197144</c:v>
                </c:pt>
                <c:pt idx="216">
                  <c:v>15.706445934235969</c:v>
                </c:pt>
                <c:pt idx="217">
                  <c:v>15.50661637597605</c:v>
                </c:pt>
                <c:pt idx="218">
                  <c:v>15.306781483264995</c:v>
                </c:pt>
                <c:pt idx="219">
                  <c:v>15.106941605692985</c:v>
                </c:pt>
                <c:pt idx="220">
                  <c:v>14.907097082329368</c:v>
                </c:pt>
                <c:pt idx="221">
                  <c:v>14.707248242436538</c:v>
                </c:pt>
                <c:pt idx="222">
                  <c:v>14.507395406164482</c:v>
                </c:pt>
                <c:pt idx="223">
                  <c:v>14.307538885225179</c:v>
                </c:pt>
                <c:pt idx="224">
                  <c:v>14.107678983550567</c:v>
                </c:pt>
                <c:pt idx="225">
                  <c:v>13.907815997933499</c:v>
                </c:pt>
                <c:pt idx="226">
                  <c:v>13.707950218654045</c:v>
                </c:pt>
                <c:pt idx="227">
                  <c:v>13.508081930092379</c:v>
                </c:pt>
                <c:pt idx="228">
                  <c:v>13.308211411329626</c:v>
                </c:pt>
                <c:pt idx="229">
                  <c:v>13.108338936736541</c:v>
                </c:pt>
                <c:pt idx="230">
                  <c:v>12.908464776553885</c:v>
                </c:pt>
                <c:pt idx="231">
                  <c:v>12.708589197462977</c:v>
                </c:pt>
                <c:pt idx="232">
                  <c:v>12.508712463149665</c:v>
                </c:pt>
                <c:pt idx="233">
                  <c:v>12.308834834861358</c:v>
                </c:pt>
                <c:pt idx="234">
                  <c:v>12.108956571959581</c:v>
                </c:pt>
                <c:pt idx="235">
                  <c:v>11.909077932468456</c:v>
                </c:pt>
                <c:pt idx="236">
                  <c:v>11.709199173619968</c:v>
                </c:pt>
                <c:pt idx="237">
                  <c:v>11.509320552398364</c:v>
                </c:pt>
                <c:pt idx="238">
                  <c:v>11.309442326083408</c:v>
                </c:pt>
                <c:pt idx="239">
                  <c:v>11.109564752794711</c:v>
                </c:pt>
                <c:pt idx="240">
                  <c:v>10.909688092037806</c:v>
                </c:pt>
                <c:pt idx="241">
                  <c:v>10.709812605252875</c:v>
                </c:pt>
                <c:pt idx="242">
                  <c:v>10.509938556367832</c:v>
                </c:pt>
                <c:pt idx="243">
                  <c:v>10.310066212356856</c:v>
                </c:pt>
                <c:pt idx="244">
                  <c:v>10.110195843804725</c:v>
                </c:pt>
                <c:pt idx="245">
                  <c:v>9.9103277254794033</c:v>
                </c:pt>
                <c:pt idx="246">
                  <c:v>9.7104621369131348</c:v>
                </c:pt>
                <c:pt idx="247">
                  <c:v>9.5105993629936201</c:v>
                </c:pt>
                <c:pt idx="248">
                  <c:v>9.3107396945663403</c:v>
                </c:pt>
                <c:pt idx="249">
                  <c:v>9.1108834290498262</c:v>
                </c:pt>
                <c:pt idx="250">
                  <c:v>8.9110308710640123</c:v>
                </c:pt>
                <c:pt idx="251">
                  <c:v>8.7111823330745786</c:v>
                </c:pt>
                <c:pt idx="252">
                  <c:v>8.5113381360532845</c:v>
                </c:pt>
                <c:pt idx="253">
                  <c:v>8.3114986101560113</c:v>
                </c:pt>
                <c:pt idx="254">
                  <c:v>8.1116640954206751</c:v>
                </c:pt>
                <c:pt idx="255">
                  <c:v>7.91183494248508</c:v>
                </c:pt>
                <c:pt idx="256">
                  <c:v>7.7120115133280258</c:v>
                </c:pt>
                <c:pt idx="257">
                  <c:v>7.5121941820333173</c:v>
                </c:pt>
                <c:pt idx="258">
                  <c:v>7.3123833355793257</c:v>
                </c:pt>
                <c:pt idx="259">
                  <c:v>7.1125793746559109</c:v>
                </c:pt>
                <c:pt idx="260">
                  <c:v>6.9127827145098948</c:v>
                </c:pt>
                <c:pt idx="261">
                  <c:v>6.7129937858206539</c:v>
                </c:pt>
                <c:pt idx="262">
                  <c:v>6.5132130356088496</c:v>
                </c:pt>
                <c:pt idx="263">
                  <c:v>6.3134409281779682</c:v>
                </c:pt>
                <c:pt idx="264">
                  <c:v>6.1136779460936141</c:v>
                </c:pt>
                <c:pt idx="265">
                  <c:v>5.9139245911994447</c:v>
                </c:pt>
                <c:pt idx="266">
                  <c:v>5.7141813856745269</c:v>
                </c:pt>
                <c:pt idx="267">
                  <c:v>5.5144488731321148</c:v>
                </c:pt>
                <c:pt idx="268">
                  <c:v>5.3147276197639117</c:v>
                </c:pt>
                <c:pt idx="269">
                  <c:v>5.1150182155307462</c:v>
                </c:pt>
                <c:pt idx="270">
                  <c:v>4.915321275403306</c:v>
                </c:pt>
                <c:pt idx="271">
                  <c:v>4.7156374406541079</c:v>
                </c:pt>
                <c:pt idx="272">
                  <c:v>4.5159673802048195</c:v>
                </c:pt>
                <c:pt idx="273">
                  <c:v>4.3163117920307563</c:v>
                </c:pt>
                <c:pt idx="274">
                  <c:v>4.1166714046251798</c:v>
                </c:pt>
                <c:pt idx="275">
                  <c:v>3.9170469785277535</c:v>
                </c:pt>
                <c:pt idx="276">
                  <c:v>3.7174393079179682</c:v>
                </c:pt>
                <c:pt idx="277">
                  <c:v>3.5178492222797937</c:v>
                </c:pt>
                <c:pt idx="278">
                  <c:v>3.3182775881375304</c:v>
                </c:pt>
                <c:pt idx="279">
                  <c:v>3.1187253108691673</c:v>
                </c:pt>
                <c:pt idx="280">
                  <c:v>2.9191933365993448</c:v>
                </c:pt>
                <c:pt idx="281">
                  <c:v>2.7196826541763808</c:v>
                </c:pt>
                <c:pt idx="282">
                  <c:v>2.5201942972364009</c:v>
                </c:pt>
                <c:pt idx="283">
                  <c:v>2.3207293463599465</c:v>
                </c:pt>
                <c:pt idx="284">
                  <c:v>2.1212889313246568</c:v>
                </c:pt>
                <c:pt idx="285">
                  <c:v>1.9218742334579817</c:v>
                </c:pt>
                <c:pt idx="286">
                  <c:v>1.7224864880959903</c:v>
                </c:pt>
                <c:pt idx="287">
                  <c:v>1.5231269871508955</c:v>
                </c:pt>
                <c:pt idx="288">
                  <c:v>1.3237970817950315</c:v>
                </c:pt>
                <c:pt idx="289">
                  <c:v>1.1244981852641365</c:v>
                </c:pt>
                <c:pt idx="290">
                  <c:v>0.92523177578628724</c:v>
                </c:pt>
                <c:pt idx="291">
                  <c:v>0.72599939964265447</c:v>
                </c:pt>
                <c:pt idx="292">
                  <c:v>0.52680267436515038</c:v>
                </c:pt>
                <c:pt idx="293">
                  <c:v>0.32764329207712284</c:v>
                </c:pt>
                <c:pt idx="294">
                  <c:v>0.12852302298395851</c:v>
                </c:pt>
                <c:pt idx="295">
                  <c:v>-7.0556280980280633E-2</c:v>
                </c:pt>
                <c:pt idx="296">
                  <c:v>-0.26959268234311101</c:v>
                </c:pt>
                <c:pt idx="297">
                  <c:v>-0.46858415411393767</c:v>
                </c:pt>
                <c:pt idx="298">
                  <c:v>-0.66752857562682433</c:v>
                </c:pt>
                <c:pt idx="299">
                  <c:v>-0.8664237281979853</c:v>
                </c:pt>
                <c:pt idx="300">
                  <c:v>-1.0652672905906271</c:v>
                </c:pt>
                <c:pt idx="301">
                  <c:v>-1.2640568342780858</c:v>
                </c:pt>
                <c:pt idx="302">
                  <c:v>-1.4627898184976542</c:v>
                </c:pt>
                <c:pt idx="303">
                  <c:v>-1.6614635850856774</c:v>
                </c:pt>
                <c:pt idx="304">
                  <c:v>-1.8600753530849472</c:v>
                </c:pt>
                <c:pt idx="305">
                  <c:v>-2.0586222131150524</c:v>
                </c:pt>
                <c:pt idx="306">
                  <c:v>-2.2571011214962424</c:v>
                </c:pt>
                <c:pt idx="307">
                  <c:v>-2.4555088941161132</c:v>
                </c:pt>
                <c:pt idx="308">
                  <c:v>-2.6538422000291044</c:v>
                </c:pt>
                <c:pt idx="309">
                  <c:v>-2.8520975547784895</c:v>
                </c:pt>
                <c:pt idx="310">
                  <c:v>-3.0502713134290178</c:v>
                </c:pt>
                <c:pt idx="311">
                  <c:v>-3.2483596632997096</c:v>
                </c:pt>
                <c:pt idx="312">
                  <c:v>-3.4463586163846021</c:v>
                </c:pt>
                <c:pt idx="313">
                  <c:v>-3.6442640014499101</c:v>
                </c:pt>
                <c:pt idx="314">
                  <c:v>-3.8420714557950064</c:v>
                </c:pt>
                <c:pt idx="315">
                  <c:v>-4.0397764166645924</c:v>
                </c:pt>
                <c:pt idx="316">
                  <c:v>-4.237374112300115</c:v>
                </c:pt>
                <c:pt idx="317">
                  <c:v>-4.4348595526157109</c:v>
                </c:pt>
                <c:pt idx="318">
                  <c:v>-4.6322275194871088</c:v>
                </c:pt>
                <c:pt idx="319">
                  <c:v>-4.8294725566382004</c:v>
                </c:pt>
                <c:pt idx="320">
                  <c:v>-5.026588959113055</c:v>
                </c:pt>
                <c:pt idx="321">
                  <c:v>-5.2235707623180065</c:v>
                </c:pt>
                <c:pt idx="322">
                  <c:v>-5.4204117306202662</c:v>
                </c:pt>
                <c:pt idx="323">
                  <c:v>-5.6171053454888407</c:v>
                </c:pt>
                <c:pt idx="324">
                  <c:v>-5.8136447931635384</c:v>
                </c:pt>
                <c:pt idx="325">
                  <c:v>-6.0100229518368318</c:v>
                </c:pt>
                <c:pt idx="326">
                  <c:v>-6.2062323783348567</c:v>
                </c:pt>
                <c:pt idx="327">
                  <c:v>-6.4022652942834757</c:v>
                </c:pt>
                <c:pt idx="328">
                  <c:v>-6.5981135717443262</c:v>
                </c:pt>
                <c:pt idx="329">
                  <c:v>-6.7937687183082032</c:v>
                </c:pt>
                <c:pt idx="330">
                  <c:v>-6.9892218616302664</c:v>
                </c:pt>
                <c:pt idx="331">
                  <c:v>-7.1844637333960364</c:v>
                </c:pt>
                <c:pt idx="332">
                  <c:v>-7.3794846527033178</c:v>
                </c:pt>
                <c:pt idx="333">
                  <c:v>-7.5742745088494896</c:v>
                </c:pt>
                <c:pt idx="334">
                  <c:v>-7.7688227435117385</c:v>
                </c:pt>
                <c:pt idx="335">
                  <c:v>-7.963118332309933</c:v>
                </c:pt>
                <c:pt idx="336">
                  <c:v>-8.1571497657424494</c:v>
                </c:pt>
                <c:pt idx="337">
                  <c:v>-8.3509050294870661</c:v>
                </c:pt>
                <c:pt idx="338">
                  <c:v>-8.5443715840590162</c:v>
                </c:pt>
                <c:pt idx="339">
                  <c:v>-8.737536343821187</c:v>
                </c:pt>
                <c:pt idx="340">
                  <c:v>-8.9303856553423646</c:v>
                </c:pt>
                <c:pt idx="341">
                  <c:v>-9.1229052751020649</c:v>
                </c:pt>
                <c:pt idx="342">
                  <c:v>-9.3150803465418512</c:v>
                </c:pt>
                <c:pt idx="343">
                  <c:v>-9.5068953764661828</c:v>
                </c:pt>
                <c:pt idx="344">
                  <c:v>-9.6983342107981478</c:v>
                </c:pt>
                <c:pt idx="345">
                  <c:v>-9.8893800096988009</c:v>
                </c:pt>
                <c:pt idx="346">
                  <c:v>-10.080015222062311</c:v>
                </c:pt>
                <c:pt idx="347">
                  <c:v>-10.270221559401222</c:v>
                </c:pt>
                <c:pt idx="348">
                  <c:v>-10.459979969143237</c:v>
                </c:pt>
                <c:pt idx="349">
                  <c:v>-10.649270607362153</c:v>
                </c:pt>
                <c:pt idx="350">
                  <c:v>-10.83807281097247</c:v>
                </c:pt>
                <c:pt idx="351">
                  <c:v>-11.02636506942118</c:v>
                </c:pt>
                <c:pt idx="352">
                  <c:v>-11.21412499591697</c:v>
                </c:pt>
                <c:pt idx="353">
                  <c:v>-11.401329298242119</c:v>
                </c:pt>
                <c:pt idx="354">
                  <c:v>-11.587953749199995</c:v>
                </c:pt>
                <c:pt idx="355">
                  <c:v>-11.773973156756419</c:v>
                </c:pt>
                <c:pt idx="356">
                  <c:v>-11.959361333943439</c:v>
                </c:pt>
                <c:pt idx="357">
                  <c:v>-12.144091068598753</c:v>
                </c:pt>
                <c:pt idx="358">
                  <c:v>-12.32813409302516</c:v>
                </c:pt>
                <c:pt idx="359">
                  <c:v>-12.511461053662515</c:v>
                </c:pt>
                <c:pt idx="360">
                  <c:v>-12.694041480873512</c:v>
                </c:pt>
                <c:pt idx="361">
                  <c:v>-12.875843758955865</c:v>
                </c:pt>
                <c:pt idx="362">
                  <c:v>-13.056835096502953</c:v>
                </c:pt>
                <c:pt idx="363">
                  <c:v>-13.236981497246546</c:v>
                </c:pt>
                <c:pt idx="364">
                  <c:v>-13.416247731525724</c:v>
                </c:pt>
                <c:pt idx="365">
                  <c:v>-13.594597308538779</c:v>
                </c:pt>
                <c:pt idx="366">
                  <c:v>-13.771992449545982</c:v>
                </c:pt>
                <c:pt idx="367">
                  <c:v>-13.948394062204102</c:v>
                </c:pt>
                <c:pt idx="368">
                  <c:v>-14.123761716224845</c:v>
                </c:pt>
                <c:pt idx="369">
                  <c:v>-14.29805362056311</c:v>
                </c:pt>
                <c:pt idx="370">
                  <c:v>-14.471226602352409</c:v>
                </c:pt>
                <c:pt idx="371">
                  <c:v>-14.643236087817638</c:v>
                </c:pt>
                <c:pt idx="372">
                  <c:v>-14.814036085407116</c:v>
                </c:pt>
                <c:pt idx="373">
                  <c:v>-14.983579171396768</c:v>
                </c:pt>
                <c:pt idx="374">
                  <c:v>-15.151816478232362</c:v>
                </c:pt>
                <c:pt idx="375">
                  <c:v>-15.318697685882741</c:v>
                </c:pt>
                <c:pt idx="376">
                  <c:v>-15.484171016489064</c:v>
                </c:pt>
                <c:pt idx="377">
                  <c:v>-15.648183232601582</c:v>
                </c:pt>
                <c:pt idx="378">
                  <c:v>-15.810679639302004</c:v>
                </c:pt>
                <c:pt idx="379">
                  <c:v>-15.971604090515648</c:v>
                </c:pt>
                <c:pt idx="380">
                  <c:v>-16.130898999819042</c:v>
                </c:pt>
                <c:pt idx="381">
                  <c:v>-16.288505356051022</c:v>
                </c:pt>
                <c:pt idx="382">
                  <c:v>-16.444362744033388</c:v>
                </c:pt>
                <c:pt idx="383">
                  <c:v>-16.598409370702306</c:v>
                </c:pt>
                <c:pt idx="384">
                  <c:v>-16.75058209694587</c:v>
                </c:pt>
                <c:pt idx="385">
                  <c:v>-16.900816475433022</c:v>
                </c:pt>
                <c:pt idx="386">
                  <c:v>-17.049046794704164</c:v>
                </c:pt>
                <c:pt idx="387">
                  <c:v>-17.195206129778626</c:v>
                </c:pt>
                <c:pt idx="388">
                  <c:v>-17.339226399511837</c:v>
                </c:pt>
                <c:pt idx="389">
                  <c:v>-17.481038430911269</c:v>
                </c:pt>
                <c:pt idx="390">
                  <c:v>-17.620572030591628</c:v>
                </c:pt>
                <c:pt idx="391">
                  <c:v>-17.75775606351603</c:v>
                </c:pt>
                <c:pt idx="392">
                  <c:v>-17.892518539134713</c:v>
                </c:pt>
                <c:pt idx="393">
                  <c:v>-18.024786704990721</c:v>
                </c:pt>
                <c:pt idx="394">
                  <c:v>-18.154487147818507</c:v>
                </c:pt>
                <c:pt idx="395">
                  <c:v>-18.281545902112079</c:v>
                </c:pt>
                <c:pt idx="396">
                  <c:v>-18.405888566088805</c:v>
                </c:pt>
                <c:pt idx="397">
                  <c:v>-18.527440424919593</c:v>
                </c:pt>
                <c:pt idx="398">
                  <c:v>-18.646126581038747</c:v>
                </c:pt>
                <c:pt idx="399">
                  <c:v>-18.761872091287419</c:v>
                </c:pt>
                <c:pt idx="400">
                  <c:v>-18.874602110583822</c:v>
                </c:pt>
                <c:pt idx="401">
                  <c:v>-18.984242041750399</c:v>
                </c:pt>
                <c:pt idx="402">
                  <c:v>-19.090717691066363</c:v>
                </c:pt>
                <c:pt idx="403">
                  <c:v>-19.193955429052259</c:v>
                </c:pt>
                <c:pt idx="404">
                  <c:v>-19.293882355930513</c:v>
                </c:pt>
                <c:pt idx="405">
                  <c:v>-19.390426471150565</c:v>
                </c:pt>
                <c:pt idx="406">
                  <c:v>-19.483516846306664</c:v>
                </c:pt>
                <c:pt idx="407">
                  <c:v>-19.573083800728199</c:v>
                </c:pt>
                <c:pt idx="408">
                  <c:v>-19.659059078970355</c:v>
                </c:pt>
                <c:pt idx="409">
                  <c:v>-19.741376029393418</c:v>
                </c:pt>
                <c:pt idx="410">
                  <c:v>-19.819969782977363</c:v>
                </c:pt>
                <c:pt idx="411">
                  <c:v>-19.89477743149234</c:v>
                </c:pt>
                <c:pt idx="412">
                  <c:v>-19.965738204115727</c:v>
                </c:pt>
                <c:pt idx="413">
                  <c:v>-20.032793641574955</c:v>
                </c:pt>
                <c:pt idx="414">
                  <c:v>-20.09588776688194</c:v>
                </c:pt>
                <c:pt idx="415">
                  <c:v>-20.154967251725012</c:v>
                </c:pt>
                <c:pt idx="416">
                  <c:v>-20.209981577591346</c:v>
                </c:pt>
                <c:pt idx="417">
                  <c:v>-20.260883190706146</c:v>
                </c:pt>
                <c:pt idx="418">
                  <c:v>-20.307627649897633</c:v>
                </c:pt>
                <c:pt idx="419">
                  <c:v>-20.350173766527231</c:v>
                </c:pt>
                <c:pt idx="420">
                  <c:v>-20.388483735661605</c:v>
                </c:pt>
                <c:pt idx="421">
                  <c:v>-20.422523257707006</c:v>
                </c:pt>
                <c:pt idx="422">
                  <c:v>-20.452261649778293</c:v>
                </c:pt>
                <c:pt idx="423">
                  <c:v>-20.477671946131778</c:v>
                </c:pt>
                <c:pt idx="424">
                  <c:v>-20.498730987053108</c:v>
                </c:pt>
                <c:pt idx="425">
                  <c:v>-20.515419495659586</c:v>
                </c:pt>
                <c:pt idx="426">
                  <c:v>-20.527722142147926</c:v>
                </c:pt>
                <c:pt idx="427">
                  <c:v>-20.535627595094073</c:v>
                </c:pt>
                <c:pt idx="428">
                  <c:v>-20.53912855948986</c:v>
                </c:pt>
                <c:pt idx="429">
                  <c:v>-20.53822180128309</c:v>
                </c:pt>
                <c:pt idx="430">
                  <c:v>-20.532908158269727</c:v>
                </c:pt>
                <c:pt idx="431">
                  <c:v>-20.523192537271441</c:v>
                </c:pt>
                <c:pt idx="432">
                  <c:v>-20.509083897615458</c:v>
                </c:pt>
                <c:pt idx="433">
                  <c:v>-20.490595221018765</c:v>
                </c:pt>
                <c:pt idx="434">
                  <c:v>-20.467743468061848</c:v>
                </c:pt>
                <c:pt idx="435">
                  <c:v>-20.440549521519344</c:v>
                </c:pt>
                <c:pt idx="436">
                  <c:v>-20.409038116895069</c:v>
                </c:pt>
                <c:pt idx="437">
                  <c:v>-20.373237760586576</c:v>
                </c:pt>
                <c:pt idx="438">
                  <c:v>-20.333180636178078</c:v>
                </c:pt>
                <c:pt idx="439">
                  <c:v>-20.288902499430932</c:v>
                </c:pt>
                <c:pt idx="440">
                  <c:v>-20.240442562606841</c:v>
                </c:pt>
                <c:pt idx="441">
                  <c:v>-20.187843368818129</c:v>
                </c:pt>
                <c:pt idx="442">
                  <c:v>-20.131150657155494</c:v>
                </c:pt>
                <c:pt idx="443">
                  <c:v>-20.070413219391522</c:v>
                </c:pt>
                <c:pt idx="444">
                  <c:v>-20.005682749098817</c:v>
                </c:pt>
                <c:pt idx="445">
                  <c:v>-19.937013684057796</c:v>
                </c:pt>
                <c:pt idx="446">
                  <c:v>-19.864463042854624</c:v>
                </c:pt>
                <c:pt idx="447">
                  <c:v>-19.788090256589587</c:v>
                </c:pt>
                <c:pt idx="448">
                  <c:v>-19.707956996627502</c:v>
                </c:pt>
                <c:pt idx="449">
                  <c:v>-19.624126999324019</c:v>
                </c:pt>
                <c:pt idx="450">
                  <c:v>-19.536665888658376</c:v>
                </c:pt>
                <c:pt idx="451">
                  <c:v>-19.445640997689459</c:v>
                </c:pt>
                <c:pt idx="452">
                  <c:v>-19.351121189732396</c:v>
                </c:pt>
                <c:pt idx="453">
                  <c:v>-19.253176680126526</c:v>
                </c:pt>
                <c:pt idx="454">
                  <c:v>-19.151878859429445</c:v>
                </c:pt>
                <c:pt idx="455">
                  <c:v>-19.047300118836425</c:v>
                </c:pt>
                <c:pt idx="456">
                  <c:v>-18.939513678572631</c:v>
                </c:pt>
                <c:pt idx="457">
                  <c:v>-18.828593419963095</c:v>
                </c:pt>
                <c:pt idx="458">
                  <c:v>-18.714613721823959</c:v>
                </c:pt>
                <c:pt idx="459">
                  <c:v>-18.597649301767031</c:v>
                </c:pt>
                <c:pt idx="460">
                  <c:v>-18.477775062946222</c:v>
                </c:pt>
                <c:pt idx="461">
                  <c:v>-18.355065946714252</c:v>
                </c:pt>
                <c:pt idx="462">
                  <c:v>-18.229596791596396</c:v>
                </c:pt>
                <c:pt idx="463">
                  <c:v>-18.101442198924968</c:v>
                </c:pt>
                <c:pt idx="464">
                  <c:v>-17.970676405414551</c:v>
                </c:pt>
                <c:pt idx="465">
                  <c:v>-17.83737316290317</c:v>
                </c:pt>
                <c:pt idx="466">
                  <c:v>-17.701605625417052</c:v>
                </c:pt>
                <c:pt idx="467">
                  <c:v>-17.563446243670345</c:v>
                </c:pt>
                <c:pt idx="468">
                  <c:v>-17.422966667048492</c:v>
                </c:pt>
                <c:pt idx="469">
                  <c:v>-17.280237653080242</c:v>
                </c:pt>
                <c:pt idx="470">
                  <c:v>-17.135328984352807</c:v>
                </c:pt>
                <c:pt idx="471">
                  <c:v>-16.988309392783584</c:v>
                </c:pt>
                <c:pt idx="472">
                  <c:v>-16.839246491121713</c:v>
                </c:pt>
                <c:pt idx="473">
                  <c:v>-16.688206711518372</c:v>
                </c:pt>
                <c:pt idx="474">
                  <c:v>-16.53525525097265</c:v>
                </c:pt>
                <c:pt idx="475">
                  <c:v>-16.380456023434668</c:v>
                </c:pt>
                <c:pt idx="476">
                  <c:v>-16.223871618322633</c:v>
                </c:pt>
                <c:pt idx="477">
                  <c:v>-16.065563265192093</c:v>
                </c:pt>
                <c:pt idx="478">
                  <c:v>-15.905590804280719</c:v>
                </c:pt>
                <c:pt idx="479">
                  <c:v>-15.744012662638657</c:v>
                </c:pt>
                <c:pt idx="480">
                  <c:v>-15.580885835546566</c:v>
                </c:pt>
                <c:pt idx="481">
                  <c:v>-15.416265872917545</c:v>
                </c:pt>
                <c:pt idx="482">
                  <c:v>-15.250206870375804</c:v>
                </c:pt>
                <c:pt idx="483">
                  <c:v>-15.082761464704662</c:v>
                </c:pt>
                <c:pt idx="484">
                  <c:v>-14.913980833358973</c:v>
                </c:pt>
                <c:pt idx="485">
                  <c:v>-14.743914697739285</c:v>
                </c:pt>
                <c:pt idx="486">
                  <c:v>-14.572611329933519</c:v>
                </c:pt>
                <c:pt idx="487">
                  <c:v>-14.400117562635433</c:v>
                </c:pt>
                <c:pt idx="488">
                  <c:v>-14.226478801961138</c:v>
                </c:pt>
                <c:pt idx="489">
                  <c:v>-14.051739042892894</c:v>
                </c:pt>
                <c:pt idx="490">
                  <c:v>-13.87594088708947</c:v>
                </c:pt>
                <c:pt idx="491">
                  <c:v>-13.699125562814876</c:v>
                </c:pt>
                <c:pt idx="492">
                  <c:v>-13.521332946748213</c:v>
                </c:pt>
                <c:pt idx="493">
                  <c:v>-13.34260158744997</c:v>
                </c:pt>
                <c:pt idx="494">
                  <c:v>-13.162968730271521</c:v>
                </c:pt>
                <c:pt idx="495">
                  <c:v>-12.982470343508176</c:v>
                </c:pt>
                <c:pt idx="496">
                  <c:v>-12.801141145608026</c:v>
                </c:pt>
                <c:pt idx="497">
                  <c:v>-12.619014633260919</c:v>
                </c:pt>
                <c:pt idx="498">
                  <c:v>-12.436123110204791</c:v>
                </c:pt>
                <c:pt idx="499">
                  <c:v>-12.252497716596993</c:v>
                </c:pt>
                <c:pt idx="500">
                  <c:v>-12.068168458811801</c:v>
                </c:pt>
                <c:pt idx="501">
                  <c:v>-11.88316423953453</c:v>
                </c:pt>
                <c:pt idx="502">
                  <c:v>-11.697512888034483</c:v>
                </c:pt>
                <c:pt idx="503">
                  <c:v>-11.511241190509089</c:v>
                </c:pt>
                <c:pt idx="504">
                  <c:v>-11.324374920400984</c:v>
                </c:pt>
                <c:pt idx="505">
                  <c:v>-11.136938868599231</c:v>
                </c:pt>
                <c:pt idx="506">
                  <c:v>-10.948956873445555</c:v>
                </c:pt>
                <c:pt idx="507">
                  <c:v>-10.760451850473196</c:v>
                </c:pt>
                <c:pt idx="508">
                  <c:v>-10.571445821814898</c:v>
                </c:pt>
                <c:pt idx="509">
                  <c:v>-10.3819599452241</c:v>
                </c:pt>
                <c:pt idx="510">
                  <c:v>-10.19201454265891</c:v>
                </c:pt>
                <c:pt idx="511">
                  <c:v>-10.001629128386584</c:v>
                </c:pt>
                <c:pt idx="512">
                  <c:v>-9.8108224365702839</c:v>
                </c:pt>
                <c:pt idx="513">
                  <c:v>-9.6196124483072207</c:v>
                </c:pt>
                <c:pt idx="514">
                  <c:v>-9.4280164180902712</c:v>
                </c:pt>
                <c:pt idx="515">
                  <c:v>-9.236050899672346</c:v>
                </c:pt>
                <c:pt idx="516">
                  <c:v>-9.0437317713141478</c:v>
                </c:pt>
                <c:pt idx="517">
                  <c:v>-8.8510742604021182</c:v>
                </c:pt>
                <c:pt idx="518">
                  <c:v>-8.658092967426219</c:v>
                </c:pt>
                <c:pt idx="519">
                  <c:v>-8.4648018893098467</c:v>
                </c:pt>
                <c:pt idx="520">
                  <c:v>-8.2712144420871923</c:v>
                </c:pt>
                <c:pt idx="521">
                  <c:v>-8.0773434829273913</c:v>
                </c:pt>
                <c:pt idx="522">
                  <c:v>-7.8832013315050862</c:v>
                </c:pt>
                <c:pt idx="523">
                  <c:v>-7.6887997907206067</c:v>
                </c:pt>
                <c:pt idx="524">
                  <c:v>-7.4941501667735579</c:v>
                </c:pt>
                <c:pt idx="525">
                  <c:v>-7.2992632885971576</c:v>
                </c:pt>
                <c:pt idx="526">
                  <c:v>-7.1041495266604473</c:v>
                </c:pt>
                <c:pt idx="527">
                  <c:v>-6.9088188111464222</c:v>
                </c:pt>
                <c:pt idx="528">
                  <c:v>-6.7132806495182438</c:v>
                </c:pt>
                <c:pt idx="529">
                  <c:v>-6.5175441434815156</c:v>
                </c:pt>
                <c:pt idx="530">
                  <c:v>-6.3216180053574629</c:v>
                </c:pt>
                <c:pt idx="531">
                  <c:v>-6.1255105738771887</c:v>
                </c:pt>
                <c:pt idx="532">
                  <c:v>-5.9292298294111987</c:v>
                </c:pt>
                <c:pt idx="533">
                  <c:v>-5.7327834086467231</c:v>
                </c:pt>
                <c:pt idx="534">
                  <c:v>-5.5361786187277948</c:v>
                </c:pt>
                <c:pt idx="535">
                  <c:v>-5.3394224508707966</c:v>
                </c:pt>
                <c:pt idx="536">
                  <c:v>-5.142521593471086</c:v>
                </c:pt>
                <c:pt idx="537">
                  <c:v>-4.9454824447134902</c:v>
                </c:pt>
                <c:pt idx="538">
                  <c:v>-4.7483111247025027</c:v>
                </c:pt>
                <c:pt idx="539">
                  <c:v>-4.5510134871256156</c:v>
                </c:pt>
                <c:pt idx="540">
                  <c:v>-4.3535951304649467</c:v>
                </c:pt>
                <c:pt idx="541">
                  <c:v>-4.1560614087701842</c:v>
                </c:pt>
              </c:numCache>
            </c:numRef>
          </c:yVal>
          <c:smooth val="1"/>
          <c:extLst>
            <c:ext xmlns:c16="http://schemas.microsoft.com/office/drawing/2014/chart" uri="{C3380CC4-5D6E-409C-BE32-E72D297353CC}">
              <c16:uniqueId val="{00000000-F7C0-4EEE-87E3-EE720F12A204}"/>
            </c:ext>
          </c:extLst>
        </c:ser>
        <c:dLbls>
          <c:showLegendKey val="0"/>
          <c:showVal val="0"/>
          <c:showCatName val="0"/>
          <c:showSerName val="0"/>
          <c:showPercent val="0"/>
          <c:showBubbleSize val="0"/>
        </c:dLbls>
        <c:axId val="555304064"/>
        <c:axId val="555305984"/>
      </c:scatterChart>
      <c:scatterChart>
        <c:scatterStyle val="smoothMarker"/>
        <c:varyColors val="0"/>
        <c:ser>
          <c:idx val="1"/>
          <c:order val="1"/>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Loop_Modeling!$AR$19:$AR$560</c:f>
              <c:numCache>
                <c:formatCode>General</c:formatCode>
                <c:ptCount val="542"/>
                <c:pt idx="0">
                  <c:v>-14.239980437167185</c:v>
                </c:pt>
                <c:pt idx="1">
                  <c:v>-14.557726228797717</c:v>
                </c:pt>
                <c:pt idx="2">
                  <c:v>-14.881928166894705</c:v>
                </c:pt>
                <c:pt idx="3">
                  <c:v>-15.212675049277447</c:v>
                </c:pt>
                <c:pt idx="4">
                  <c:v>-15.5500540094654</c:v>
                </c:pt>
                <c:pt idx="5">
                  <c:v>-15.894150283113374</c:v>
                </c:pt>
                <c:pt idx="6">
                  <c:v>-16.245046962350539</c:v>
                </c:pt>
                <c:pt idx="7">
                  <c:v>-16.602824737921498</c:v>
                </c:pt>
                <c:pt idx="8">
                  <c:v>-16.967561629092227</c:v>
                </c:pt>
                <c:pt idx="9">
                  <c:v>-17.339332701343611</c:v>
                </c:pt>
                <c:pt idx="10">
                  <c:v>-17.718209771955095</c:v>
                </c:pt>
                <c:pt idx="11">
                  <c:v>-18.10426110365918</c:v>
                </c:pt>
                <c:pt idx="12">
                  <c:v>-18.497551086639902</c:v>
                </c:pt>
                <c:pt idx="13">
                  <c:v>-18.898139909246098</c:v>
                </c:pt>
                <c:pt idx="14">
                  <c:v>-19.306083217899573</c:v>
                </c:pt>
                <c:pt idx="15">
                  <c:v>-19.721431766793742</c:v>
                </c:pt>
                <c:pt idx="16">
                  <c:v>-20.144231058101294</c:v>
                </c:pt>
                <c:pt idx="17">
                  <c:v>-20.574520973546637</c:v>
                </c:pt>
                <c:pt idx="18">
                  <c:v>-21.012335398334116</c:v>
                </c:pt>
                <c:pt idx="19">
                  <c:v>-21.457701838576501</c:v>
                </c:pt>
                <c:pt idx="20">
                  <c:v>-21.910641033518672</c:v>
                </c:pt>
                <c:pt idx="21">
                  <c:v>-22.37116656401237</c:v>
                </c:pt>
                <c:pt idx="22">
                  <c:v>-22.839284458863265</c:v>
                </c:pt>
                <c:pt idx="23">
                  <c:v>-23.314992800837761</c:v>
                </c:pt>
                <c:pt idx="24">
                  <c:v>-23.798281334282599</c:v>
                </c:pt>
                <c:pt idx="25">
                  <c:v>-24.28913107648464</c:v>
                </c:pt>
                <c:pt idx="26">
                  <c:v>-24.787513935050992</c:v>
                </c:pt>
                <c:pt idx="27">
                  <c:v>-25.293392333763787</c:v>
                </c:pt>
                <c:pt idx="28">
                  <c:v>-25.806718849500339</c:v>
                </c:pt>
                <c:pt idx="29">
                  <c:v>-26.327435862959224</c:v>
                </c:pt>
                <c:pt idx="30">
                  <c:v>-26.855475226056754</c:v>
                </c:pt>
                <c:pt idx="31">
                  <c:v>-27.390757948966538</c:v>
                </c:pt>
                <c:pt idx="32">
                  <c:v>-27.933193909864318</c:v>
                </c:pt>
                <c:pt idx="33">
                  <c:v>-28.482681590508417</c:v>
                </c:pt>
                <c:pt idx="34">
                  <c:v>-29.039107840821771</c:v>
                </c:pt>
                <c:pt idx="35">
                  <c:v>-29.602347675649764</c:v>
                </c:pt>
                <c:pt idx="36">
                  <c:v>-30.172264106847919</c:v>
                </c:pt>
                <c:pt idx="37">
                  <c:v>-30.74870801378562</c:v>
                </c:pt>
                <c:pt idx="38">
                  <c:v>-31.331518055260286</c:v>
                </c:pt>
                <c:pt idx="39">
                  <c:v>-31.920520625668782</c:v>
                </c:pt>
                <c:pt idx="40">
                  <c:v>-32.515529858106319</c:v>
                </c:pt>
                <c:pt idx="41">
                  <c:v>-33.116347676836639</c:v>
                </c:pt>
                <c:pt idx="42">
                  <c:v>-33.722763901304326</c:v>
                </c:pt>
                <c:pt idx="43">
                  <c:v>-34.334556403553123</c:v>
                </c:pt>
                <c:pt idx="44">
                  <c:v>-34.951491320560194</c:v>
                </c:pt>
                <c:pt idx="45">
                  <c:v>-35.573323322601517</c:v>
                </c:pt>
                <c:pt idx="46">
                  <c:v>-36.199795938332038</c:v>
                </c:pt>
                <c:pt idx="47">
                  <c:v>-36.830641936815681</c:v>
                </c:pt>
                <c:pt idx="48">
                  <c:v>-37.465583766231276</c:v>
                </c:pt>
                <c:pt idx="49">
                  <c:v>-38.104334048493008</c:v>
                </c:pt>
                <c:pt idx="50">
                  <c:v>-38.746596128480718</c:v>
                </c:pt>
                <c:pt idx="51">
                  <c:v>-39.39206467605441</c:v>
                </c:pt>
                <c:pt idx="52">
                  <c:v>-40.040426338488295</c:v>
                </c:pt>
                <c:pt idx="53">
                  <c:v>-40.691360440440299</c:v>
                </c:pt>
                <c:pt idx="54">
                  <c:v>-41.344539728056304</c:v>
                </c:pt>
                <c:pt idx="55">
                  <c:v>-41.999631153339294</c:v>
                </c:pt>
                <c:pt idx="56">
                  <c:v>-42.656296694445317</c:v>
                </c:pt>
                <c:pt idx="57">
                  <c:v>-43.314194207181046</c:v>
                </c:pt>
                <c:pt idx="58">
                  <c:v>-43.972978302592992</c:v>
                </c:pt>
                <c:pt idx="59">
                  <c:v>-44.632301245255086</c:v>
                </c:pt>
                <c:pt idx="60">
                  <c:v>-45.291813866605708</c:v>
                </c:pt>
                <c:pt idx="61">
                  <c:v>-45.951166487504118</c:v>
                </c:pt>
                <c:pt idx="62">
                  <c:v>-46.610009844073872</c:v>
                </c:pt>
                <c:pt idx="63">
                  <c:v>-47.267996010856749</c:v>
                </c:pt>
                <c:pt idx="64">
                  <c:v>-47.924779315332216</c:v>
                </c:pt>
                <c:pt idx="65">
                  <c:v>-48.580017237960604</c:v>
                </c:pt>
                <c:pt idx="66">
                  <c:v>-49.233371292087952</c:v>
                </c:pt>
                <c:pt idx="67">
                  <c:v>-49.884507878275706</c:v>
                </c:pt>
                <c:pt idx="68">
                  <c:v>-50.533099107929274</c:v>
                </c:pt>
                <c:pt idx="69">
                  <c:v>-51.178823591448555</c:v>
                </c:pt>
                <c:pt idx="70">
                  <c:v>-51.821367186530637</c:v>
                </c:pt>
                <c:pt idx="71">
                  <c:v>-52.460423702697696</c:v>
                </c:pt>
                <c:pt idx="72">
                  <c:v>-53.095695558608007</c:v>
                </c:pt>
                <c:pt idx="73">
                  <c:v>-53.726894389209562</c:v>
                </c:pt>
                <c:pt idx="74">
                  <c:v>-54.353741600321833</c:v>
                </c:pt>
                <c:pt idx="75">
                  <c:v>-54.975968868762074</c:v>
                </c:pt>
                <c:pt idx="76">
                  <c:v>-55.593318586666726</c:v>
                </c:pt>
                <c:pt idx="77">
                  <c:v>-56.205544249181344</c:v>
                </c:pt>
                <c:pt idx="78">
                  <c:v>-56.812410785212535</c:v>
                </c:pt>
                <c:pt idx="79">
                  <c:v>-57.413694831411568</c:v>
                </c:pt>
                <c:pt idx="80">
                  <c:v>-58.009184950040321</c:v>
                </c:pt>
                <c:pt idx="81">
                  <c:v>-58.598681791789595</c:v>
                </c:pt>
                <c:pt idx="82">
                  <c:v>-59.181998205022417</c:v>
                </c:pt>
                <c:pt idx="83">
                  <c:v>-59.75895929327222</c:v>
                </c:pt>
                <c:pt idx="84">
                  <c:v>-60.329402423137374</c:v>
                </c:pt>
                <c:pt idx="85">
                  <c:v>-60.893177184992823</c:v>
                </c:pt>
                <c:pt idx="86">
                  <c:v>-61.450145309165855</c:v>
                </c:pt>
                <c:pt idx="87">
                  <c:v>-62.000180540409048</c:v>
                </c:pt>
                <c:pt idx="88">
                  <c:v>-62.543168473649054</c:v>
                </c:pt>
                <c:pt idx="89">
                  <c:v>-63.079006354094432</c:v>
                </c:pt>
                <c:pt idx="90">
                  <c:v>-63.607602844846859</c:v>
                </c:pt>
                <c:pt idx="91">
                  <c:v>-64.128877765192215</c:v>
                </c:pt>
                <c:pt idx="92">
                  <c:v>-64.642761802738832</c:v>
                </c:pt>
                <c:pt idx="93">
                  <c:v>-65.149196202538448</c:v>
                </c:pt>
                <c:pt idx="94">
                  <c:v>-65.648132436258962</c:v>
                </c:pt>
                <c:pt idx="95">
                  <c:v>-66.139531854392928</c:v>
                </c:pt>
                <c:pt idx="96">
                  <c:v>-66.623365324377758</c:v>
                </c:pt>
                <c:pt idx="97">
                  <c:v>-67.099612857377991</c:v>
                </c:pt>
                <c:pt idx="98">
                  <c:v>-67.568263226343063</c:v>
                </c:pt>
                <c:pt idx="99">
                  <c:v>-68.02931357779957</c:v>
                </c:pt>
                <c:pt idx="100">
                  <c:v>-68.482769039684356</c:v>
                </c:pt>
                <c:pt idx="101">
                  <c:v>-68.928642327355263</c:v>
                </c:pt>
                <c:pt idx="102">
                  <c:v>-69.366953349752905</c:v>
                </c:pt>
                <c:pt idx="103">
                  <c:v>-69.797728817517637</c:v>
                </c:pt>
                <c:pt idx="104">
                  <c:v>-70.221001854697576</c:v>
                </c:pt>
                <c:pt idx="105">
                  <c:v>-70.636811615520514</c:v>
                </c:pt>
                <c:pt idx="106">
                  <c:v>-71.045202907542759</c:v>
                </c:pt>
                <c:pt idx="107">
                  <c:v>-71.44622582232995</c:v>
                </c:pt>
                <c:pt idx="108">
                  <c:v>-71.839935374679996</c:v>
                </c:pt>
                <c:pt idx="109">
                  <c:v>-72.226391151253566</c:v>
                </c:pt>
                <c:pt idx="110">
                  <c:v>-72.605656969346455</c:v>
                </c:pt>
                <c:pt idx="111">
                  <c:v>-72.97780054641062</c:v>
                </c:pt>
                <c:pt idx="112">
                  <c:v>-73.342893180814016</c:v>
                </c:pt>
                <c:pt idx="113">
                  <c:v>-73.701009444221654</c:v>
                </c:pt>
                <c:pt idx="114">
                  <c:v>-74.052226885880657</c:v>
                </c:pt>
                <c:pt idx="115">
                  <c:v>-74.396625748997621</c:v>
                </c:pt>
                <c:pt idx="116">
                  <c:v>-74.734288699318512</c:v>
                </c:pt>
                <c:pt idx="117">
                  <c:v>-75.065300565943161</c:v>
                </c:pt>
                <c:pt idx="118">
                  <c:v>-75.389748094339666</c:v>
                </c:pt>
                <c:pt idx="119">
                  <c:v>-75.707719711465501</c:v>
                </c:pt>
                <c:pt idx="120">
                  <c:v>-76.019305302849588</c:v>
                </c:pt>
                <c:pt idx="121">
                  <c:v>-76.324596001443155</c:v>
                </c:pt>
                <c:pt idx="122">
                  <c:v>-76.623683988007159</c:v>
                </c:pt>
                <c:pt idx="123">
                  <c:v>-76.916662302773361</c:v>
                </c:pt>
                <c:pt idx="124">
                  <c:v>-77.203624668083037</c:v>
                </c:pt>
                <c:pt idx="125">
                  <c:v>-77.484665321688041</c:v>
                </c:pt>
                <c:pt idx="126">
                  <c:v>-77.759878860379615</c:v>
                </c:pt>
                <c:pt idx="127">
                  <c:v>-78.029360093591279</c:v>
                </c:pt>
                <c:pt idx="128">
                  <c:v>-78.293203906618118</c:v>
                </c:pt>
                <c:pt idx="129">
                  <c:v>-78.55150513308233</c:v>
                </c:pt>
                <c:pt idx="130">
                  <c:v>-78.804358436269865</c:v>
                </c:pt>
                <c:pt idx="131">
                  <c:v>-79.051858198965647</c:v>
                </c:pt>
                <c:pt idx="132">
                  <c:v>-79.294098421409345</c:v>
                </c:pt>
                <c:pt idx="133">
                  <c:v>-79.531172627001652</c:v>
                </c:pt>
                <c:pt idx="134">
                  <c:v>-79.763173775390385</c:v>
                </c:pt>
                <c:pt idx="135">
                  <c:v>-79.990194182574996</c:v>
                </c:pt>
                <c:pt idx="136">
                  <c:v>-80.212325447673834</c:v>
                </c:pt>
                <c:pt idx="137">
                  <c:v>-80.429658386006096</c:v>
                </c:pt>
                <c:pt idx="138">
                  <c:v>-80.64228296815007</c:v>
                </c:pt>
                <c:pt idx="139">
                  <c:v>-80.850288264650274</c:v>
                </c:pt>
                <c:pt idx="140">
                  <c:v>-81.05376239605306</c:v>
                </c:pt>
                <c:pt idx="141">
                  <c:v>-81.25279248796565</c:v>
                </c:pt>
                <c:pt idx="142">
                  <c:v>-81.447464630840443</c:v>
                </c:pt>
                <c:pt idx="143">
                  <c:v>-81.637863844200552</c:v>
                </c:pt>
                <c:pt idx="144">
                  <c:v>-81.824074045033242</c:v>
                </c:pt>
                <c:pt idx="145">
                  <c:v>-82.006178020088697</c:v>
                </c:pt>
                <c:pt idx="146">
                  <c:v>-82.184257401834145</c:v>
                </c:pt>
                <c:pt idx="147">
                  <c:v>-82.358392647823862</c:v>
                </c:pt>
                <c:pt idx="148">
                  <c:v>-82.528663023257366</c:v>
                </c:pt>
                <c:pt idx="149">
                  <c:v>-82.695146586508656</c:v>
                </c:pt>
                <c:pt idx="150">
                  <c:v>-82.85792017742061</c:v>
                </c:pt>
                <c:pt idx="151">
                  <c:v>-83.017059408168166</c:v>
                </c:pt>
                <c:pt idx="152">
                  <c:v>-83.172638656505839</c:v>
                </c:pt>
                <c:pt idx="153">
                  <c:v>-83.32473106122319</c:v>
                </c:pt>
                <c:pt idx="154">
                  <c:v>-83.473408519642135</c:v>
                </c:pt>
                <c:pt idx="155">
                  <c:v>-83.618741686999883</c:v>
                </c:pt>
                <c:pt idx="156">
                  <c:v>-83.760799977568837</c:v>
                </c:pt>
                <c:pt idx="157">
                  <c:v>-83.899651567374491</c:v>
                </c:pt>
                <c:pt idx="158">
                  <c:v>-84.035363398379644</c:v>
                </c:pt>
                <c:pt idx="159">
                  <c:v>-84.168001184011572</c:v>
                </c:pt>
                <c:pt idx="160">
                  <c:v>-84.297629415915878</c:v>
                </c:pt>
                <c:pt idx="161">
                  <c:v>-84.42431137182885</c:v>
                </c:pt>
                <c:pt idx="162">
                  <c:v>-84.548109124464546</c:v>
                </c:pt>
                <c:pt idx="163">
                  <c:v>-84.669083551323055</c:v>
                </c:pt>
                <c:pt idx="164">
                  <c:v>-84.787294345328036</c:v>
                </c:pt>
                <c:pt idx="165">
                  <c:v>-84.90280002621148</c:v>
                </c:pt>
                <c:pt idx="166">
                  <c:v>-85.015657952566443</c:v>
                </c:pt>
                <c:pt idx="167">
                  <c:v>-85.12592433449494</c:v>
                </c:pt>
                <c:pt idx="168">
                  <c:v>-85.233654246782834</c:v>
                </c:pt>
                <c:pt idx="169">
                  <c:v>-85.338901642538062</c:v>
                </c:pt>
                <c:pt idx="170">
                  <c:v>-85.441719367233063</c:v>
                </c:pt>
                <c:pt idx="171">
                  <c:v>-85.542159173096834</c:v>
                </c:pt>
                <c:pt idx="172">
                  <c:v>-85.640271733804965</c:v>
                </c:pt>
                <c:pt idx="173">
                  <c:v>-85.736106659420329</c:v>
                </c:pt>
                <c:pt idx="174">
                  <c:v>-85.829712511541018</c:v>
                </c:pt>
                <c:pt idx="175">
                  <c:v>-85.921136818614073</c:v>
                </c:pt>
                <c:pt idx="176">
                  <c:v>-86.010426091378022</c:v>
                </c:pt>
                <c:pt idx="177">
                  <c:v>-86.09762583839904</c:v>
                </c:pt>
                <c:pt idx="178">
                  <c:v>-86.182780581668567</c:v>
                </c:pt>
                <c:pt idx="179">
                  <c:v>-86.265933872233418</c:v>
                </c:pt>
                <c:pt idx="180">
                  <c:v>-86.34712830583031</c:v>
                </c:pt>
                <c:pt idx="181">
                  <c:v>-86.426405538500504</c:v>
                </c:pt>
                <c:pt idx="182">
                  <c:v>-86.503806302161365</c:v>
                </c:pt>
                <c:pt idx="183">
                  <c:v>-86.579370420113634</c:v>
                </c:pt>
                <c:pt idx="184">
                  <c:v>-86.653136822465598</c:v>
                </c:pt>
                <c:pt idx="185">
                  <c:v>-86.72514356145625</c:v>
                </c:pt>
                <c:pt idx="186">
                  <c:v>-86.795427826661864</c:v>
                </c:pt>
                <c:pt idx="187">
                  <c:v>-86.864025960071089</c:v>
                </c:pt>
                <c:pt idx="188">
                  <c:v>-86.930973471015619</c:v>
                </c:pt>
                <c:pt idx="189">
                  <c:v>-86.996305050944869</c:v>
                </c:pt>
                <c:pt idx="190">
                  <c:v>-87.060054588033239</c:v>
                </c:pt>
                <c:pt idx="191">
                  <c:v>-87.12225518161128</c:v>
                </c:pt>
                <c:pt idx="192">
                  <c:v>-87.182939156411223</c:v>
                </c:pt>
                <c:pt idx="193">
                  <c:v>-87.242138076620293</c:v>
                </c:pt>
                <c:pt idx="194">
                  <c:v>-87.299882759734061</c:v>
                </c:pt>
                <c:pt idx="195">
                  <c:v>-87.356203290204576</c:v>
                </c:pt>
                <c:pt idx="196">
                  <c:v>-87.411129032877653</c:v>
                </c:pt>
                <c:pt idx="197">
                  <c:v>-87.464688646215237</c:v>
                </c:pt>
                <c:pt idx="198">
                  <c:v>-87.516910095298485</c:v>
                </c:pt>
                <c:pt idx="199">
                  <c:v>-87.567820664608774</c:v>
                </c:pt>
                <c:pt idx="200">
                  <c:v>-87.617446970583543</c:v>
                </c:pt>
                <c:pt idx="201">
                  <c:v>-87.665814973944876</c:v>
                </c:pt>
                <c:pt idx="202">
                  <c:v>-87.712949991799164</c:v>
                </c:pt>
                <c:pt idx="203">
                  <c:v>-87.758876709506367</c:v>
                </c:pt>
                <c:pt idx="204">
                  <c:v>-87.803619192317868</c:v>
                </c:pt>
                <c:pt idx="205">
                  <c:v>-87.847200896782454</c:v>
                </c:pt>
                <c:pt idx="206">
                  <c:v>-87.889644681920174</c:v>
                </c:pt>
                <c:pt idx="207">
                  <c:v>-87.930972820163817</c:v>
                </c:pt>
                <c:pt idx="208">
                  <c:v>-87.971207008068646</c:v>
                </c:pt>
                <c:pt idx="209">
                  <c:v>-88.010368376790623</c:v>
                </c:pt>
                <c:pt idx="210">
                  <c:v>-88.048477502333995</c:v>
                </c:pt>
                <c:pt idx="211">
                  <c:v>-88.08555441556932</c:v>
                </c:pt>
                <c:pt idx="212">
                  <c:v>-88.121618612022644</c:v>
                </c:pt>
                <c:pt idx="213">
                  <c:v>-88.15668906143766</c:v>
                </c:pt>
                <c:pt idx="214">
                  <c:v>-88.190784217111755</c:v>
                </c:pt>
                <c:pt idx="215">
                  <c:v>-88.223922025007923</c:v>
                </c:pt>
                <c:pt idx="216">
                  <c:v>-88.256119932643841</c:v>
                </c:pt>
                <c:pt idx="217">
                  <c:v>-88.287394897760194</c:v>
                </c:pt>
                <c:pt idx="218">
                  <c:v>-88.317763396769848</c:v>
                </c:pt>
                <c:pt idx="219">
                  <c:v>-88.347241432989989</c:v>
                </c:pt>
                <c:pt idx="220">
                  <c:v>-88.375844544658932</c:v>
                </c:pt>
                <c:pt idx="221">
                  <c:v>-88.40358781274017</c:v>
                </c:pt>
                <c:pt idx="222">
                  <c:v>-88.43048586851495</c:v>
                </c:pt>
                <c:pt idx="223">
                  <c:v>-88.456552900966386</c:v>
                </c:pt>
                <c:pt idx="224">
                  <c:v>-88.481802663956458</c:v>
                </c:pt>
                <c:pt idx="225">
                  <c:v>-88.50624848319876</c:v>
                </c:pt>
                <c:pt idx="226">
                  <c:v>-88.529903263028515</c:v>
                </c:pt>
                <c:pt idx="227">
                  <c:v>-88.552779492972633</c:v>
                </c:pt>
                <c:pt idx="228">
                  <c:v>-88.574889254121629</c:v>
                </c:pt>
                <c:pt idx="229">
                  <c:v>-88.596244225305782</c:v>
                </c:pt>
                <c:pt idx="230">
                  <c:v>-88.616855689077553</c:v>
                </c:pt>
                <c:pt idx="231">
                  <c:v>-88.636734537502747</c:v>
                </c:pt>
                <c:pt idx="232">
                  <c:v>-88.655891277762109</c:v>
                </c:pt>
                <c:pt idx="233">
                  <c:v>-88.674336037566064</c:v>
                </c:pt>
                <c:pt idx="234">
                  <c:v>-88.692078570384226</c:v>
                </c:pt>
                <c:pt idx="235">
                  <c:v>-88.709128260492093</c:v>
                </c:pt>
                <c:pt idx="236">
                  <c:v>-88.725494127836896</c:v>
                </c:pt>
                <c:pt idx="237">
                  <c:v>-88.741184832724713</c:v>
                </c:pt>
                <c:pt idx="238">
                  <c:v>-88.756208680330801</c:v>
                </c:pt>
                <c:pt idx="239">
                  <c:v>-88.770573625035254</c:v>
                </c:pt>
                <c:pt idx="240">
                  <c:v>-88.784287274585807</c:v>
                </c:pt>
                <c:pt idx="241">
                  <c:v>-88.797356894090044</c:v>
                </c:pt>
                <c:pt idx="242">
                  <c:v>-88.809789409838444</c:v>
                </c:pt>
                <c:pt idx="243">
                  <c:v>-88.821591412960615</c:v>
                </c:pt>
                <c:pt idx="244">
                  <c:v>-88.832769162916392</c:v>
                </c:pt>
                <c:pt idx="245">
                  <c:v>-88.843328590823518</c:v>
                </c:pt>
                <c:pt idx="246">
                  <c:v>-88.853275302623928</c:v>
                </c:pt>
                <c:pt idx="247">
                  <c:v>-88.86261458209033</c:v>
                </c:pt>
                <c:pt idx="248">
                  <c:v>-88.871351393674644</c:v>
                </c:pt>
                <c:pt idx="249">
                  <c:v>-88.879490385200484</c:v>
                </c:pt>
                <c:pt idx="250">
                  <c:v>-88.887035890400909</c:v>
                </c:pt>
                <c:pt idx="251">
                  <c:v>-88.893991931303447</c:v>
                </c:pt>
                <c:pt idx="252">
                  <c:v>-88.90036222046389</c:v>
                </c:pt>
                <c:pt idx="253">
                  <c:v>-88.906150163050711</c:v>
                </c:pt>
                <c:pt idx="254">
                  <c:v>-88.911358858781639</c:v>
                </c:pt>
                <c:pt idx="255">
                  <c:v>-88.915991103713878</c:v>
                </c:pt>
                <c:pt idx="256">
                  <c:v>-88.920049391890004</c:v>
                </c:pt>
                <c:pt idx="257">
                  <c:v>-88.923535916840834</c:v>
                </c:pt>
                <c:pt idx="258">
                  <c:v>-88.926452572947085</c:v>
                </c:pt>
                <c:pt idx="259">
                  <c:v>-88.928800956661433</c:v>
                </c:pt>
                <c:pt idx="260">
                  <c:v>-88.930582367592635</c:v>
                </c:pt>
                <c:pt idx="261">
                  <c:v>-88.931797809453485</c:v>
                </c:pt>
                <c:pt idx="262">
                  <c:v>-88.932447990874195</c:v>
                </c:pt>
                <c:pt idx="263">
                  <c:v>-88.932533326083174</c:v>
                </c:pt>
                <c:pt idx="264">
                  <c:v>-88.932053935456636</c:v>
                </c:pt>
                <c:pt idx="265">
                  <c:v>-88.931009645939426</c:v>
                </c:pt>
                <c:pt idx="266">
                  <c:v>-88.929399991338258</c:v>
                </c:pt>
                <c:pt idx="267">
                  <c:v>-88.927224212490131</c:v>
                </c:pt>
                <c:pt idx="268">
                  <c:v>-88.924481257307292</c:v>
                </c:pt>
                <c:pt idx="269">
                  <c:v>-88.921169780701234</c:v>
                </c:pt>
                <c:pt idx="270">
                  <c:v>-88.917288144387854</c:v>
                </c:pt>
                <c:pt idx="271">
                  <c:v>-88.912834416576018</c:v>
                </c:pt>
                <c:pt idx="272">
                  <c:v>-88.907806371542279</c:v>
                </c:pt>
                <c:pt idx="273">
                  <c:v>-88.902201489093898</c:v>
                </c:pt>
                <c:pt idx="274">
                  <c:v>-88.896016953923152</c:v>
                </c:pt>
                <c:pt idx="275">
                  <c:v>-88.889249654855831</c:v>
                </c:pt>
                <c:pt idx="276">
                  <c:v>-88.881896183996972</c:v>
                </c:pt>
                <c:pt idx="277">
                  <c:v>-88.873952835776834</c:v>
                </c:pt>
                <c:pt idx="278">
                  <c:v>-88.865415605901049</c:v>
                </c:pt>
                <c:pt idx="279">
                  <c:v>-88.856280190208253</c:v>
                </c:pt>
                <c:pt idx="280">
                  <c:v>-88.846541983439266</c:v>
                </c:pt>
                <c:pt idx="281">
                  <c:v>-88.836196077922253</c:v>
                </c:pt>
                <c:pt idx="282">
                  <c:v>-88.825237262177993</c:v>
                </c:pt>
                <c:pt idx="283">
                  <c:v>-88.813660019450552</c:v>
                </c:pt>
                <c:pt idx="284">
                  <c:v>-88.801458526168275</c:v>
                </c:pt>
                <c:pt idx="285">
                  <c:v>-88.788626650340717</c:v>
                </c:pt>
                <c:pt idx="286">
                  <c:v>-88.775157949897704</c:v>
                </c:pt>
                <c:pt idx="287">
                  <c:v>-88.761045670976628</c:v>
                </c:pt>
                <c:pt idx="288">
                  <c:v>-88.746282746165306</c:v>
                </c:pt>
                <c:pt idx="289">
                  <c:v>-88.730861792707515</c:v>
                </c:pt>
                <c:pt idx="290">
                  <c:v>-88.71477511067927</c:v>
                </c:pt>
                <c:pt idx="291">
                  <c:v>-88.698014681144628</c:v>
                </c:pt>
                <c:pt idx="292">
                  <c:v>-88.680572164299932</c:v>
                </c:pt>
                <c:pt idx="293">
                  <c:v>-88.662438897616724</c:v>
                </c:pt>
                <c:pt idx="294">
                  <c:v>-88.643605893993765</c:v>
                </c:pt>
                <c:pt idx="295">
                  <c:v>-88.624063839929747</c:v>
                </c:pt>
                <c:pt idx="296">
                  <c:v>-88.603803093728928</c:v>
                </c:pt>
                <c:pt idx="297">
                  <c:v>-88.582813683753059</c:v>
                </c:pt>
                <c:pt idx="298">
                  <c:v>-88.561085306733474</c:v>
                </c:pt>
                <c:pt idx="299">
                  <c:v>-88.53860732615901</c:v>
                </c:pt>
                <c:pt idx="300">
                  <c:v>-88.515368770755828</c:v>
                </c:pt>
                <c:pt idx="301">
                  <c:v>-88.491358333076519</c:v>
                </c:pt>
                <c:pt idx="302">
                  <c:v>-88.466564368217917</c:v>
                </c:pt>
                <c:pt idx="303">
                  <c:v>-88.440974892687038</c:v>
                </c:pt>
                <c:pt idx="304">
                  <c:v>-88.414577583437293</c:v>
                </c:pt>
                <c:pt idx="305">
                  <c:v>-88.387359777097885</c:v>
                </c:pt>
                <c:pt idx="306">
                  <c:v>-88.359308469421151</c:v>
                </c:pt>
                <c:pt idx="307">
                  <c:v>-88.330410314974657</c:v>
                </c:pt>
                <c:pt idx="308">
                  <c:v>-88.300651627105893</c:v>
                </c:pt>
                <c:pt idx="309">
                  <c:v>-88.27001837821048</c:v>
                </c:pt>
                <c:pt idx="310">
                  <c:v>-88.238496200335916</c:v>
                </c:pt>
                <c:pt idx="311">
                  <c:v>-88.20607038615573</c:v>
                </c:pt>
                <c:pt idx="312">
                  <c:v>-88.172725890350819</c:v>
                </c:pt>
                <c:pt idx="313">
                  <c:v>-88.138447331437561</c:v>
                </c:pt>
                <c:pt idx="314">
                  <c:v>-88.103218994084813</c:v>
                </c:pt>
                <c:pt idx="315">
                  <c:v>-88.067024831964403</c:v>
                </c:pt>
                <c:pt idx="316">
                  <c:v>-88.029848471183257</c:v>
                </c:pt>
                <c:pt idx="317">
                  <c:v>-87.991673214347685</c:v>
                </c:pt>
                <c:pt idx="318">
                  <c:v>-87.952482045314071</c:v>
                </c:pt>
                <c:pt idx="319">
                  <c:v>-87.912257634683343</c:v>
                </c:pt>
                <c:pt idx="320">
                  <c:v>-87.870982346100661</c:v>
                </c:pt>
                <c:pt idx="321">
                  <c:v>-87.828638243424635</c:v>
                </c:pt>
                <c:pt idx="322">
                  <c:v>-87.785207098835443</c:v>
                </c:pt>
                <c:pt idx="323">
                  <c:v>-87.740670401954276</c:v>
                </c:pt>
                <c:pt idx="324">
                  <c:v>-87.695009370051636</c:v>
                </c:pt>
                <c:pt idx="325">
                  <c:v>-87.648204959425996</c:v>
                </c:pt>
                <c:pt idx="326">
                  <c:v>-87.600237878039479</c:v>
                </c:pt>
                <c:pt idx="327">
                  <c:v>-87.551088599501284</c:v>
                </c:pt>
                <c:pt idx="328">
                  <c:v>-87.500737378495558</c:v>
                </c:pt>
                <c:pt idx="329">
                  <c:v>-87.449164267754668</c:v>
                </c:pt>
                <c:pt idx="330">
                  <c:v>-87.396349136685203</c:v>
                </c:pt>
                <c:pt idx="331">
                  <c:v>-87.342271691758057</c:v>
                </c:pt>
                <c:pt idx="332">
                  <c:v>-87.286911498781336</c:v>
                </c:pt>
                <c:pt idx="333">
                  <c:v>-87.230248007178787</c:v>
                </c:pt>
                <c:pt idx="334">
                  <c:v>-87.172260576403815</c:v>
                </c:pt>
                <c:pt idx="335">
                  <c:v>-87.112928504623525</c:v>
                </c:pt>
                <c:pt idx="336">
                  <c:v>-87.052231059814673</c:v>
                </c:pt>
                <c:pt idx="337">
                  <c:v>-86.990147513417725</c:v>
                </c:pt>
                <c:pt idx="338">
                  <c:v>-86.92665717670242</c:v>
                </c:pt>
                <c:pt idx="339">
                  <c:v>-86.861739440002893</c:v>
                </c:pt>
                <c:pt idx="340">
                  <c:v>-86.795373814986888</c:v>
                </c:pt>
                <c:pt idx="341">
                  <c:v>-86.72753998012783</c:v>
                </c:pt>
                <c:pt idx="342">
                  <c:v>-86.658217829555028</c:v>
                </c:pt>
                <c:pt idx="343">
                  <c:v>-86.58738752546023</c:v>
                </c:pt>
                <c:pt idx="344">
                  <c:v>-86.515029554244691</c:v>
                </c:pt>
                <c:pt idx="345">
                  <c:v>-86.441124786592638</c:v>
                </c:pt>
                <c:pt idx="346">
                  <c:v>-86.36565454166184</c:v>
                </c:pt>
                <c:pt idx="347">
                  <c:v>-86.288600655582258</c:v>
                </c:pt>
                <c:pt idx="348">
                  <c:v>-86.20994555445634</c:v>
                </c:pt>
                <c:pt idx="349">
                  <c:v>-86.129672332053346</c:v>
                </c:pt>
                <c:pt idx="350">
                  <c:v>-86.047764832389106</c:v>
                </c:pt>
                <c:pt idx="351">
                  <c:v>-85.964207737380633</c:v>
                </c:pt>
                <c:pt idx="352">
                  <c:v>-85.878986659758368</c:v>
                </c:pt>
                <c:pt idx="353">
                  <c:v>-85.792088241415186</c:v>
                </c:pt>
                <c:pt idx="354">
                  <c:v>-85.703500257360176</c:v>
                </c:pt>
                <c:pt idx="355">
                  <c:v>-85.613211725435619</c:v>
                </c:pt>
                <c:pt idx="356">
                  <c:v>-85.521213021941747</c:v>
                </c:pt>
                <c:pt idx="357">
                  <c:v>-85.427496003296497</c:v>
                </c:pt>
                <c:pt idx="358">
                  <c:v>-85.332054133839435</c:v>
                </c:pt>
                <c:pt idx="359">
                  <c:v>-85.234882619862489</c:v>
                </c:pt>
                <c:pt idx="360">
                  <c:v>-85.135978549926634</c:v>
                </c:pt>
                <c:pt idx="361">
                  <c:v>-85.035341041489389</c:v>
                </c:pt>
                <c:pt idx="362">
                  <c:v>-84.932971393832361</c:v>
                </c:pt>
                <c:pt idx="363">
                  <c:v>-84.828873247239599</c:v>
                </c:pt>
                <c:pt idx="364">
                  <c:v>-84.723052748327376</c:v>
                </c:pt>
                <c:pt idx="365">
                  <c:v>-84.615518721378791</c:v>
                </c:pt>
                <c:pt idx="366">
                  <c:v>-84.50628284547561</c:v>
                </c:pt>
                <c:pt idx="367">
                  <c:v>-84.395359837159972</c:v>
                </c:pt>
                <c:pt idx="368">
                  <c:v>-84.282767638284923</c:v>
                </c:pt>
                <c:pt idx="369">
                  <c:v>-84.168527608640844</c:v>
                </c:pt>
                <c:pt idx="370">
                  <c:v>-84.052664722858779</c:v>
                </c:pt>
                <c:pt idx="371">
                  <c:v>-83.935207771004386</c:v>
                </c:pt>
                <c:pt idx="372">
                  <c:v>-83.81618956217892</c:v>
                </c:pt>
                <c:pt idx="373">
                  <c:v>-83.695647130343161</c:v>
                </c:pt>
                <c:pt idx="374">
                  <c:v>-83.57362194146846</c:v>
                </c:pt>
                <c:pt idx="375">
                  <c:v>-83.450160101007</c:v>
                </c:pt>
                <c:pt idx="376">
                  <c:v>-83.325312560552717</c:v>
                </c:pt>
                <c:pt idx="377">
                  <c:v>-83.199135322438778</c:v>
                </c:pt>
                <c:pt idx="378">
                  <c:v>-83.071689640889318</c:v>
                </c:pt>
                <c:pt idx="379">
                  <c:v>-82.943042218212184</c:v>
                </c:pt>
                <c:pt idx="380">
                  <c:v>-82.813265394385695</c:v>
                </c:pt>
                <c:pt idx="381">
                  <c:v>-82.682437328260477</c:v>
                </c:pt>
                <c:pt idx="382">
                  <c:v>-82.550642168463511</c:v>
                </c:pt>
                <c:pt idx="383">
                  <c:v>-82.417970211967841</c:v>
                </c:pt>
                <c:pt idx="384">
                  <c:v>-82.284518048165211</c:v>
                </c:pt>
                <c:pt idx="385">
                  <c:v>-82.150388686167759</c:v>
                </c:pt>
                <c:pt idx="386">
                  <c:v>-82.015691662960592</c:v>
                </c:pt>
                <c:pt idx="387">
                  <c:v>-81.880543129939397</c:v>
                </c:pt>
                <c:pt idx="388">
                  <c:v>-81.745065915293182</c:v>
                </c:pt>
                <c:pt idx="389">
                  <c:v>-81.609389559641144</c:v>
                </c:pt>
                <c:pt idx="390">
                  <c:v>-81.473650322303612</c:v>
                </c:pt>
                <c:pt idx="391">
                  <c:v>-81.337991155584547</c:v>
                </c:pt>
                <c:pt idx="392">
                  <c:v>-81.202561644470578</c:v>
                </c:pt>
                <c:pt idx="393">
                  <c:v>-81.067517909215326</c:v>
                </c:pt>
                <c:pt idx="394">
                  <c:v>-80.933022468371405</c:v>
                </c:pt>
                <c:pt idx="395">
                  <c:v>-80.799244059974825</c:v>
                </c:pt>
                <c:pt idx="396">
                  <c:v>-80.66635741876307</c:v>
                </c:pt>
                <c:pt idx="397">
                  <c:v>-80.534543007531951</c:v>
                </c:pt>
                <c:pt idx="398">
                  <c:v>-80.403986701007511</c:v>
                </c:pt>
                <c:pt idx="399">
                  <c:v>-80.274879420923654</c:v>
                </c:pt>
                <c:pt idx="400">
                  <c:v>-80.147416721358596</c:v>
                </c:pt>
                <c:pt idx="401">
                  <c:v>-80.021798323794926</c:v>
                </c:pt>
                <c:pt idx="402">
                  <c:v>-79.898227601816089</c:v>
                </c:pt>
                <c:pt idx="403">
                  <c:v>-79.776911015850146</c:v>
                </c:pt>
                <c:pt idx="404">
                  <c:v>-79.658057498903702</c:v>
                </c:pt>
                <c:pt idx="405">
                  <c:v>-79.541877794789528</c:v>
                </c:pt>
                <c:pt idx="406">
                  <c:v>-79.428583750947723</c:v>
                </c:pt>
                <c:pt idx="407">
                  <c:v>-79.318387568565839</c:v>
                </c:pt>
                <c:pt idx="408">
                  <c:v>-79.211501013328686</c:v>
                </c:pt>
                <c:pt idx="409">
                  <c:v>-79.108134590746928</c:v>
                </c:pt>
                <c:pt idx="410">
                  <c:v>-79.008496690634701</c:v>
                </c:pt>
                <c:pt idx="411">
                  <c:v>-78.912792705893366</c:v>
                </c:pt>
                <c:pt idx="412">
                  <c:v>-78.821224131333977</c:v>
                </c:pt>
                <c:pt idx="413">
                  <c:v>-78.733987648783398</c:v>
                </c:pt>
                <c:pt idx="414">
                  <c:v>-78.6512742051993</c:v>
                </c:pt>
                <c:pt idx="415">
                  <c:v>-78.573268090917509</c:v>
                </c:pt>
                <c:pt idx="416">
                  <c:v>-78.500146025489485</c:v>
                </c:pt>
                <c:pt idx="417">
                  <c:v>-78.432076258812032</c:v>
                </c:pt>
                <c:pt idx="418">
                  <c:v>-78.369217695404984</c:v>
                </c:pt>
                <c:pt idx="419">
                  <c:v>-78.311719049742976</c:v>
                </c:pt>
                <c:pt idx="420">
                  <c:v>-78.259718040493226</c:v>
                </c:pt>
                <c:pt idx="421">
                  <c:v>-78.213340631350221</c:v>
                </c:pt>
                <c:pt idx="422">
                  <c:v>-78.172700325879902</c:v>
                </c:pt>
                <c:pt idx="423">
                  <c:v>-78.137897523402415</c:v>
                </c:pt>
                <c:pt idx="424">
                  <c:v>-78.109018942451925</c:v>
                </c:pt>
                <c:pt idx="425">
                  <c:v>-78.086137117753779</c:v>
                </c:pt>
                <c:pt idx="426">
                  <c:v>-78.069309975974633</c:v>
                </c:pt>
                <c:pt idx="427">
                  <c:v>-78.05858049472333</c:v>
                </c:pt>
                <c:pt idx="428">
                  <c:v>-78.053976448437297</c:v>
                </c:pt>
                <c:pt idx="429">
                  <c:v>-78.055510243878402</c:v>
                </c:pt>
                <c:pt idx="430">
                  <c:v>-78.063178847012253</c:v>
                </c:pt>
                <c:pt idx="431">
                  <c:v>-78.07696380206022</c:v>
                </c:pt>
                <c:pt idx="432">
                  <c:v>-78.096831342521227</c:v>
                </c:pt>
                <c:pt idx="433">
                  <c:v>-78.122732592964027</c:v>
                </c:pt>
                <c:pt idx="434">
                  <c:v>-78.154603859421613</c:v>
                </c:pt>
                <c:pt idx="435">
                  <c:v>-78.192367005283046</c:v>
                </c:pt>
                <c:pt idx="436">
                  <c:v>-78.235929908692626</c:v>
                </c:pt>
                <c:pt idx="437">
                  <c:v>-78.285186996649841</c:v>
                </c:pt>
                <c:pt idx="438">
                  <c:v>-78.340019850261299</c:v>
                </c:pt>
                <c:pt idx="439">
                  <c:v>-78.400297874946261</c:v>
                </c:pt>
                <c:pt idx="440">
                  <c:v>-78.465879028843887</c:v>
                </c:pt>
                <c:pt idx="441">
                  <c:v>-78.53661060222106</c:v>
                </c:pt>
                <c:pt idx="442">
                  <c:v>-78.612330040341845</c:v>
                </c:pt>
                <c:pt idx="443">
                  <c:v>-78.692865802024571</c:v>
                </c:pt>
                <c:pt idx="444">
                  <c:v>-78.778038246005437</c:v>
                </c:pt>
                <c:pt idx="445">
                  <c:v>-78.867660537204102</c:v>
                </c:pt>
                <c:pt idx="446">
                  <c:v>-78.961539565091513</c:v>
                </c:pt>
                <c:pt idx="447">
                  <c:v>-79.059476866546348</c:v>
                </c:pt>
                <c:pt idx="448">
                  <c:v>-79.161269545868635</c:v>
                </c:pt>
                <c:pt idx="449">
                  <c:v>-79.266711184985652</c:v>
                </c:pt>
                <c:pt idx="450">
                  <c:v>-79.37559273731253</c:v>
                </c:pt>
                <c:pt idx="451">
                  <c:v>-79.48770339922919</c:v>
                </c:pt>
                <c:pt idx="452">
                  <c:v>-79.602831453672465</c:v>
                </c:pt>
                <c:pt idx="453">
                  <c:v>-79.720765080925744</c:v>
                </c:pt>
                <c:pt idx="454">
                  <c:v>-79.841293132291156</c:v>
                </c:pt>
                <c:pt idx="455">
                  <c:v>-79.96420586294316</c:v>
                </c:pt>
                <c:pt idx="456">
                  <c:v>-80.089295620901666</c:v>
                </c:pt>
                <c:pt idx="457">
                  <c:v>-80.216357489657497</c:v>
                </c:pt>
                <c:pt idx="458">
                  <c:v>-80.345189882610839</c:v>
                </c:pt>
                <c:pt idx="459">
                  <c:v>-80.475595088043477</c:v>
                </c:pt>
                <c:pt idx="460">
                  <c:v>-80.607379763910998</c:v>
                </c:pt>
                <c:pt idx="461">
                  <c:v>-80.740355382253867</c:v>
                </c:pt>
                <c:pt idx="462">
                  <c:v>-80.874338623499412</c:v>
                </c:pt>
                <c:pt idx="463">
                  <c:v>-81.0091517213705</c:v>
                </c:pt>
                <c:pt idx="464">
                  <c:v>-81.144622759500038</c:v>
                </c:pt>
                <c:pt idx="465">
                  <c:v>-81.280585921194429</c:v>
                </c:pt>
                <c:pt idx="466">
                  <c:v>-81.416881694090307</c:v>
                </c:pt>
                <c:pt idx="467">
                  <c:v>-81.553357031694432</c:v>
                </c:pt>
                <c:pt idx="468">
                  <c:v>-81.689865474003753</c:v>
                </c:pt>
                <c:pt idx="469">
                  <c:v>-81.826267229566739</c:v>
                </c:pt>
                <c:pt idx="470">
                  <c:v>-81.962429221463324</c:v>
                </c:pt>
                <c:pt idx="471">
                  <c:v>-82.098225099768769</c:v>
                </c:pt>
                <c:pt idx="472">
                  <c:v>-82.233535223109271</c:v>
                </c:pt>
                <c:pt idx="473">
                  <c:v>-82.368246611935405</c:v>
                </c:pt>
                <c:pt idx="474">
                  <c:v>-82.502252876125453</c:v>
                </c:pt>
                <c:pt idx="475">
                  <c:v>-82.635454119489197</c:v>
                </c:pt>
                <c:pt idx="476">
                  <c:v>-82.767756823685914</c:v>
                </c:pt>
                <c:pt idx="477">
                  <c:v>-82.899073713988358</c:v>
                </c:pt>
                <c:pt idx="478">
                  <c:v>-83.029323609227689</c:v>
                </c:pt>
                <c:pt idx="479">
                  <c:v>-83.158431258151154</c:v>
                </c:pt>
                <c:pt idx="480">
                  <c:v>-83.286327164302406</c:v>
                </c:pt>
                <c:pt idx="481">
                  <c:v>-83.412947401412495</c:v>
                </c:pt>
                <c:pt idx="482">
                  <c:v>-83.538233421158083</c:v>
                </c:pt>
                <c:pt idx="483">
                  <c:v>-83.662131855013556</c:v>
                </c:pt>
                <c:pt idx="484">
                  <c:v>-83.784594311787117</c:v>
                </c:pt>
                <c:pt idx="485">
                  <c:v>-83.905577172302273</c:v>
                </c:pt>
                <c:pt idx="486">
                  <c:v>-84.025041382551919</c:v>
                </c:pt>
                <c:pt idx="487">
                  <c:v>-84.142952246528381</c:v>
                </c:pt>
                <c:pt idx="488">
                  <c:v>-84.259279219807794</c:v>
                </c:pt>
                <c:pt idx="489">
                  <c:v>-84.373995704849591</c:v>
                </c:pt>
                <c:pt idx="490">
                  <c:v>-84.487078848860861</c:v>
                </c:pt>
                <c:pt idx="491">
                  <c:v>-84.598509344967368</c:v>
                </c:pt>
                <c:pt idx="492">
                  <c:v>-84.708271237334145</c:v>
                </c:pt>
                <c:pt idx="493">
                  <c:v>-84.81635173078611</c:v>
                </c:pt>
                <c:pt idx="494">
                  <c:v>-84.922741005390165</c:v>
                </c:pt>
                <c:pt idx="495">
                  <c:v>-85.027432036383658</c:v>
                </c:pt>
                <c:pt idx="496">
                  <c:v>-85.130420419757144</c:v>
                </c:pt>
                <c:pt idx="497">
                  <c:v>-85.231704203735163</c:v>
                </c:pt>
                <c:pt idx="498">
                  <c:v>-85.331283726336366</c:v>
                </c:pt>
                <c:pt idx="499">
                  <c:v>-85.429161459140204</c:v>
                </c:pt>
                <c:pt idx="500">
                  <c:v>-85.525341857337395</c:v>
                </c:pt>
                <c:pt idx="501">
                  <c:v>-85.619831216098731</c:v>
                </c:pt>
                <c:pt idx="502">
                  <c:v>-85.712637533256512</c:v>
                </c:pt>
                <c:pt idx="503">
                  <c:v>-85.80377037826031</c:v>
                </c:pt>
                <c:pt idx="504">
                  <c:v>-85.893240767337517</c:v>
                </c:pt>
                <c:pt idx="505">
                  <c:v>-85.981061044765099</c:v>
                </c:pt>
                <c:pt idx="506">
                  <c:v>-86.067244770135673</c:v>
                </c:pt>
                <c:pt idx="507">
                  <c:v>-86.151806611483323</c:v>
                </c:pt>
                <c:pt idx="508">
                  <c:v>-86.234762244118983</c:v>
                </c:pt>
                <c:pt idx="509">
                  <c:v>-86.316128255013069</c:v>
                </c:pt>
                <c:pt idx="510">
                  <c:v>-86.395922052552052</c:v>
                </c:pt>
                <c:pt idx="511">
                  <c:v>-86.474161781489329</c:v>
                </c:pt>
                <c:pt idx="512">
                  <c:v>-86.550866242904064</c:v>
                </c:pt>
                <c:pt idx="513">
                  <c:v>-86.626054818978531</c:v>
                </c:pt>
                <c:pt idx="514">
                  <c:v>-86.699747402401698</c:v>
                </c:pt>
                <c:pt idx="515">
                  <c:v>-86.7719643302066</c:v>
                </c:pt>
                <c:pt idx="516">
                  <c:v>-86.842726321849312</c:v>
                </c:pt>
                <c:pt idx="517">
                  <c:v>-86.912054421338269</c:v>
                </c:pt>
                <c:pt idx="518">
                  <c:v>-86.979969943226166</c:v>
                </c:pt>
                <c:pt idx="519">
                  <c:v>-87.046494422278698</c:v>
                </c:pt>
                <c:pt idx="520">
                  <c:v>-87.111649566639684</c:v>
                </c:pt>
                <c:pt idx="521">
                  <c:v>-87.175457214314491</c:v>
                </c:pt>
                <c:pt idx="522">
                  <c:v>-87.237939292800846</c:v>
                </c:pt>
                <c:pt idx="523">
                  <c:v>-87.299117781699209</c:v>
                </c:pt>
                <c:pt idx="524">
                  <c:v>-87.359014678141889</c:v>
                </c:pt>
                <c:pt idx="525">
                  <c:v>-87.417651964884669</c:v>
                </c:pt>
                <c:pt idx="526">
                  <c:v>-87.475051580910943</c:v>
                </c:pt>
                <c:pt idx="527">
                  <c:v>-87.531235394404717</c:v>
                </c:pt>
                <c:pt idx="528">
                  <c:v>-87.586225177952997</c:v>
                </c:pt>
                <c:pt idx="529">
                  <c:v>-87.640042585846771</c:v>
                </c:pt>
                <c:pt idx="530">
                  <c:v>-87.692709133352537</c:v>
                </c:pt>
                <c:pt idx="531">
                  <c:v>-87.744246177834739</c:v>
                </c:pt>
                <c:pt idx="532">
                  <c:v>-87.794674901613149</c:v>
                </c:pt>
                <c:pt idx="533">
                  <c:v>-87.84401629644654</c:v>
                </c:pt>
                <c:pt idx="534">
                  <c:v>-87.892291149537684</c:v>
                </c:pt>
                <c:pt idx="535">
                  <c:v>-87.939520030961688</c:v>
                </c:pt>
                <c:pt idx="536">
                  <c:v>-87.985723282423223</c:v>
                </c:pt>
                <c:pt idx="537">
                  <c:v>-88.030921007254648</c:v>
                </c:pt>
                <c:pt idx="538">
                  <c:v>-88.075133061570412</c:v>
                </c:pt>
                <c:pt idx="539">
                  <c:v>-88.118379046498788</c:v>
                </c:pt>
                <c:pt idx="540">
                  <c:v>-88.16067830141597</c:v>
                </c:pt>
                <c:pt idx="541">
                  <c:v>-88.202049898111582</c:v>
                </c:pt>
              </c:numCache>
            </c:numRef>
          </c:yVal>
          <c:smooth val="1"/>
          <c:extLst>
            <c:ext xmlns:c16="http://schemas.microsoft.com/office/drawing/2014/chart" uri="{C3380CC4-5D6E-409C-BE32-E72D297353CC}">
              <c16:uniqueId val="{00000001-F7C0-4EEE-87E3-EE720F12A204}"/>
            </c:ext>
          </c:extLst>
        </c:ser>
        <c:dLbls>
          <c:showLegendKey val="0"/>
          <c:showVal val="0"/>
          <c:showCatName val="0"/>
          <c:showSerName val="0"/>
          <c:showPercent val="0"/>
          <c:showBubbleSize val="0"/>
        </c:dLbls>
        <c:axId val="555313792"/>
        <c:axId val="555312256"/>
      </c:scatterChart>
      <c:valAx>
        <c:axId val="555304064"/>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555305984"/>
        <c:crosses val="autoZero"/>
        <c:crossBetween val="midCat"/>
      </c:valAx>
      <c:valAx>
        <c:axId val="555305984"/>
        <c:scaling>
          <c:orientation val="minMax"/>
          <c:max val="40"/>
          <c:min val="-40"/>
        </c:scaling>
        <c:delete val="0"/>
        <c:axPos val="l"/>
        <c:majorGridlines/>
        <c:minorGridlines/>
        <c:title>
          <c:tx>
            <c:rich>
              <a:bodyPr rot="-5400000" vert="horz"/>
              <a:lstStyle/>
              <a:p>
                <a:pPr>
                  <a:defRPr/>
                </a:pPr>
                <a:r>
                  <a:rPr lang="en-US"/>
                  <a:t>Gain</a:t>
                </a:r>
                <a:r>
                  <a:rPr lang="en-US" baseline="0"/>
                  <a:t> (dB)</a:t>
                </a:r>
                <a:endParaRPr lang="en-US"/>
              </a:p>
            </c:rich>
          </c:tx>
          <c:overlay val="0"/>
        </c:title>
        <c:numFmt formatCode="General" sourceLinked="0"/>
        <c:majorTickMark val="out"/>
        <c:minorTickMark val="none"/>
        <c:tickLblPos val="nextTo"/>
        <c:crossAx val="555304064"/>
        <c:crosses val="autoZero"/>
        <c:crossBetween val="midCat"/>
        <c:majorUnit val="20"/>
        <c:minorUnit val="10"/>
      </c:valAx>
      <c:valAx>
        <c:axId val="555312256"/>
        <c:scaling>
          <c:orientation val="minMax"/>
          <c:max val="180"/>
          <c:min val="-180"/>
        </c:scaling>
        <c:delete val="0"/>
        <c:axPos val="r"/>
        <c:numFmt formatCode="General" sourceLinked="1"/>
        <c:majorTickMark val="out"/>
        <c:minorTickMark val="none"/>
        <c:tickLblPos val="nextTo"/>
        <c:crossAx val="555313792"/>
        <c:crosses val="max"/>
        <c:crossBetween val="midCat"/>
        <c:majorUnit val="90"/>
        <c:minorUnit val="45"/>
      </c:valAx>
      <c:valAx>
        <c:axId val="555313792"/>
        <c:scaling>
          <c:logBase val="10"/>
          <c:orientation val="minMax"/>
        </c:scaling>
        <c:delete val="1"/>
        <c:axPos val="b"/>
        <c:numFmt formatCode="0.00" sourceLinked="1"/>
        <c:majorTickMark val="out"/>
        <c:minorTickMark val="none"/>
        <c:tickLblPos val="nextTo"/>
        <c:crossAx val="555312256"/>
        <c:crosses val="autoZero"/>
        <c:crossBetween val="midCat"/>
      </c:valAx>
    </c:plotArea>
    <c:legend>
      <c:legendPos val="r"/>
      <c:layout>
        <c:manualLayout>
          <c:xMode val="edge"/>
          <c:yMode val="edge"/>
          <c:x val="0.79880558209512509"/>
          <c:y val="0.14321997959862004"/>
          <c:w val="0.13459449276057311"/>
          <c:h val="0.10691609861199437"/>
        </c:manualLayout>
      </c:layout>
      <c:overlay val="1"/>
      <c:spPr>
        <a:solidFill>
          <a:schemeClr val="bg1"/>
        </a:solidFill>
      </c:spPr>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DCM Control Loop Transfer Function</a:t>
            </a:r>
          </a:p>
        </c:rich>
      </c:tx>
      <c:overlay val="0"/>
    </c:title>
    <c:autoTitleDeleted val="0"/>
    <c:plotArea>
      <c:layout/>
      <c:scatterChart>
        <c:scatterStyle val="smoothMarker"/>
        <c:varyColors val="0"/>
        <c:ser>
          <c:idx val="0"/>
          <c:order val="0"/>
          <c:spPr>
            <a:ln w="38100">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Loop_Modeling!$BJ$19:$BJ$560</c:f>
              <c:numCache>
                <c:formatCode>0.000</c:formatCode>
                <c:ptCount val="542"/>
                <c:pt idx="0">
                  <c:v>94.976246432223718</c:v>
                </c:pt>
                <c:pt idx="1">
                  <c:v>94.763918274280016</c:v>
                </c:pt>
                <c:pt idx="2">
                  <c:v>94.551046755016799</c:v>
                </c:pt>
                <c:pt idx="3">
                  <c:v>94.337609653787496</c:v>
                </c:pt>
                <c:pt idx="4">
                  <c:v>94.123583995776926</c:v>
                </c:pt>
                <c:pt idx="5">
                  <c:v>93.90894604021328</c:v>
                </c:pt>
                <c:pt idx="6">
                  <c:v>93.693671269734992</c:v>
                </c:pt>
                <c:pt idx="7">
                  <c:v>93.477734381061111</c:v>
                </c:pt>
                <c:pt idx="8">
                  <c:v>93.261109277121534</c:v>
                </c:pt>
                <c:pt idx="9">
                  <c:v>93.043769060814299</c:v>
                </c:pt>
                <c:pt idx="10">
                  <c:v>92.825686030560519</c:v>
                </c:pt>
                <c:pt idx="11">
                  <c:v>92.606831677840773</c:v>
                </c:pt>
                <c:pt idx="12">
                  <c:v>92.387176686896368</c:v>
                </c:pt>
                <c:pt idx="13">
                  <c:v>92.166690936793159</c:v>
                </c:pt>
                <c:pt idx="14">
                  <c:v>91.945343506043571</c:v>
                </c:pt>
                <c:pt idx="15">
                  <c:v>91.723102679990177</c:v>
                </c:pt>
                <c:pt idx="16">
                  <c:v>91.499935961159494</c:v>
                </c:pt>
                <c:pt idx="17">
                  <c:v>91.275810082789121</c:v>
                </c:pt>
                <c:pt idx="18">
                  <c:v>91.050691025739354</c:v>
                </c:pt>
                <c:pt idx="19">
                  <c:v>90.824544038992357</c:v>
                </c:pt>
                <c:pt idx="20">
                  <c:v>90.597333663941441</c:v>
                </c:pt>
                <c:pt idx="21">
                  <c:v>90.369023762664966</c:v>
                </c:pt>
                <c:pt idx="22">
                  <c:v>90.139577550372024</c:v>
                </c:pt>
                <c:pt idx="23">
                  <c:v>89.908957632194273</c:v>
                </c:pt>
                <c:pt idx="24">
                  <c:v>89.677126044484638</c:v>
                </c:pt>
                <c:pt idx="25">
                  <c:v>89.444044300766606</c:v>
                </c:pt>
                <c:pt idx="26">
                  <c:v>89.209673442457216</c:v>
                </c:pt>
                <c:pt idx="27">
                  <c:v>88.973974094461369</c:v>
                </c:pt>
                <c:pt idx="28">
                  <c:v>88.736906525711561</c:v>
                </c:pt>
                <c:pt idx="29">
                  <c:v>88.498430714691509</c:v>
                </c:pt>
                <c:pt idx="30">
                  <c:v>88.258506419952909</c:v>
                </c:pt>
                <c:pt idx="31">
                  <c:v>88.017093255593792</c:v>
                </c:pt>
                <c:pt idx="32">
                  <c:v>87.774150771627802</c:v>
                </c:pt>
                <c:pt idx="33">
                  <c:v>87.529638539130175</c:v>
                </c:pt>
                <c:pt idx="34">
                  <c:v>87.283516239998193</c:v>
                </c:pt>
                <c:pt idx="35">
                  <c:v>87.035743761118766</c:v>
                </c:pt>
                <c:pt idx="36">
                  <c:v>86.7862812926804</c:v>
                </c:pt>
                <c:pt idx="37">
                  <c:v>86.535089430319118</c:v>
                </c:pt>
                <c:pt idx="38">
                  <c:v>86.28212928073242</c:v>
                </c:pt>
                <c:pt idx="39">
                  <c:v>86.02736257034293</c:v>
                </c:pt>
                <c:pt idx="40">
                  <c:v>85.770751756542282</c:v>
                </c:pt>
                <c:pt idx="41">
                  <c:v>85.512260140993391</c:v>
                </c:pt>
                <c:pt idx="42">
                  <c:v>85.251851984420881</c:v>
                </c:pt>
                <c:pt idx="43">
                  <c:v>84.989492622274483</c:v>
                </c:pt>
                <c:pt idx="44">
                  <c:v>84.72514858060849</c:v>
                </c:pt>
                <c:pt idx="45">
                  <c:v>84.458787691484204</c:v>
                </c:pt>
                <c:pt idx="46">
                  <c:v>84.19037920717065</c:v>
                </c:pt>
                <c:pt idx="47">
                  <c:v>83.919893912396759</c:v>
                </c:pt>
                <c:pt idx="48">
                  <c:v>83.647304233889358</c:v>
                </c:pt>
                <c:pt idx="49">
                  <c:v>83.372584346425555</c:v>
                </c:pt>
                <c:pt idx="50">
                  <c:v>83.095710274627535</c:v>
                </c:pt>
                <c:pt idx="51">
                  <c:v>82.816659989734973</c:v>
                </c:pt>
                <c:pt idx="52">
                  <c:v>82.535413500615533</c:v>
                </c:pt>
                <c:pt idx="53">
                  <c:v>82.251952938295062</c:v>
                </c:pt>
                <c:pt idx="54">
                  <c:v>81.966262633333059</c:v>
                </c:pt>
                <c:pt idx="55">
                  <c:v>81.678329185414526</c:v>
                </c:pt>
                <c:pt idx="56">
                  <c:v>81.388141524584881</c:v>
                </c:pt>
                <c:pt idx="57">
                  <c:v>81.095690963620939</c:v>
                </c:pt>
                <c:pt idx="58">
                  <c:v>80.800971241102417</c:v>
                </c:pt>
                <c:pt idx="59">
                  <c:v>80.50397855482764</c:v>
                </c:pt>
                <c:pt idx="60">
                  <c:v>80.204711585300359</c:v>
                </c:pt>
                <c:pt idx="61">
                  <c:v>79.903171509103871</c:v>
                </c:pt>
                <c:pt idx="62">
                  <c:v>79.599362002070905</c:v>
                </c:pt>
                <c:pt idx="63">
                  <c:v>79.293289232247346</c:v>
                </c:pt>
                <c:pt idx="64">
                  <c:v>78.984961842744468</c:v>
                </c:pt>
                <c:pt idx="65">
                  <c:v>78.674390924663612</c:v>
                </c:pt>
                <c:pt idx="66">
                  <c:v>78.361589980367029</c:v>
                </c:pt>
                <c:pt idx="67">
                  <c:v>78.046574877451974</c:v>
                </c:pt>
                <c:pt idx="68">
                  <c:v>77.729363793867122</c:v>
                </c:pt>
                <c:pt idx="69">
                  <c:v>77.409977154679979</c:v>
                </c:pt>
                <c:pt idx="70">
                  <c:v>77.088437561072936</c:v>
                </c:pt>
                <c:pt idx="71">
                  <c:v>76.764769712199822</c:v>
                </c:pt>
                <c:pt idx="72">
                  <c:v>76.43900032058616</c:v>
                </c:pt>
                <c:pt idx="73">
                  <c:v>76.111158021793642</c:v>
                </c:pt>
                <c:pt idx="74">
                  <c:v>75.78127327909948</c:v>
                </c:pt>
                <c:pt idx="75">
                  <c:v>75.44937828396229</c:v>
                </c:pt>
                <c:pt idx="76">
                  <c:v>75.115506853055592</c:v>
                </c:pt>
                <c:pt idx="77">
                  <c:v>74.779694322652105</c:v>
                </c:pt>
                <c:pt idx="78">
                  <c:v>74.441977441134796</c:v>
                </c:pt>
                <c:pt idx="79">
                  <c:v>74.10239426039405</c:v>
                </c:pt>
                <c:pt idx="80">
                  <c:v>73.760984026848703</c:v>
                </c:pt>
                <c:pt idx="81">
                  <c:v>73.417787072796415</c:v>
                </c:pt>
                <c:pt idx="82">
                  <c:v>73.072844708767008</c:v>
                </c:pt>
                <c:pt idx="83">
                  <c:v>72.726199117505416</c:v>
                </c:pt>
                <c:pt idx="84">
                  <c:v>72.377893250172335</c:v>
                </c:pt>
                <c:pt idx="85">
                  <c:v>72.027970725296981</c:v>
                </c:pt>
                <c:pt idx="86">
                  <c:v>71.676475730968633</c:v>
                </c:pt>
                <c:pt idx="87">
                  <c:v>71.323452930700086</c:v>
                </c:pt>
                <c:pt idx="88">
                  <c:v>70.96894737334361</c:v>
                </c:pt>
                <c:pt idx="89">
                  <c:v>70.613004407386285</c:v>
                </c:pt>
                <c:pt idx="90">
                  <c:v>70.255669599900415</c:v>
                </c:pt>
                <c:pt idx="91">
                  <c:v>69.896988660371846</c:v>
                </c:pt>
                <c:pt idx="92">
                  <c:v>69.537007369583208</c:v>
                </c:pt>
                <c:pt idx="93">
                  <c:v>69.175771513677077</c:v>
                </c:pt>
                <c:pt idx="94">
                  <c:v>68.813326823484914</c:v>
                </c:pt>
                <c:pt idx="95">
                  <c:v>68.449718919163558</c:v>
                </c:pt>
                <c:pt idx="96">
                  <c:v>68.084993260141971</c:v>
                </c:pt>
                <c:pt idx="97">
                  <c:v>67.719195100349182</c:v>
                </c:pt>
                <c:pt idx="98">
                  <c:v>67.352369448658152</c:v>
                </c:pt>
                <c:pt idx="99">
                  <c:v>66.984561034457045</c:v>
                </c:pt>
                <c:pt idx="100">
                  <c:v>66.61581427822972</c:v>
                </c:pt>
                <c:pt idx="101">
                  <c:v>66.246173267007663</c:v>
                </c:pt>
                <c:pt idx="102">
                  <c:v>65.875681734537096</c:v>
                </c:pt>
                <c:pt idx="103">
                  <c:v>65.504383045987169</c:v>
                </c:pt>
                <c:pt idx="104">
                  <c:v>65.132320187014926</c:v>
                </c:pt>
                <c:pt idx="105">
                  <c:v>64.759535756988555</c:v>
                </c:pt>
                <c:pt idx="106">
                  <c:v>64.386071966164579</c:v>
                </c:pt>
                <c:pt idx="107">
                  <c:v>64.011970636608865</c:v>
                </c:pt>
                <c:pt idx="108">
                  <c:v>63.637273206644778</c:v>
                </c:pt>
                <c:pt idx="109">
                  <c:v>63.262020738610246</c:v>
                </c:pt>
                <c:pt idx="110">
                  <c:v>62.886253929705646</c:v>
                </c:pt>
                <c:pt idx="111">
                  <c:v>62.510013125711183</c:v>
                </c:pt>
                <c:pt idx="112">
                  <c:v>62.133338337357685</c:v>
                </c:pt>
                <c:pt idx="113">
                  <c:v>61.756269259131145</c:v>
                </c:pt>
                <c:pt idx="114">
                  <c:v>61.378845290299338</c:v>
                </c:pt>
                <c:pt idx="115">
                  <c:v>61.001105557947213</c:v>
                </c:pt>
                <c:pt idx="116">
                  <c:v>60.623088941813599</c:v>
                </c:pt>
                <c:pt idx="117">
                  <c:v>60.244834100722137</c:v>
                </c:pt>
                <c:pt idx="118">
                  <c:v>59.866379500407056</c:v>
                </c:pt>
                <c:pt idx="119">
                  <c:v>59.487763442532113</c:v>
                </c:pt>
                <c:pt idx="120">
                  <c:v>59.109024094708147</c:v>
                </c:pt>
                <c:pt idx="121">
                  <c:v>58.73019952131375</c:v>
                </c:pt>
                <c:pt idx="122">
                  <c:v>58.351327714930498</c:v>
                </c:pt>
                <c:pt idx="123">
                  <c:v>57.972446628198718</c:v>
                </c:pt>
                <c:pt idx="124">
                  <c:v>57.593594205909291</c:v>
                </c:pt>
                <c:pt idx="125">
                  <c:v>57.214808417140347</c:v>
                </c:pt>
                <c:pt idx="126">
                  <c:v>56.836127287252168</c:v>
                </c:pt>
                <c:pt idx="127">
                  <c:v>56.457588929552244</c:v>
                </c:pt>
                <c:pt idx="128">
                  <c:v>56.079231576441643</c:v>
                </c:pt>
                <c:pt idx="129">
                  <c:v>55.701093609849494</c:v>
                </c:pt>
                <c:pt idx="130">
                  <c:v>55.323213590766557</c:v>
                </c:pt>
                <c:pt idx="131">
                  <c:v>54.945630287680068</c:v>
                </c:pt>
                <c:pt idx="132">
                  <c:v>54.568382703713866</c:v>
                </c:pt>
                <c:pt idx="133">
                  <c:v>54.191510102272233</c:v>
                </c:pt>
                <c:pt idx="134">
                  <c:v>53.815052030983857</c:v>
                </c:pt>
                <c:pt idx="135">
                  <c:v>53.439048343739671</c:v>
                </c:pt>
                <c:pt idx="136">
                  <c:v>53.063539220613514</c:v>
                </c:pt>
                <c:pt idx="137">
                  <c:v>52.688565185452617</c:v>
                </c:pt>
                <c:pt idx="138">
                  <c:v>52.3141671209234</c:v>
                </c:pt>
                <c:pt idx="139">
                  <c:v>51.940386280793135</c:v>
                </c:pt>
                <c:pt idx="140">
                  <c:v>51.567264299230224</c:v>
                </c:pt>
                <c:pt idx="141">
                  <c:v>51.19484319690131</c:v>
                </c:pt>
                <c:pt idx="142">
                  <c:v>50.823165383648956</c:v>
                </c:pt>
                <c:pt idx="143">
                  <c:v>50.452273657530924</c:v>
                </c:pt>
                <c:pt idx="144">
                  <c:v>50.082211200007798</c:v>
                </c:pt>
                <c:pt idx="145">
                  <c:v>49.713021567071962</c:v>
                </c:pt>
                <c:pt idx="146">
                  <c:v>49.344748676115628</c:v>
                </c:pt>
                <c:pt idx="147">
                  <c:v>48.977436788347035</c:v>
                </c:pt>
                <c:pt idx="148">
                  <c:v>48.611130486574481</c:v>
                </c:pt>
                <c:pt idx="149">
                  <c:v>48.245874648194622</c:v>
                </c:pt>
                <c:pt idx="150">
                  <c:v>47.881714413235258</c:v>
                </c:pt>
                <c:pt idx="151">
                  <c:v>47.518695147326326</c:v>
                </c:pt>
                <c:pt idx="152">
                  <c:v>47.156862399496035</c:v>
                </c:pt>
                <c:pt idx="153">
                  <c:v>46.796261854712839</c:v>
                </c:pt>
                <c:pt idx="154">
                  <c:v>46.436939281128168</c:v>
                </c:pt>
                <c:pt idx="155">
                  <c:v>46.078940472005776</c:v>
                </c:pt>
                <c:pt idx="156">
                  <c:v>45.722311182360087</c:v>
                </c:pt>
                <c:pt idx="157">
                  <c:v>45.367097060367385</c:v>
                </c:pt>
                <c:pt idx="158">
                  <c:v>45.013343573655327</c:v>
                </c:pt>
                <c:pt idx="159">
                  <c:v>44.661095930622203</c:v>
                </c:pt>
                <c:pt idx="160">
                  <c:v>44.310398996985981</c:v>
                </c:pt>
                <c:pt idx="161">
                  <c:v>43.961297207812422</c:v>
                </c:pt>
                <c:pt idx="162">
                  <c:v>43.613834475325092</c:v>
                </c:pt>
                <c:pt idx="163">
                  <c:v>43.268054092849226</c:v>
                </c:pt>
                <c:pt idx="164">
                  <c:v>42.923998635300329</c:v>
                </c:pt>
                <c:pt idx="165">
                  <c:v>42.581709856674323</c:v>
                </c:pt>
                <c:pt idx="166">
                  <c:v>42.241228585053733</c:v>
                </c:pt>
                <c:pt idx="167">
                  <c:v>41.902594615690077</c:v>
                </c:pt>
                <c:pt idx="168">
                  <c:v>41.565846602771103</c:v>
                </c:pt>
                <c:pt idx="169">
                  <c:v>41.23102195052514</c:v>
                </c:pt>
                <c:pt idx="170">
                  <c:v>40.89815670435172</c:v>
                </c:pt>
                <c:pt idx="171">
                  <c:v>40.56728544270203</c:v>
                </c:pt>
                <c:pt idx="172">
                  <c:v>40.238441170458671</c:v>
                </c:pt>
                <c:pt idx="173">
                  <c:v>39.911655214583412</c:v>
                </c:pt>
                <c:pt idx="174">
                  <c:v>39.586957122814525</c:v>
                </c:pt>
                <c:pt idx="175">
                  <c:v>39.264374566195428</c:v>
                </c:pt>
                <c:pt idx="176">
                  <c:v>38.943933246213348</c:v>
                </c:pt>
                <c:pt idx="177">
                  <c:v>38.625656807310143</c:v>
                </c:pt>
                <c:pt idx="178">
                  <c:v>38.309566755500256</c:v>
                </c:pt>
                <c:pt idx="179">
                  <c:v>37.995682383801565</c:v>
                </c:pt>
                <c:pt idx="180">
                  <c:v>37.684020705133271</c:v>
                </c:pt>
                <c:pt idx="181">
                  <c:v>37.374596393289707</c:v>
                </c:pt>
                <c:pt idx="182">
                  <c:v>37.067421732531621</c:v>
                </c:pt>
                <c:pt idx="183">
                  <c:v>36.762506576268841</c:v>
                </c:pt>
                <c:pt idx="184">
                  <c:v>36.459858315233916</c:v>
                </c:pt>
                <c:pt idx="185">
                  <c:v>36.159481855460001</c:v>
                </c:pt>
                <c:pt idx="186">
                  <c:v>35.861379606292815</c:v>
                </c:pt>
                <c:pt idx="187">
                  <c:v>35.565551478574548</c:v>
                </c:pt>
                <c:pt idx="188">
                  <c:v>35.271994893045118</c:v>
                </c:pt>
                <c:pt idx="189">
                  <c:v>34.980704798914232</c:v>
                </c:pt>
                <c:pt idx="190">
                  <c:v>34.69167370246366</c:v>
                </c:pt>
                <c:pt idx="191">
                  <c:v>34.404891705451298</c:v>
                </c:pt>
                <c:pt idx="192">
                  <c:v>34.120346553000303</c:v>
                </c:pt>
                <c:pt idx="193">
                  <c:v>33.838023690576456</c:v>
                </c:pt>
                <c:pt idx="194">
                  <c:v>33.557906329579779</c:v>
                </c:pt>
                <c:pt idx="195">
                  <c:v>33.279975521009526</c:v>
                </c:pt>
                <c:pt idx="196">
                  <c:v>33.004210236600002</c:v>
                </c:pt>
                <c:pt idx="197">
                  <c:v>32.730587456773208</c:v>
                </c:pt>
                <c:pt idx="198">
                  <c:v>32.459082264710901</c:v>
                </c:pt>
                <c:pt idx="199">
                  <c:v>32.189667945815835</c:v>
                </c:pt>
                <c:pt idx="200">
                  <c:v>31.922316091808035</c:v>
                </c:pt>
                <c:pt idx="201">
                  <c:v>31.656996708687085</c:v>
                </c:pt>
                <c:pt idx="202">
                  <c:v>31.393678327787864</c:v>
                </c:pt>
                <c:pt idx="203">
                  <c:v>31.1323281191593</c:v>
                </c:pt>
                <c:pt idx="204">
                  <c:v>30.87291200651007</c:v>
                </c:pt>
                <c:pt idx="205">
                  <c:v>30.615394782985106</c:v>
                </c:pt>
                <c:pt idx="206">
                  <c:v>30.359740227062829</c:v>
                </c:pt>
                <c:pt idx="207">
                  <c:v>30.105911217898029</c:v>
                </c:pt>
                <c:pt idx="208">
                  <c:v>29.85386984947538</c:v>
                </c:pt>
                <c:pt idx="209">
                  <c:v>29.603577542979281</c:v>
                </c:pt>
                <c:pt idx="210">
                  <c:v>29.354995156835344</c:v>
                </c:pt>
                <c:pt idx="211">
                  <c:v>29.108083093928933</c:v>
                </c:pt>
                <c:pt idx="212">
                  <c:v>28.862801405555615</c:v>
                </c:pt>
                <c:pt idx="213">
                  <c:v>28.619109891713059</c:v>
                </c:pt>
                <c:pt idx="214">
                  <c:v>28.376968197397186</c:v>
                </c:pt>
                <c:pt idx="215">
                  <c:v>28.136335904616065</c:v>
                </c:pt>
                <c:pt idx="216">
                  <c:v>27.897172619888202</c:v>
                </c:pt>
                <c:pt idx="217">
                  <c:v>27.659438057040667</c:v>
                </c:pt>
                <c:pt idx="218">
                  <c:v>27.423092115169581</c:v>
                </c:pt>
                <c:pt idx="219">
                  <c:v>27.188094951672671</c:v>
                </c:pt>
                <c:pt idx="220">
                  <c:v>26.954407050302454</c:v>
                </c:pt>
                <c:pt idx="221">
                  <c:v>26.72198928423073</c:v>
                </c:pt>
                <c:pt idx="222">
                  <c:v>26.490802974148885</c:v>
                </c:pt>
                <c:pt idx="223">
                  <c:v>26.260809941460813</c:v>
                </c:pt>
                <c:pt idx="224">
                  <c:v>26.031972556656157</c:v>
                </c:pt>
                <c:pt idx="225">
                  <c:v>25.804253782974325</c:v>
                </c:pt>
                <c:pt idx="226">
                  <c:v>25.577617215494186</c:v>
                </c:pt>
                <c:pt idx="227">
                  <c:v>25.352027115801171</c:v>
                </c:pt>
                <c:pt idx="228">
                  <c:v>25.127448442402102</c:v>
                </c:pt>
                <c:pt idx="229">
                  <c:v>24.903846877067469</c:v>
                </c:pt>
                <c:pt idx="230">
                  <c:v>24.681188847293306</c:v>
                </c:pt>
                <c:pt idx="231">
                  <c:v>24.459441545082331</c:v>
                </c:pt>
                <c:pt idx="232">
                  <c:v>24.238572942246751</c:v>
                </c:pt>
                <c:pt idx="233">
                  <c:v>24.018551802441216</c:v>
                </c:pt>
                <c:pt idx="234">
                  <c:v>23.799347690133171</c:v>
                </c:pt>
                <c:pt idx="235">
                  <c:v>23.580930976717514</c:v>
                </c:pt>
                <c:pt idx="236">
                  <c:v>23.363272843981168</c:v>
                </c:pt>
                <c:pt idx="237">
                  <c:v>23.146345285118478</c:v>
                </c:pt>
                <c:pt idx="238">
                  <c:v>22.930121103493811</c:v>
                </c:pt>
                <c:pt idx="239">
                  <c:v>22.714573909342764</c:v>
                </c:pt>
                <c:pt idx="240">
                  <c:v>22.499678114595923</c:v>
                </c:pt>
                <c:pt idx="241">
                  <c:v>22.285408926002926</c:v>
                </c:pt>
                <c:pt idx="242">
                  <c:v>22.071742336725695</c:v>
                </c:pt>
                <c:pt idx="243">
                  <c:v>21.858655116563686</c:v>
                </c:pt>
                <c:pt idx="244">
                  <c:v>21.646124800963165</c:v>
                </c:pt>
                <c:pt idx="245">
                  <c:v>21.434129678956708</c:v>
                </c:pt>
                <c:pt idx="246">
                  <c:v>21.222648780169745</c:v>
                </c:pt>
                <c:pt idx="247">
                  <c:v>21.011661861020556</c:v>
                </c:pt>
                <c:pt idx="248">
                  <c:v>20.801149390235967</c:v>
                </c:pt>
                <c:pt idx="249">
                  <c:v>20.591092533792228</c:v>
                </c:pt>
                <c:pt idx="250">
                  <c:v>20.381473139387275</c:v>
                </c:pt>
                <c:pt idx="251">
                  <c:v>20.172273720537191</c:v>
                </c:pt>
                <c:pt idx="252">
                  <c:v>19.963477440388704</c:v>
                </c:pt>
                <c:pt idx="253">
                  <c:v>19.755068095326369</c:v>
                </c:pt>
                <c:pt idx="254">
                  <c:v>19.547030098450627</c:v>
                </c:pt>
                <c:pt idx="255">
                  <c:v>19.339348462993485</c:v>
                </c:pt>
                <c:pt idx="256">
                  <c:v>19.132008785734829</c:v>
                </c:pt>
                <c:pt idx="257">
                  <c:v>18.924997230473888</c:v>
                </c:pt>
                <c:pt idx="258">
                  <c:v>18.718300511607261</c:v>
                </c:pt>
                <c:pt idx="259">
                  <c:v>18.511905877857838</c:v>
                </c:pt>
                <c:pt idx="260">
                  <c:v>18.305801096196582</c:v>
                </c:pt>
                <c:pt idx="261">
                  <c:v>18.099974435990436</c:v>
                </c:pt>
                <c:pt idx="262">
                  <c:v>17.894414653411243</c:v>
                </c:pt>
                <c:pt idx="263">
                  <c:v>17.68911097613006</c:v>
                </c:pt>
                <c:pt idx="264">
                  <c:v>17.484053088324703</c:v>
                </c:pt>
                <c:pt idx="265">
                  <c:v>17.27923111601805</c:v>
                </c:pt>
                <c:pt idx="266">
                  <c:v>17.074635612767651</c:v>
                </c:pt>
                <c:pt idx="267">
                  <c:v>16.870257545720268</c:v>
                </c:pt>
                <c:pt idx="268">
                  <c:v>16.666088282044491</c:v>
                </c:pt>
                <c:pt idx="269">
                  <c:v>16.462119575752098</c:v>
                </c:pt>
                <c:pt idx="270">
                  <c:v>16.258343554915889</c:v>
                </c:pt>
                <c:pt idx="271">
                  <c:v>16.054752709290526</c:v>
                </c:pt>
                <c:pt idx="272">
                  <c:v>15.851339878341332</c:v>
                </c:pt>
                <c:pt idx="273">
                  <c:v>15.648098239684805</c:v>
                </c:pt>
                <c:pt idx="274">
                  <c:v>15.445021297940881</c:v>
                </c:pt>
                <c:pt idx="275">
                  <c:v>15.242102874000629</c:v>
                </c:pt>
                <c:pt idx="276">
                  <c:v>15.039337094705932</c:v>
                </c:pt>
                <c:pt idx="277">
                  <c:v>14.836718382943161</c:v>
                </c:pt>
                <c:pt idx="278">
                  <c:v>14.634241448145666</c:v>
                </c:pt>
                <c:pt idx="279">
                  <c:v>14.431901277205599</c:v>
                </c:pt>
                <c:pt idx="280">
                  <c:v>14.229693125789602</c:v>
                </c:pt>
                <c:pt idx="281">
                  <c:v>14.027612510055924</c:v>
                </c:pt>
                <c:pt idx="282">
                  <c:v>13.825655198768754</c:v>
                </c:pt>
                <c:pt idx="283">
                  <c:v>13.62381720580532</c:v>
                </c:pt>
                <c:pt idx="284">
                  <c:v>13.422094783051596</c:v>
                </c:pt>
                <c:pt idx="285">
                  <c:v>13.220484413682023</c:v>
                </c:pt>
                <c:pt idx="286">
                  <c:v>13.018982805817938</c:v>
                </c:pt>
                <c:pt idx="287">
                  <c:v>12.817586886560768</c:v>
                </c:pt>
                <c:pt idx="288">
                  <c:v>12.616293796395103</c:v>
                </c:pt>
                <c:pt idx="289">
                  <c:v>12.415100883956514</c:v>
                </c:pt>
                <c:pt idx="290">
                  <c:v>12.214005701159866</c:v>
                </c:pt>
                <c:pt idx="291">
                  <c:v>12.013005998684294</c:v>
                </c:pt>
                <c:pt idx="292">
                  <c:v>11.812099721809702</c:v>
                </c:pt>
                <c:pt idx="293">
                  <c:v>11.611285006601337</c:v>
                </c:pt>
                <c:pt idx="294">
                  <c:v>11.410560176438398</c:v>
                </c:pt>
                <c:pt idx="295">
                  <c:v>11.209923738883905</c:v>
                </c:pt>
                <c:pt idx="296">
                  <c:v>11.009374382890886</c:v>
                </c:pt>
                <c:pt idx="297">
                  <c:v>10.808910976344322</c:v>
                </c:pt>
                <c:pt idx="298">
                  <c:v>10.608532563933789</c:v>
                </c:pt>
                <c:pt idx="299">
                  <c:v>10.408238365356606</c:v>
                </c:pt>
                <c:pt idx="300">
                  <c:v>10.208027773847538</c:v>
                </c:pt>
                <c:pt idx="301">
                  <c:v>10.007900355035508</c:v>
                </c:pt>
                <c:pt idx="302">
                  <c:v>9.8078558461243279</c:v>
                </c:pt>
                <c:pt idx="303">
                  <c:v>9.6078941553969095</c:v>
                </c:pt>
                <c:pt idx="304">
                  <c:v>9.4080153620436153</c:v>
                </c:pt>
                <c:pt idx="305">
                  <c:v>9.2082197163127475</c:v>
                </c:pt>
                <c:pt idx="306">
                  <c:v>9.0085076399845896</c:v>
                </c:pt>
                <c:pt idx="307">
                  <c:v>8.8088797271692325</c:v>
                </c:pt>
                <c:pt idx="308">
                  <c:v>8.6093367454289496</c:v>
                </c:pt>
                <c:pt idx="309">
                  <c:v>8.4098796372263376</c:v>
                </c:pt>
                <c:pt idx="310">
                  <c:v>8.2105095217005601</c:v>
                </c:pt>
                <c:pt idx="311">
                  <c:v>8.0112276967722966</c:v>
                </c:pt>
                <c:pt idx="312">
                  <c:v>7.8120356415814909</c:v>
                </c:pt>
                <c:pt idx="313">
                  <c:v>7.6129350192587406</c:v>
                </c:pt>
                <c:pt idx="314">
                  <c:v>7.4139276800341793</c:v>
                </c:pt>
                <c:pt idx="315">
                  <c:v>7.2150156646881127</c:v>
                </c:pt>
                <c:pt idx="316">
                  <c:v>7.0162012083439809</c:v>
                </c:pt>
                <c:pt idx="317">
                  <c:v>6.8174867446114131</c:v>
                </c:pt>
                <c:pt idx="318">
                  <c:v>6.6188749100795281</c:v>
                </c:pt>
                <c:pt idx="319">
                  <c:v>6.4203685491675797</c:v>
                </c:pt>
                <c:pt idx="320">
                  <c:v>6.2219707193359985</c:v>
                </c:pt>
                <c:pt idx="321">
                  <c:v>6.0236846966623867</c:v>
                </c:pt>
                <c:pt idx="322">
                  <c:v>5.8255139817882124</c:v>
                </c:pt>
                <c:pt idx="323">
                  <c:v>5.6274623062391456</c:v>
                </c:pt>
                <c:pt idx="324">
                  <c:v>5.4295336391261726</c:v>
                </c:pt>
                <c:pt idx="325">
                  <c:v>5.2317321942296493</c:v>
                </c:pt>
                <c:pt idx="326">
                  <c:v>5.0340624374735166</c:v>
                </c:pt>
                <c:pt idx="327">
                  <c:v>4.8365290947920556</c:v>
                </c:pt>
                <c:pt idx="328">
                  <c:v>4.6391371603951557</c:v>
                </c:pt>
                <c:pt idx="329">
                  <c:v>4.4418919054353818</c:v>
                </c:pt>
                <c:pt idx="330">
                  <c:v>4.2447988870803046</c:v>
                </c:pt>
                <c:pt idx="331">
                  <c:v>4.0478639579945686</c:v>
                </c:pt>
                <c:pt idx="332">
                  <c:v>3.8510932762330166</c:v>
                </c:pt>
                <c:pt idx="333">
                  <c:v>3.6544933155478705</c:v>
                </c:pt>
                <c:pt idx="334">
                  <c:v>3.4580708761110746</c:v>
                </c:pt>
                <c:pt idx="335">
                  <c:v>3.261833095652162</c:v>
                </c:pt>
                <c:pt idx="336">
                  <c:v>3.0657874610120746</c:v>
                </c:pt>
                <c:pt idx="337">
                  <c:v>2.8699418201089126</c:v>
                </c:pt>
                <c:pt idx="338">
                  <c:v>2.6743043943156675</c:v>
                </c:pt>
                <c:pt idx="339">
                  <c:v>2.4788837912433288</c:v>
                </c:pt>
                <c:pt idx="340">
                  <c:v>2.2836890179244103</c:v>
                </c:pt>
                <c:pt idx="341">
                  <c:v>2.0887294943877892</c:v>
                </c:pt>
                <c:pt idx="342">
                  <c:v>1.8940150676169776</c:v>
                </c:pt>
                <c:pt idx="343">
                  <c:v>1.6995560258770979</c:v>
                </c:pt>
                <c:pt idx="344">
                  <c:v>1.5053631133981562</c:v>
                </c:pt>
                <c:pt idx="345">
                  <c:v>1.3114475453959629</c:v>
                </c:pt>
                <c:pt idx="346">
                  <c:v>1.1178210234096437</c:v>
                </c:pt>
                <c:pt idx="347">
                  <c:v>0.92449575093513658</c:v>
                </c:pt>
                <c:pt idx="348">
                  <c:v>0.73148444932355305</c:v>
                </c:pt>
                <c:pt idx="349">
                  <c:v>0.53880037391620994</c:v>
                </c:pt>
                <c:pt idx="350">
                  <c:v>0.34645733038053794</c:v>
                </c:pt>
                <c:pt idx="351">
                  <c:v>0.15446969120636819</c:v>
                </c:pt>
                <c:pt idx="352">
                  <c:v>-3.7147587679841484E-2</c:v>
                </c:pt>
                <c:pt idx="353">
                  <c:v>-0.22837895023470756</c:v>
                </c:pt>
                <c:pt idx="354">
                  <c:v>-0.41920822360381127</c:v>
                </c:pt>
                <c:pt idx="355">
                  <c:v>-0.60961860147711522</c:v>
                </c:pt>
                <c:pt idx="356">
                  <c:v>-0.79959262755812543</c:v>
                </c:pt>
                <c:pt idx="357">
                  <c:v>-0.98911217922243877</c:v>
                </c:pt>
                <c:pt idx="358">
                  <c:v>-1.1781584514440198</c:v>
                </c:pt>
                <c:pt idx="359">
                  <c:v>-1.3667119410775239</c:v>
                </c:pt>
                <c:pt idx="360">
                  <c:v>-1.5547524315903072</c:v>
                </c:pt>
                <c:pt idx="361">
                  <c:v>-1.7422589783475615</c:v>
                </c:pt>
                <c:pt idx="362">
                  <c:v>-1.929209894559837</c:v>
                </c:pt>
                <c:pt idx="363">
                  <c:v>-2.1155827380119079</c:v>
                </c:pt>
                <c:pt idx="364">
                  <c:v>-2.3013542986988229</c:v>
                </c:pt>
                <c:pt idx="365">
                  <c:v>-2.486500587505696</c:v>
                </c:pt>
                <c:pt idx="366">
                  <c:v>-2.6709968260725576</c:v>
                </c:pt>
                <c:pt idx="367">
                  <c:v>-2.8548174379983089</c:v>
                </c:pt>
                <c:pt idx="368">
                  <c:v>-3.0379360415415886</c:v>
                </c:pt>
                <c:pt idx="369">
                  <c:v>-3.2203254439882087</c:v>
                </c:pt>
                <c:pt idx="370">
                  <c:v>-3.4019576378604235</c:v>
                </c:pt>
                <c:pt idx="371">
                  <c:v>-3.5828037991495738</c:v>
                </c:pt>
                <c:pt idx="372">
                  <c:v>-3.7628342877635488</c:v>
                </c:pt>
                <c:pt idx="373">
                  <c:v>-3.9420186503817511</c:v>
                </c:pt>
                <c:pt idx="374">
                  <c:v>-4.1203256259198424</c:v>
                </c:pt>
                <c:pt idx="375">
                  <c:v>-4.297723153805479</c:v>
                </c:pt>
                <c:pt idx="376">
                  <c:v>-4.4741783852729657</c:v>
                </c:pt>
                <c:pt idx="377">
                  <c:v>-4.6496576978825619</c:v>
                </c:pt>
                <c:pt idx="378">
                  <c:v>-4.8241267134707346</c:v>
                </c:pt>
                <c:pt idx="379">
                  <c:v>-4.9975503197349855</c:v>
                </c:pt>
                <c:pt idx="380">
                  <c:v>-5.1698926956514164</c:v>
                </c:pt>
                <c:pt idx="381">
                  <c:v>-5.3411173409163091</c:v>
                </c:pt>
                <c:pt idx="382">
                  <c:v>-5.5111871095937044</c:v>
                </c:pt>
                <c:pt idx="383">
                  <c:v>-5.6800642481370573</c:v>
                </c:pt>
                <c:pt idx="384">
                  <c:v>-5.8477104379391642</c:v>
                </c:pt>
                <c:pt idx="385">
                  <c:v>-6.0140868425457299</c:v>
                </c:pt>
                <c:pt idx="386">
                  <c:v>-6.1791541596446153</c:v>
                </c:pt>
                <c:pt idx="387">
                  <c:v>-6.3428726779201563</c:v>
                </c:pt>
                <c:pt idx="388">
                  <c:v>-6.5052023388312099</c:v>
                </c:pt>
                <c:pt idx="389">
                  <c:v>-6.6661028033408209</c:v>
                </c:pt>
                <c:pt idx="390">
                  <c:v>-6.8255335235901535</c:v>
                </c:pt>
                <c:pt idx="391">
                  <c:v>-6.9834538194696698</c:v>
                </c:pt>
                <c:pt idx="392">
                  <c:v>-7.1398229600001253</c:v>
                </c:pt>
                <c:pt idx="393">
                  <c:v>-7.2946002493896325</c:v>
                </c:pt>
                <c:pt idx="394">
                  <c:v>-7.4477451175886653</c:v>
                </c:pt>
                <c:pt idx="395">
                  <c:v>-7.5992172151101087</c:v>
                </c:pt>
                <c:pt idx="396">
                  <c:v>-7.7489765118380491</c:v>
                </c:pt>
                <c:pt idx="397">
                  <c:v>-7.8969833994881045</c:v>
                </c:pt>
                <c:pt idx="398">
                  <c:v>-8.0431987973362844</c:v>
                </c:pt>
                <c:pt idx="399">
                  <c:v>-8.1875842607756226</c:v>
                </c:pt>
                <c:pt idx="400">
                  <c:v>-8.330102092211586</c:v>
                </c:pt>
                <c:pt idx="401">
                  <c:v>-8.4707154537537459</c:v>
                </c:pt>
                <c:pt idx="402">
                  <c:v>-8.6093884811164365</c:v>
                </c:pt>
                <c:pt idx="403">
                  <c:v>-8.7460863980967147</c:v>
                </c:pt>
                <c:pt idx="404">
                  <c:v>-8.8807756309546644</c:v>
                </c:pt>
                <c:pt idx="405">
                  <c:v>-9.0134239219943169</c:v>
                </c:pt>
                <c:pt idx="406">
                  <c:v>-9.1440004416052947</c:v>
                </c:pt>
                <c:pt idx="407">
                  <c:v>-9.272475898014342</c:v>
                </c:pt>
                <c:pt idx="408">
                  <c:v>-9.3988226439735598</c:v>
                </c:pt>
                <c:pt idx="409">
                  <c:v>-9.5230147796145541</c:v>
                </c:pt>
                <c:pt idx="410">
                  <c:v>-9.6450282506949279</c:v>
                </c:pt>
                <c:pt idx="411">
                  <c:v>-9.7648409414815536</c:v>
                </c:pt>
                <c:pt idx="412">
                  <c:v>-9.8824327615359646</c:v>
                </c:pt>
                <c:pt idx="413">
                  <c:v>-9.9977857256981277</c:v>
                </c:pt>
                <c:pt idx="414">
                  <c:v>-10.110884026609288</c:v>
                </c:pt>
                <c:pt idx="415">
                  <c:v>-10.221714099162192</c:v>
                </c:pt>
                <c:pt idx="416">
                  <c:v>-10.330264676329584</c:v>
                </c:pt>
                <c:pt idx="417">
                  <c:v>-10.436526835887104</c:v>
                </c:pt>
                <c:pt idx="418">
                  <c:v>-10.540494037621729</c:v>
                </c:pt>
                <c:pt idx="419">
                  <c:v>-10.642162150698615</c:v>
                </c:pt>
                <c:pt idx="420">
                  <c:v>-10.741529470943407</c:v>
                </c:pt>
                <c:pt idx="421">
                  <c:v>-10.838596727887328</c:v>
                </c:pt>
                <c:pt idx="422">
                  <c:v>-10.933367081513239</c:v>
                </c:pt>
                <c:pt idx="423">
                  <c:v>-11.025846108734845</c:v>
                </c:pt>
                <c:pt idx="424">
                  <c:v>-11.116041779730461</c:v>
                </c:pt>
                <c:pt idx="425">
                  <c:v>-11.203964424347209</c:v>
                </c:pt>
                <c:pt idx="426">
                  <c:v>-11.289626688873033</c:v>
                </c:pt>
                <c:pt idx="427">
                  <c:v>-11.373043483562771</c:v>
                </c:pt>
                <c:pt idx="428">
                  <c:v>-11.454231921373177</c:v>
                </c:pt>
                <c:pt idx="429">
                  <c:v>-11.533211248438594</c:v>
                </c:pt>
                <c:pt idx="430">
                  <c:v>-11.610002766878466</c:v>
                </c:pt>
                <c:pt idx="431">
                  <c:v>-11.684629750577546</c:v>
                </c:pt>
                <c:pt idx="432">
                  <c:v>-11.757117354631831</c:v>
                </c:pt>
                <c:pt idx="433">
                  <c:v>-11.827492519181888</c:v>
                </c:pt>
                <c:pt idx="434">
                  <c:v>-11.89578386838269</c:v>
                </c:pt>
                <c:pt idx="435">
                  <c:v>-11.962021605277357</c:v>
                </c:pt>
                <c:pt idx="436">
                  <c:v>-12.026237403345711</c:v>
                </c:pt>
                <c:pt idx="437">
                  <c:v>-12.088464295498436</c:v>
                </c:pt>
                <c:pt idx="438">
                  <c:v>-12.148736561274644</c:v>
                </c:pt>
                <c:pt idx="439">
                  <c:v>-12.207089612985575</c:v>
                </c:pt>
                <c:pt idx="440">
                  <c:v>-12.263559881515238</c:v>
                </c:pt>
                <c:pt idx="441">
                  <c:v>-12.318184702463952</c:v>
                </c:pt>
                <c:pt idx="442">
                  <c:v>-12.371002203274916</c:v>
                </c:pt>
                <c:pt idx="443">
                  <c:v>-12.422051191948738</c:v>
                </c:pt>
                <c:pt idx="444">
                  <c:v>-12.471371047897632</c:v>
                </c:pt>
                <c:pt idx="445">
                  <c:v>-12.519001615448422</c:v>
                </c:pt>
                <c:pt idx="446">
                  <c:v>-12.564983100446586</c:v>
                </c:pt>
                <c:pt idx="447">
                  <c:v>-12.609355970364273</c:v>
                </c:pt>
                <c:pt idx="448">
                  <c:v>-12.652160858263777</c:v>
                </c:pt>
                <c:pt idx="449">
                  <c:v>-12.693438470911033</c:v>
                </c:pt>
                <c:pt idx="450">
                  <c:v>-12.733229501287287</c:v>
                </c:pt>
                <c:pt idx="451">
                  <c:v>-12.771574545694618</c:v>
                </c:pt>
                <c:pt idx="452">
                  <c:v>-12.808514025603317</c:v>
                </c:pt>
                <c:pt idx="453">
                  <c:v>-12.844088114345995</c:v>
                </c:pt>
                <c:pt idx="454">
                  <c:v>-12.878336668717161</c:v>
                </c:pt>
                <c:pt idx="455">
                  <c:v>-12.911299165502204</c:v>
                </c:pt>
                <c:pt idx="456">
                  <c:v>-12.943014642918945</c:v>
                </c:pt>
                <c:pt idx="457">
                  <c:v>-12.973521646925978</c:v>
                </c:pt>
                <c:pt idx="458">
                  <c:v>-13.002858182319807</c:v>
                </c:pt>
                <c:pt idx="459">
                  <c:v>-13.031061668518396</c:v>
                </c:pt>
                <c:pt idx="460">
                  <c:v>-13.058168899905255</c:v>
                </c:pt>
                <c:pt idx="461">
                  <c:v>-13.084216010588147</c:v>
                </c:pt>
                <c:pt idx="462">
                  <c:v>-13.109238443412391</c:v>
                </c:pt>
                <c:pt idx="463">
                  <c:v>-13.133270923053198</c:v>
                </c:pt>
                <c:pt idx="464">
                  <c:v>-13.156347432998903</c:v>
                </c:pt>
                <c:pt idx="465">
                  <c:v>-13.17850119623724</c:v>
                </c:pt>
                <c:pt idx="466">
                  <c:v>-13.199764659438024</c:v>
                </c:pt>
                <c:pt idx="467">
                  <c:v>-13.220169480435837</c:v>
                </c:pt>
                <c:pt idx="468">
                  <c:v>-13.239746518804932</c:v>
                </c:pt>
                <c:pt idx="469">
                  <c:v>-13.258525829322593</c:v>
                </c:pt>
                <c:pt idx="470">
                  <c:v>-13.276536658119673</c:v>
                </c:pt>
                <c:pt idx="471">
                  <c:v>-13.293807441318757</c:v>
                </c:pt>
                <c:pt idx="472">
                  <c:v>-13.310365805964823</c:v>
                </c:pt>
                <c:pt idx="473">
                  <c:v>-13.326238573059783</c:v>
                </c:pt>
                <c:pt idx="474">
                  <c:v>-13.341451762515922</c:v>
                </c:pt>
                <c:pt idx="475">
                  <c:v>-13.356030599854119</c:v>
                </c:pt>
                <c:pt idx="476">
                  <c:v>-13.36999952447557</c:v>
                </c:pt>
                <c:pt idx="477">
                  <c:v>-13.383382199346304</c:v>
                </c:pt>
                <c:pt idx="478">
                  <c:v>-13.396201521941688</c:v>
                </c:pt>
                <c:pt idx="479">
                  <c:v>-13.408479636304541</c:v>
                </c:pt>
                <c:pt idx="480">
                  <c:v>-13.420237946080892</c:v>
                </c:pt>
                <c:pt idx="481">
                  <c:v>-13.431497128403795</c:v>
                </c:pt>
                <c:pt idx="482">
                  <c:v>-13.442277148506394</c:v>
                </c:pt>
                <c:pt idx="483">
                  <c:v>-13.45259727494957</c:v>
                </c:pt>
                <c:pt idx="484">
                  <c:v>-13.462476095361852</c:v>
                </c:pt>
                <c:pt idx="485">
                  <c:v>-13.47193153259391</c:v>
                </c:pt>
                <c:pt idx="486">
                  <c:v>-13.480980861198672</c:v>
                </c:pt>
                <c:pt idx="487">
                  <c:v>-13.48964072415508</c:v>
                </c:pt>
                <c:pt idx="488">
                  <c:v>-13.497927149759711</c:v>
                </c:pt>
                <c:pt idx="489">
                  <c:v>-13.505855568619365</c:v>
                </c:pt>
                <c:pt idx="490">
                  <c:v>-13.513440830679572</c:v>
                </c:pt>
                <c:pt idx="491">
                  <c:v>-13.520697222235807</c:v>
                </c:pt>
                <c:pt idx="492">
                  <c:v>-13.527638482873851</c:v>
                </c:pt>
                <c:pt idx="493">
                  <c:v>-13.534277822295298</c:v>
                </c:pt>
                <c:pt idx="494">
                  <c:v>-13.54062793698693</c:v>
                </c:pt>
                <c:pt idx="495">
                  <c:v>-13.546701026698116</c:v>
                </c:pt>
                <c:pt idx="496">
                  <c:v>-13.552508810694546</c:v>
                </c:pt>
                <c:pt idx="497">
                  <c:v>-13.558062543759677</c:v>
                </c:pt>
                <c:pt idx="498">
                  <c:v>-13.56337303192204</c:v>
                </c:pt>
                <c:pt idx="499">
                  <c:v>-13.568450647883857</c:v>
                </c:pt>
                <c:pt idx="500">
                  <c:v>-13.57330534613839</c:v>
                </c:pt>
                <c:pt idx="501">
                  <c:v>-13.577946677756485</c:v>
                </c:pt>
                <c:pt idx="502">
                  <c:v>-13.58238380483365</c:v>
                </c:pt>
                <c:pt idx="503">
                  <c:v>-13.586625514586606</c:v>
                </c:pt>
                <c:pt idx="504">
                  <c:v>-13.590680233092867</c:v>
                </c:pt>
                <c:pt idx="505">
                  <c:v>-13.594556038665635</c:v>
                </c:pt>
                <c:pt idx="506">
                  <c:v>-13.598260674863742</c:v>
                </c:pt>
                <c:pt idx="507">
                  <c:v>-13.601801563132195</c:v>
                </c:pt>
                <c:pt idx="508">
                  <c:v>-13.605185815073167</c:v>
                </c:pt>
                <c:pt idx="509">
                  <c:v>-13.608420244348897</c:v>
                </c:pt>
                <c:pt idx="510">
                  <c:v>-13.611511378217871</c:v>
                </c:pt>
                <c:pt idx="511">
                  <c:v>-13.614465468707408</c:v>
                </c:pt>
                <c:pt idx="512">
                  <c:v>-13.617288503426067</c:v>
                </c:pt>
                <c:pt idx="513">
                  <c:v>-13.619986216021669</c:v>
                </c:pt>
                <c:pt idx="514">
                  <c:v>-13.622564096288041</c:v>
                </c:pt>
                <c:pt idx="515">
                  <c:v>-13.625027399929293</c:v>
                </c:pt>
                <c:pt idx="516">
                  <c:v>-13.627381157985376</c:v>
                </c:pt>
                <c:pt idx="517">
                  <c:v>-13.629630185927034</c:v>
                </c:pt>
                <c:pt idx="518">
                  <c:v>-13.631779092427987</c:v>
                </c:pt>
                <c:pt idx="519">
                  <c:v>-13.633832287819967</c:v>
                </c:pt>
                <c:pt idx="520">
                  <c:v>-13.635793992239938</c:v>
                </c:pt>
                <c:pt idx="521">
                  <c:v>-13.63766824347638</c:v>
                </c:pt>
                <c:pt idx="522">
                  <c:v>-13.639458904523725</c:v>
                </c:pt>
                <c:pt idx="523">
                  <c:v>-13.641169670852026</c:v>
                </c:pt>
                <c:pt idx="524">
                  <c:v>-13.642804077399862</c:v>
                </c:pt>
                <c:pt idx="525">
                  <c:v>-13.644365505299934</c:v>
                </c:pt>
                <c:pt idx="526">
                  <c:v>-13.645857188344463</c:v>
                </c:pt>
                <c:pt idx="527">
                  <c:v>-13.647282219198489</c:v>
                </c:pt>
                <c:pt idx="528">
                  <c:v>-13.648643555369597</c:v>
                </c:pt>
                <c:pt idx="529">
                  <c:v>-13.649944024941302</c:v>
                </c:pt>
                <c:pt idx="530">
                  <c:v>-13.651186332079616</c:v>
                </c:pt>
                <c:pt idx="531">
                  <c:v>-13.652373062317306</c:v>
                </c:pt>
                <c:pt idx="532">
                  <c:v>-13.653506687627123</c:v>
                </c:pt>
                <c:pt idx="533">
                  <c:v>-13.65458957128922</c:v>
                </c:pt>
                <c:pt idx="534">
                  <c:v>-13.655623972559997</c:v>
                </c:pt>
                <c:pt idx="535">
                  <c:v>-13.656612051150505</c:v>
                </c:pt>
                <c:pt idx="536">
                  <c:v>-13.657555871521037</c:v>
                </c:pt>
                <c:pt idx="537">
                  <c:v>-13.658457406998135</c:v>
                </c:pt>
                <c:pt idx="538">
                  <c:v>-13.6593185437209</c:v>
                </c:pt>
                <c:pt idx="539">
                  <c:v>-13.660141084423909</c:v>
                </c:pt>
                <c:pt idx="540">
                  <c:v>-13.660926752061036</c:v>
                </c:pt>
                <c:pt idx="541">
                  <c:v>-13.661677193278447</c:v>
                </c:pt>
              </c:numCache>
            </c:numRef>
          </c:yVal>
          <c:smooth val="1"/>
          <c:extLst>
            <c:ext xmlns:c16="http://schemas.microsoft.com/office/drawing/2014/chart" uri="{C3380CC4-5D6E-409C-BE32-E72D297353CC}">
              <c16:uniqueId val="{00000000-F11A-4C29-9835-786B9CEC5C6A}"/>
            </c:ext>
          </c:extLst>
        </c:ser>
        <c:dLbls>
          <c:showLegendKey val="0"/>
          <c:showVal val="0"/>
          <c:showCatName val="0"/>
          <c:showSerName val="0"/>
          <c:showPercent val="0"/>
          <c:showBubbleSize val="0"/>
        </c:dLbls>
        <c:axId val="555344640"/>
        <c:axId val="555346560"/>
      </c:scatterChart>
      <c:scatterChart>
        <c:scatterStyle val="smoothMarker"/>
        <c:varyColors val="0"/>
        <c:ser>
          <c:idx val="1"/>
          <c:order val="1"/>
          <c:spPr>
            <a:ln w="38100">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Loop_Modeling!$BK$19:$BK$560</c:f>
              <c:numCache>
                <c:formatCode>General</c:formatCode>
                <c:ptCount val="542"/>
                <c:pt idx="0">
                  <c:v>76.56798949561599</c:v>
                </c:pt>
                <c:pt idx="1">
                  <c:v>76.269061135321223</c:v>
                </c:pt>
                <c:pt idx="2">
                  <c:v>75.96411475649073</c:v>
                </c:pt>
                <c:pt idx="3">
                  <c:v>75.65307175329194</c:v>
                </c:pt>
                <c:pt idx="4">
                  <c:v>75.335855420641408</c:v>
                </c:pt>
                <c:pt idx="5">
                  <c:v>75.012391193209595</c:v>
                </c:pt>
                <c:pt idx="6">
                  <c:v>74.682606896642696</c:v>
                </c:pt>
                <c:pt idx="7">
                  <c:v>74.346433011107806</c:v>
                </c:pt>
                <c:pt idx="8">
                  <c:v>74.003802947199304</c:v>
                </c:pt>
                <c:pt idx="9">
                  <c:v>73.654653334187458</c:v>
                </c:pt>
                <c:pt idx="10">
                  <c:v>73.298924320508519</c:v>
                </c:pt>
                <c:pt idx="11">
                  <c:v>72.93655988631923</c:v>
                </c:pt>
                <c:pt idx="12">
                  <c:v>72.567508167844167</c:v>
                </c:pt>
                <c:pt idx="13">
                  <c:v>72.191721793147991</c:v>
                </c:pt>
                <c:pt idx="14">
                  <c:v>71.80915822885639</c:v>
                </c:pt>
                <c:pt idx="15">
                  <c:v>71.419780137230475</c:v>
                </c:pt>
                <c:pt idx="16">
                  <c:v>71.023555742881854</c:v>
                </c:pt>
                <c:pt idx="17">
                  <c:v>70.620459208272734</c:v>
                </c:pt>
                <c:pt idx="18">
                  <c:v>70.210471017013873</c:v>
                </c:pt>
                <c:pt idx="19">
                  <c:v>69.793578363819677</c:v>
                </c:pt>
                <c:pt idx="20">
                  <c:v>69.369775549825377</c:v>
                </c:pt>
                <c:pt idx="21">
                  <c:v>68.939064381818426</c:v>
                </c:pt>
                <c:pt idx="22">
                  <c:v>68.501454573758195</c:v>
                </c:pt>
                <c:pt idx="23">
                  <c:v>68.056964148807737</c:v>
                </c:pt>
                <c:pt idx="24">
                  <c:v>67.605619839919854</c:v>
                </c:pt>
                <c:pt idx="25">
                  <c:v>67.14745748685786</c:v>
                </c:pt>
                <c:pt idx="26">
                  <c:v>66.682522427372433</c:v>
                </c:pt>
                <c:pt idx="27">
                  <c:v>66.210869880080708</c:v>
                </c:pt>
                <c:pt idx="28">
                  <c:v>65.732565316462981</c:v>
                </c:pt>
                <c:pt idx="29">
                  <c:v>65.247684819236696</c:v>
                </c:pt>
                <c:pt idx="30">
                  <c:v>64.756315424246438</c:v>
                </c:pt>
                <c:pt idx="31">
                  <c:v>64.258555442902107</c:v>
                </c:pt>
                <c:pt idx="32">
                  <c:v>63.754514762100229</c:v>
                </c:pt>
                <c:pt idx="33">
                  <c:v>63.244315118505803</c:v>
                </c:pt>
                <c:pt idx="34">
                  <c:v>62.728090344029553</c:v>
                </c:pt>
                <c:pt idx="35">
                  <c:v>62.205986579326002</c:v>
                </c:pt>
                <c:pt idx="36">
                  <c:v>61.67816245216342</c:v>
                </c:pt>
                <c:pt idx="37">
                  <c:v>61.144789217581156</c:v>
                </c:pt>
                <c:pt idx="38">
                  <c:v>60.606050856840021</c:v>
                </c:pt>
                <c:pt idx="39">
                  <c:v>60.062144132321947</c:v>
                </c:pt>
                <c:pt idx="40">
                  <c:v>59.513278595708869</c:v>
                </c:pt>
                <c:pt idx="41">
                  <c:v>58.959676547001791</c:v>
                </c:pt>
                <c:pt idx="42">
                  <c:v>58.401572942204936</c:v>
                </c:pt>
                <c:pt idx="43">
                  <c:v>57.839215247816419</c:v>
                </c:pt>
                <c:pt idx="44">
                  <c:v>57.272863240614171</c:v>
                </c:pt>
                <c:pt idx="45">
                  <c:v>56.702788751621419</c:v>
                </c:pt>
                <c:pt idx="46">
                  <c:v>56.129275353570605</c:v>
                </c:pt>
                <c:pt idx="47">
                  <c:v>55.552617991627649</c:v>
                </c:pt>
                <c:pt idx="48">
                  <c:v>54.973122557650974</c:v>
                </c:pt>
                <c:pt idx="49">
                  <c:v>54.391105408745268</c:v>
                </c:pt>
                <c:pt idx="50">
                  <c:v>53.806892831414388</c:v>
                </c:pt>
                <c:pt idx="51">
                  <c:v>53.220820453132347</c:v>
                </c:pt>
                <c:pt idx="52">
                  <c:v>52.633232603702119</c:v>
                </c:pt>
                <c:pt idx="53">
                  <c:v>52.044481629274422</c:v>
                </c:pt>
                <c:pt idx="54">
                  <c:v>51.454927162430756</c:v>
                </c:pt>
                <c:pt idx="55">
                  <c:v>50.864935352191267</c:v>
                </c:pt>
                <c:pt idx="56">
                  <c:v>50.274878058281764</c:v>
                </c:pt>
                <c:pt idx="57">
                  <c:v>49.685132014380095</c:v>
                </c:pt>
                <c:pt idx="58">
                  <c:v>49.09607796544325</c:v>
                </c:pt>
                <c:pt idx="59">
                  <c:v>48.508099784501624</c:v>
                </c:pt>
                <c:pt idx="60">
                  <c:v>47.921583574560302</c:v>
                </c:pt>
                <c:pt idx="61">
                  <c:v>47.336916761427879</c:v>
                </c:pt>
                <c:pt idx="62">
                  <c:v>46.754487183393245</c:v>
                </c:pt>
                <c:pt idx="63">
                  <c:v>46.17468218371625</c:v>
                </c:pt>
                <c:pt idx="64">
                  <c:v>45.59788771186183</c:v>
                </c:pt>
                <c:pt idx="65">
                  <c:v>45.024487439305723</c:v>
                </c:pt>
                <c:pt idx="66">
                  <c:v>44.454861895556817</c:v>
                </c:pt>
                <c:pt idx="67">
                  <c:v>43.889387629814806</c:v>
                </c:pt>
                <c:pt idx="68">
                  <c:v>43.328436403369444</c:v>
                </c:pt>
                <c:pt idx="69">
                  <c:v>42.772374417496451</c:v>
                </c:pt>
                <c:pt idx="70">
                  <c:v>42.221561581195999</c:v>
                </c:pt>
                <c:pt idx="71">
                  <c:v>41.676350822674863</c:v>
                </c:pt>
                <c:pt idx="72">
                  <c:v>41.137087447986389</c:v>
                </c:pt>
                <c:pt idx="73">
                  <c:v>40.60410854973793</c:v>
                </c:pt>
                <c:pt idx="74">
                  <c:v>40.077742468247081</c:v>
                </c:pt>
                <c:pt idx="75">
                  <c:v>39.55830830699346</c:v>
                </c:pt>
                <c:pt idx="76">
                  <c:v>39.046115503678394</c:v>
                </c:pt>
                <c:pt idx="77">
                  <c:v>38.541463457675029</c:v>
                </c:pt>
                <c:pt idx="78">
                  <c:v>38.044641214130486</c:v>
                </c:pt>
                <c:pt idx="79">
                  <c:v>37.555927204501707</c:v>
                </c:pt>
                <c:pt idx="80">
                  <c:v>37.07558904282093</c:v>
                </c:pt>
                <c:pt idx="81">
                  <c:v>36.603883376564397</c:v>
                </c:pt>
                <c:pt idx="82">
                  <c:v>36.141055790589284</c:v>
                </c:pt>
                <c:pt idx="83">
                  <c:v>35.687340762245213</c:v>
                </c:pt>
                <c:pt idx="84">
                  <c:v>35.242961665446096</c:v>
                </c:pt>
                <c:pt idx="85">
                  <c:v>34.808130821208024</c:v>
                </c:pt>
                <c:pt idx="86">
                  <c:v>34.383049591923132</c:v>
                </c:pt>
                <c:pt idx="87">
                  <c:v>33.967908516452354</c:v>
                </c:pt>
                <c:pt idx="88">
                  <c:v>33.56288748296285</c:v>
                </c:pt>
                <c:pt idx="89">
                  <c:v>33.168155936330656</c:v>
                </c:pt>
                <c:pt idx="90">
                  <c:v>32.783873116856498</c:v>
                </c:pt>
                <c:pt idx="91">
                  <c:v>32.410188327009017</c:v>
                </c:pt>
                <c:pt idx="92">
                  <c:v>32.047241222902791</c:v>
                </c:pt>
                <c:pt idx="93">
                  <c:v>31.695162127255276</c:v>
                </c:pt>
                <c:pt idx="94">
                  <c:v>31.354072360612943</c:v>
                </c:pt>
                <c:pt idx="95">
                  <c:v>31.024084587720345</c:v>
                </c:pt>
                <c:pt idx="96">
                  <c:v>30.705303176005511</c:v>
                </c:pt>
                <c:pt idx="97">
                  <c:v>30.397824563266497</c:v>
                </c:pt>
                <c:pt idx="98">
                  <c:v>30.101737631779521</c:v>
                </c:pt>
                <c:pt idx="99">
                  <c:v>29.817124086183412</c:v>
                </c:pt>
                <c:pt idx="100">
                  <c:v>29.544058832648883</c:v>
                </c:pt>
                <c:pt idx="101">
                  <c:v>29.282610356990446</c:v>
                </c:pt>
                <c:pt idx="102">
                  <c:v>29.032841099539468</c:v>
                </c:pt>
                <c:pt idx="103">
                  <c:v>28.794807824749618</c:v>
                </c:pt>
                <c:pt idx="104">
                  <c:v>28.568561983665255</c:v>
                </c:pt>
                <c:pt idx="105">
                  <c:v>28.354150067536281</c:v>
                </c:pt>
                <c:pt idx="106">
                  <c:v>28.151613951010031</c:v>
                </c:pt>
                <c:pt idx="107">
                  <c:v>27.960991223474718</c:v>
                </c:pt>
                <c:pt idx="108">
                  <c:v>27.782315507268695</c:v>
                </c:pt>
                <c:pt idx="109">
                  <c:v>27.61561676159781</c:v>
                </c:pt>
                <c:pt idx="110">
                  <c:v>27.460921571122391</c:v>
                </c:pt>
                <c:pt idx="111">
                  <c:v>27.318253418299513</c:v>
                </c:pt>
                <c:pt idx="112">
                  <c:v>27.187632938659164</c:v>
                </c:pt>
                <c:pt idx="113">
                  <c:v>27.069078158306116</c:v>
                </c:pt>
                <c:pt idx="114">
                  <c:v>26.9626047130164</c:v>
                </c:pt>
                <c:pt idx="115">
                  <c:v>26.8682260483886</c:v>
                </c:pt>
                <c:pt idx="116">
                  <c:v>26.785953600583003</c:v>
                </c:pt>
                <c:pt idx="117">
                  <c:v>26.715796957250035</c:v>
                </c:pt>
                <c:pt idx="118">
                  <c:v>26.657763998308315</c:v>
                </c:pt>
                <c:pt idx="119">
                  <c:v>26.61186101629611</c:v>
                </c:pt>
                <c:pt idx="120">
                  <c:v>26.578092816063165</c:v>
                </c:pt>
                <c:pt idx="121">
                  <c:v>26.556462793622586</c:v>
                </c:pt>
                <c:pt idx="122">
                  <c:v>26.546972994020486</c:v>
                </c:pt>
                <c:pt idx="123">
                  <c:v>26.549624148124018</c:v>
                </c:pt>
                <c:pt idx="124">
                  <c:v>26.564415688264624</c:v>
                </c:pt>
                <c:pt idx="125">
                  <c:v>26.591345742711376</c:v>
                </c:pt>
                <c:pt idx="126">
                  <c:v>26.630411108980752</c:v>
                </c:pt>
                <c:pt idx="127">
                  <c:v>26.681607206029785</c:v>
                </c:pt>
                <c:pt idx="128">
                  <c:v>26.744928005413698</c:v>
                </c:pt>
                <c:pt idx="129">
                  <c:v>26.820365941527506</c:v>
                </c:pt>
                <c:pt idx="130">
                  <c:v>26.907911801094098</c:v>
                </c:pt>
                <c:pt idx="131">
                  <c:v>27.007554592103908</c:v>
                </c:pt>
                <c:pt idx="132">
                  <c:v>27.119281392462089</c:v>
                </c:pt>
                <c:pt idx="133">
                  <c:v>27.243077178649571</c:v>
                </c:pt>
                <c:pt idx="134">
                  <c:v>27.378924634769515</c:v>
                </c:pt>
                <c:pt idx="135">
                  <c:v>27.526803942405174</c:v>
                </c:pt>
                <c:pt idx="136">
                  <c:v>27.686692551801951</c:v>
                </c:pt>
                <c:pt idx="137">
                  <c:v>27.858564934950142</c:v>
                </c:pt>
                <c:pt idx="138">
                  <c:v>28.042392321242446</c:v>
                </c:pt>
                <c:pt idx="139">
                  <c:v>28.238142416469483</c:v>
                </c:pt>
                <c:pt idx="140">
                  <c:v>28.445779106021998</c:v>
                </c:pt>
                <c:pt idx="141">
                  <c:v>28.66526214327499</c:v>
                </c:pt>
                <c:pt idx="142">
                  <c:v>28.896546824253299</c:v>
                </c:pt>
                <c:pt idx="143">
                  <c:v>29.139583649797707</c:v>
                </c:pt>
                <c:pt idx="144">
                  <c:v>29.394317976593658</c:v>
                </c:pt>
                <c:pt idx="145">
                  <c:v>29.660689658553199</c:v>
                </c:pt>
                <c:pt idx="146">
                  <c:v>29.938632680199746</c:v>
                </c:pt>
                <c:pt idx="147">
                  <c:v>30.228074783846552</c:v>
                </c:pt>
                <c:pt idx="148">
                  <c:v>30.528937092519339</c:v>
                </c:pt>
                <c:pt idx="149">
                  <c:v>30.841133730731354</c:v>
                </c:pt>
                <c:pt idx="150">
                  <c:v>31.164571445373024</c:v>
                </c:pt>
                <c:pt idx="151">
                  <c:v>31.499149229134183</c:v>
                </c:pt>
                <c:pt idx="152">
                  <c:v>31.84475794903156</c:v>
                </c:pt>
                <c:pt idx="153">
                  <c:v>32.201279982756603</c:v>
                </c:pt>
                <c:pt idx="154">
                  <c:v>32.568588865687424</c:v>
                </c:pt>
                <c:pt idx="155">
                  <c:v>32.946548951550753</c:v>
                </c:pt>
                <c:pt idx="156">
                  <c:v>33.335015089800272</c:v>
                </c:pt>
                <c:pt idx="157">
                  <c:v>33.733832322892475</c:v>
                </c:pt>
                <c:pt idx="158">
                  <c:v>34.142835606691129</c:v>
                </c:pt>
                <c:pt idx="159">
                  <c:v>34.561849557281079</c:v>
                </c:pt>
                <c:pt idx="160">
                  <c:v>34.990688227482316</c:v>
                </c:pt>
                <c:pt idx="161">
                  <c:v>35.429154916337851</c:v>
                </c:pt>
                <c:pt idx="162">
                  <c:v>35.877042014795869</c:v>
                </c:pt>
                <c:pt idx="163">
                  <c:v>36.334130890715073</c:v>
                </c:pt>
                <c:pt idx="164">
                  <c:v>36.800191816192395</c:v>
                </c:pt>
                <c:pt idx="165">
                  <c:v>37.274983940041508</c:v>
                </c:pt>
                <c:pt idx="166">
                  <c:v>37.758255308035459</c:v>
                </c:pt>
                <c:pt idx="167">
                  <c:v>38.249742933269282</c:v>
                </c:pt>
                <c:pt idx="168">
                  <c:v>38.74917291870247</c:v>
                </c:pt>
                <c:pt idx="169">
                  <c:v>39.256260633589847</c:v>
                </c:pt>
                <c:pt idx="170">
                  <c:v>39.770710945139776</c:v>
                </c:pt>
                <c:pt idx="171">
                  <c:v>40.292218506307137</c:v>
                </c:pt>
                <c:pt idx="172">
                  <c:v>40.820468100186105</c:v>
                </c:pt>
                <c:pt idx="173">
                  <c:v>41.355135040976286</c:v>
                </c:pt>
                <c:pt idx="174">
                  <c:v>41.89588563099845</c:v>
                </c:pt>
                <c:pt idx="175">
                  <c:v>42.442377672704524</c:v>
                </c:pt>
                <c:pt idx="176">
                  <c:v>42.994261034102536</c:v>
                </c:pt>
                <c:pt idx="177">
                  <c:v>43.551178265470774</c:v>
                </c:pt>
                <c:pt idx="178">
                  <c:v>44.112765264712088</c:v>
                </c:pt>
                <c:pt idx="179">
                  <c:v>44.678651988175332</c:v>
                </c:pt>
                <c:pt idx="180">
                  <c:v>45.248463203280572</c:v>
                </c:pt>
                <c:pt idx="181">
                  <c:v>45.821819278811631</c:v>
                </c:pt>
                <c:pt idx="182">
                  <c:v>46.398337008317426</c:v>
                </c:pt>
                <c:pt idx="183">
                  <c:v>46.977630461680015</c:v>
                </c:pt>
                <c:pt idx="184">
                  <c:v>47.55931185957801</c:v>
                </c:pt>
                <c:pt idx="185">
                  <c:v>48.142992465297922</c:v>
                </c:pt>
                <c:pt idx="186">
                  <c:v>48.728283488153799</c:v>
                </c:pt>
                <c:pt idx="187">
                  <c:v>49.314796992618412</c:v>
                </c:pt>
                <c:pt idx="188">
                  <c:v>49.902146807214017</c:v>
                </c:pt>
                <c:pt idx="189">
                  <c:v>50.489949427208252</c:v>
                </c:pt>
                <c:pt idx="190">
                  <c:v>51.077824905236888</c:v>
                </c:pt>
                <c:pt idx="191">
                  <c:v>51.66539772411835</c:v>
                </c:pt>
                <c:pt idx="192">
                  <c:v>52.252297646337489</c:v>
                </c:pt>
                <c:pt idx="193">
                  <c:v>52.838160534953509</c:v>
                </c:pt>
                <c:pt idx="194">
                  <c:v>53.422629141016166</c:v>
                </c:pt>
                <c:pt idx="195">
                  <c:v>54.005353852962401</c:v>
                </c:pt>
                <c:pt idx="196">
                  <c:v>54.585993403894584</c:v>
                </c:pt>
                <c:pt idx="197">
                  <c:v>55.164215533109505</c:v>
                </c:pt>
                <c:pt idx="198">
                  <c:v>55.739697598743042</c:v>
                </c:pt>
                <c:pt idx="199">
                  <c:v>56.312127138909275</c:v>
                </c:pt>
                <c:pt idx="200">
                  <c:v>56.881202379249586</c:v>
                </c:pt>
                <c:pt idx="201">
                  <c:v>57.446632685331259</c:v>
                </c:pt>
                <c:pt idx="202">
                  <c:v>58.008138958873573</c:v>
                </c:pt>
                <c:pt idx="203">
                  <c:v>58.565453977285991</c:v>
                </c:pt>
                <c:pt idx="204">
                  <c:v>59.118322676514595</c:v>
                </c:pt>
                <c:pt idx="205">
                  <c:v>59.666502377659036</c:v>
                </c:pt>
                <c:pt idx="206">
                  <c:v>60.209762958268158</c:v>
                </c:pt>
                <c:pt idx="207">
                  <c:v>60.747886969638571</c:v>
                </c:pt>
                <c:pt idx="208">
                  <c:v>61.280669701804925</c:v>
                </c:pt>
                <c:pt idx="209">
                  <c:v>61.807919198252129</c:v>
                </c:pt>
                <c:pt idx="210">
                  <c:v>62.329456222656425</c:v>
                </c:pt>
                <c:pt idx="211">
                  <c:v>62.845114180226631</c:v>
                </c:pt>
                <c:pt idx="212">
                  <c:v>63.354738996402517</c:v>
                </c:pt>
                <c:pt idx="213">
                  <c:v>63.858188955835132</c:v>
                </c:pt>
                <c:pt idx="214">
                  <c:v>64.355334504700693</c:v>
                </c:pt>
                <c:pt idx="215">
                  <c:v>64.846058019460784</c:v>
                </c:pt>
                <c:pt idx="216">
                  <c:v>65.330253545240211</c:v>
                </c:pt>
                <c:pt idx="217">
                  <c:v>65.807826506995511</c:v>
                </c:pt>
                <c:pt idx="218">
                  <c:v>66.278693396615765</c:v>
                </c:pt>
                <c:pt idx="219">
                  <c:v>66.742781439060266</c:v>
                </c:pt>
                <c:pt idx="220">
                  <c:v>67.200028240538089</c:v>
                </c:pt>
                <c:pt idx="221">
                  <c:v>67.650381421659461</c:v>
                </c:pt>
                <c:pt idx="222">
                  <c:v>68.093798238345684</c:v>
                </c:pt>
                <c:pt idx="223">
                  <c:v>68.530245193169293</c:v>
                </c:pt>
                <c:pt idx="224">
                  <c:v>68.959697639638236</c:v>
                </c:pt>
                <c:pt idx="225">
                  <c:v>69.38213938178923</c:v>
                </c:pt>
                <c:pt idx="226">
                  <c:v>69.79756227128955</c:v>
                </c:pt>
                <c:pt idx="227">
                  <c:v>70.205965804079256</c:v>
                </c:pt>
                <c:pt idx="228">
                  <c:v>70.60735671842221</c:v>
                </c:pt>
                <c:pt idx="229">
                  <c:v>71.001748596065454</c:v>
                </c:pt>
                <c:pt idx="230">
                  <c:v>71.389161468034075</c:v>
                </c:pt>
                <c:pt idx="231">
                  <c:v>71.769621426438121</c:v>
                </c:pt>
                <c:pt idx="232">
                  <c:v>72.1431602434985</c:v>
                </c:pt>
                <c:pt idx="233">
                  <c:v>72.509814998860961</c:v>
                </c:pt>
                <c:pt idx="234">
                  <c:v>72.869627716107544</c:v>
                </c:pt>
                <c:pt idx="235">
                  <c:v>73.222645009252588</c:v>
                </c:pt>
                <c:pt idx="236">
                  <c:v>73.568917739871068</c:v>
                </c:pt>
                <c:pt idx="237">
                  <c:v>73.908500685393363</c:v>
                </c:pt>
                <c:pt idx="238">
                  <c:v>74.241452218983085</c:v>
                </c:pt>
                <c:pt idx="239">
                  <c:v>74.567834001316896</c:v>
                </c:pt>
                <c:pt idx="240">
                  <c:v>74.88771068448564</c:v>
                </c:pt>
                <c:pt idx="241">
                  <c:v>75.201149628154312</c:v>
                </c:pt>
                <c:pt idx="242">
                  <c:v>75.508220628036625</c:v>
                </c:pt>
                <c:pt idx="243">
                  <c:v>75.808995656671158</c:v>
                </c:pt>
                <c:pt idx="244">
                  <c:v>76.103548616427162</c:v>
                </c:pt>
                <c:pt idx="245">
                  <c:v>76.391955104605117</c:v>
                </c:pt>
                <c:pt idx="246">
                  <c:v>76.674292190458274</c:v>
                </c:pt>
                <c:pt idx="247">
                  <c:v>76.950638203910316</c:v>
                </c:pt>
                <c:pt idx="248">
                  <c:v>77.221072535717099</c:v>
                </c:pt>
                <c:pt idx="249">
                  <c:v>77.485675448780796</c:v>
                </c:pt>
                <c:pt idx="250">
                  <c:v>77.744527900310189</c:v>
                </c:pt>
                <c:pt idx="251">
                  <c:v>77.997711374488688</c:v>
                </c:pt>
                <c:pt idx="252">
                  <c:v>78.245307725305508</c:v>
                </c:pt>
                <c:pt idx="253">
                  <c:v>78.487399029186903</c:v>
                </c:pt>
                <c:pt idx="254">
                  <c:v>78.724067447057109</c:v>
                </c:pt>
                <c:pt idx="255">
                  <c:v>78.955395095454321</c:v>
                </c:pt>
                <c:pt idx="256">
                  <c:v>79.181463926320504</c:v>
                </c:pt>
                <c:pt idx="257">
                  <c:v>79.402355615088496</c:v>
                </c:pt>
                <c:pt idx="258">
                  <c:v>79.618151456685908</c:v>
                </c:pt>
                <c:pt idx="259">
                  <c:v>79.828932269082614</c:v>
                </c:pt>
                <c:pt idx="260">
                  <c:v>80.034778304013471</c:v>
                </c:pt>
                <c:pt idx="261">
                  <c:v>80.235769164510884</c:v>
                </c:pt>
                <c:pt idx="262">
                  <c:v>80.431983728896185</c:v>
                </c:pt>
                <c:pt idx="263">
                  <c:v>80.623500080879197</c:v>
                </c:pt>
                <c:pt idx="264">
                  <c:v>80.810395445433016</c:v>
                </c:pt>
                <c:pt idx="265">
                  <c:v>80.992746130114071</c:v>
                </c:pt>
                <c:pt idx="266">
                  <c:v>81.170627471513427</c:v>
                </c:pt>
                <c:pt idx="267">
                  <c:v>81.344113786533597</c:v>
                </c:pt>
                <c:pt idx="268">
                  <c:v>81.513278328195128</c:v>
                </c:pt>
                <c:pt idx="269">
                  <c:v>81.678193245694004</c:v>
                </c:pt>
                <c:pt idx="270">
                  <c:v>81.838929548433569</c:v>
                </c:pt>
                <c:pt idx="271">
                  <c:v>81.995557073775728</c:v>
                </c:pt>
                <c:pt idx="272">
                  <c:v>82.148144458259466</c:v>
                </c:pt>
                <c:pt idx="273">
                  <c:v>82.296759112050751</c:v>
                </c:pt>
                <c:pt idx="274">
                  <c:v>82.44146719639653</c:v>
                </c:pt>
                <c:pt idx="275">
                  <c:v>82.582333603867241</c:v>
                </c:pt>
                <c:pt idx="276">
                  <c:v>82.719421941182333</c:v>
                </c:pt>
                <c:pt idx="277">
                  <c:v>82.852794514422982</c:v>
                </c:pt>
                <c:pt idx="278">
                  <c:v>82.982512316446972</c:v>
                </c:pt>
                <c:pt idx="279">
                  <c:v>83.108635016329913</c:v>
                </c:pt>
                <c:pt idx="280">
                  <c:v>83.231220950664763</c:v>
                </c:pt>
                <c:pt idx="281">
                  <c:v>83.35032711656234</c:v>
                </c:pt>
                <c:pt idx="282">
                  <c:v>83.466009166203492</c:v>
                </c:pt>
                <c:pt idx="283">
                  <c:v>83.578321402799702</c:v>
                </c:pt>
                <c:pt idx="284">
                  <c:v>83.687316777828997</c:v>
                </c:pt>
                <c:pt idx="285">
                  <c:v>83.793046889421007</c:v>
                </c:pt>
                <c:pt idx="286">
                  <c:v>83.895561981769177</c:v>
                </c:pt>
                <c:pt idx="287">
                  <c:v>83.994910945459296</c:v>
                </c:pt>
                <c:pt idx="288">
                  <c:v>84.091141318605224</c:v>
                </c:pt>
                <c:pt idx="289">
                  <c:v>84.184299288691719</c:v>
                </c:pt>
                <c:pt idx="290">
                  <c:v>84.274429695028019</c:v>
                </c:pt>
                <c:pt idx="291">
                  <c:v>84.361576031721867</c:v>
                </c:pt>
                <c:pt idx="292">
                  <c:v>84.445780451088069</c:v>
                </c:pt>
                <c:pt idx="293">
                  <c:v>84.527083767410403</c:v>
                </c:pt>
                <c:pt idx="294">
                  <c:v>84.605525460980303</c:v>
                </c:pt>
                <c:pt idx="295">
                  <c:v>84.681143682338572</c:v>
                </c:pt>
                <c:pt idx="296">
                  <c:v>84.753975256651259</c:v>
                </c:pt>
                <c:pt idx="297">
                  <c:v>84.824055688153749</c:v>
                </c:pt>
                <c:pt idx="298">
                  <c:v>84.891419164599682</c:v>
                </c:pt>
                <c:pt idx="299">
                  <c:v>84.956098561655139</c:v>
                </c:pt>
                <c:pt idx="300">
                  <c:v>85.01812544718014</c:v>
                </c:pt>
                <c:pt idx="301">
                  <c:v>85.077530085342829</c:v>
                </c:pt>
                <c:pt idx="302">
                  <c:v>85.134341440512969</c:v>
                </c:pt>
                <c:pt idx="303">
                  <c:v>85.18858718088326</c:v>
                </c:pt>
                <c:pt idx="304">
                  <c:v>85.240293681769799</c:v>
                </c:pt>
                <c:pt idx="305">
                  <c:v>85.289486028543052</c:v>
                </c:pt>
                <c:pt idx="306">
                  <c:v>85.336188019142455</c:v>
                </c:pt>
                <c:pt idx="307">
                  <c:v>85.380422166129321</c:v>
                </c:pt>
                <c:pt idx="308">
                  <c:v>85.422209698232507</c:v>
                </c:pt>
                <c:pt idx="309">
                  <c:v>85.461570561343052</c:v>
                </c:pt>
                <c:pt idx="310">
                  <c:v>85.498523418913749</c:v>
                </c:pt>
                <c:pt idx="311">
                  <c:v>85.533085651720143</c:v>
                </c:pt>
                <c:pt idx="312">
                  <c:v>85.565273356939642</c:v>
                </c:pt>
                <c:pt idx="313">
                  <c:v>85.595101346505032</c:v>
                </c:pt>
                <c:pt idx="314">
                  <c:v>85.622583144689031</c:v>
                </c:pt>
                <c:pt idx="315">
                  <c:v>85.647730984876247</c:v>
                </c:pt>
                <c:pt idx="316">
                  <c:v>85.670555805476525</c:v>
                </c:pt>
                <c:pt idx="317">
                  <c:v>85.691067244936946</c:v>
                </c:pt>
                <c:pt idx="318">
                  <c:v>85.709273635804081</c:v>
                </c:pt>
                <c:pt idx="319">
                  <c:v>85.72518199779131</c:v>
                </c:pt>
                <c:pt idx="320">
                  <c:v>85.738798029802581</c:v>
                </c:pt>
                <c:pt idx="321">
                  <c:v>85.75012610086371</c:v>
                </c:pt>
                <c:pt idx="322">
                  <c:v>85.759169239910833</c:v>
                </c:pt>
                <c:pt idx="323">
                  <c:v>85.765929124384272</c:v>
                </c:pt>
                <c:pt idx="324">
                  <c:v>85.77040606757501</c:v>
                </c:pt>
                <c:pt idx="325">
                  <c:v>85.772599004668251</c:v>
                </c:pt>
                <c:pt idx="326">
                  <c:v>85.772505477428851</c:v>
                </c:pt>
                <c:pt idx="327">
                  <c:v>85.770121617469727</c:v>
                </c:pt>
                <c:pt idx="328">
                  <c:v>85.765442128043972</c:v>
                </c:pt>
                <c:pt idx="329">
                  <c:v>85.758460264299927</c:v>
                </c:pt>
                <c:pt idx="330">
                  <c:v>85.749167811934754</c:v>
                </c:pt>
                <c:pt idx="331">
                  <c:v>85.737555064183496</c:v>
                </c:pt>
                <c:pt idx="332">
                  <c:v>85.723610797076432</c:v>
                </c:pt>
                <c:pt idx="333">
                  <c:v>85.707322242896737</c:v>
                </c:pt>
                <c:pt idx="334">
                  <c:v>85.688675061770653</c:v>
                </c:pt>
                <c:pt idx="335">
                  <c:v>85.667653311317778</c:v>
                </c:pt>
                <c:pt idx="336">
                  <c:v>85.644239414292542</c:v>
                </c:pt>
                <c:pt idx="337">
                  <c:v>85.618414124142831</c:v>
                </c:pt>
                <c:pt idx="338">
                  <c:v>85.590156488414209</c:v>
                </c:pt>
                <c:pt idx="339">
                  <c:v>85.559443809927387</c:v>
                </c:pt>
                <c:pt idx="340">
                  <c:v>85.526251605656668</c:v>
                </c:pt>
                <c:pt idx="341">
                  <c:v>85.49055356323764</c:v>
                </c:pt>
                <c:pt idx="342">
                  <c:v>85.452321495035847</c:v>
                </c:pt>
                <c:pt idx="343">
                  <c:v>85.411525289707967</c:v>
                </c:pt>
                <c:pt idx="344">
                  <c:v>85.368132861191839</c:v>
                </c:pt>
                <c:pt idx="345">
                  <c:v>85.32211009506463</c:v>
                </c:pt>
                <c:pt idx="346">
                  <c:v>85.273420792213955</c:v>
                </c:pt>
                <c:pt idx="347">
                  <c:v>85.222026609774517</c:v>
                </c:pt>
                <c:pt idx="348">
                  <c:v>85.167886999284974</c:v>
                </c:pt>
                <c:pt idx="349">
                  <c:v>85.110959142036521</c:v>
                </c:pt>
                <c:pt idx="350">
                  <c:v>85.051197881588891</c:v>
                </c:pt>
                <c:pt idx="351">
                  <c:v>84.988555653444536</c:v>
                </c:pt>
                <c:pt idx="352">
                  <c:v>84.922982411887006</c:v>
                </c:pt>
                <c:pt idx="353">
                  <c:v>84.85442555400391</c:v>
                </c:pt>
                <c:pt idx="354">
                  <c:v>84.782829840935989</c:v>
                </c:pt>
                <c:pt idx="355">
                  <c:v>84.708137316414522</c:v>
                </c:pt>
                <c:pt idx="356">
                  <c:v>84.630287222675065</c:v>
                </c:pt>
                <c:pt idx="357">
                  <c:v>84.549215913861346</c:v>
                </c:pt>
                <c:pt idx="358">
                  <c:v>84.464856767066237</c:v>
                </c:pt>
                <c:pt idx="359">
                  <c:v>84.377140091192004</c:v>
                </c:pt>
                <c:pt idx="360">
                  <c:v>84.285993033847546</c:v>
                </c:pt>
                <c:pt idx="361">
                  <c:v>84.191339486547264</c:v>
                </c:pt>
                <c:pt idx="362">
                  <c:v>84.093099988521573</c:v>
                </c:pt>
                <c:pt idx="363">
                  <c:v>83.991191629499397</c:v>
                </c:pt>
                <c:pt idx="364">
                  <c:v>83.885527951884484</c:v>
                </c:pt>
                <c:pt idx="365">
                  <c:v>83.776018852803304</c:v>
                </c:pt>
                <c:pt idx="366">
                  <c:v>83.66257048657431</c:v>
                </c:pt>
                <c:pt idx="367">
                  <c:v>83.545085168217796</c:v>
                </c:pt>
                <c:pt idx="368">
                  <c:v>83.423461278703513</c:v>
                </c:pt>
                <c:pt idx="369">
                  <c:v>83.297593172718052</c:v>
                </c:pt>
                <c:pt idx="370">
                  <c:v>83.167371089819071</c:v>
                </c:pt>
                <c:pt idx="371">
                  <c:v>83.032681069941376</c:v>
                </c:pt>
                <c:pt idx="372">
                  <c:v>82.893404874312182</c:v>
                </c:pt>
                <c:pt idx="373">
                  <c:v>82.749419912940937</c:v>
                </c:pt>
                <c:pt idx="374">
                  <c:v>82.600599179952525</c:v>
                </c:pt>
                <c:pt idx="375">
                  <c:v>82.446811198143806</c:v>
                </c:pt>
                <c:pt idx="376">
                  <c:v>82.287919974254095</c:v>
                </c:pt>
                <c:pt idx="377">
                  <c:v>82.123784966554396</c:v>
                </c:pt>
                <c:pt idx="378">
                  <c:v>81.954261066475198</c:v>
                </c:pt>
                <c:pt idx="379">
                  <c:v>81.779198596101665</c:v>
                </c:pt>
                <c:pt idx="380">
                  <c:v>81.598443323477198</c:v>
                </c:pt>
                <c:pt idx="381">
                  <c:v>81.411836497758117</c:v>
                </c:pt>
                <c:pt idx="382">
                  <c:v>81.219214906361927</c:v>
                </c:pt>
                <c:pt idx="383">
                  <c:v>81.020410956337372</c:v>
                </c:pt>
                <c:pt idx="384">
                  <c:v>80.815252782259122</c:v>
                </c:pt>
                <c:pt idx="385">
                  <c:v>80.603564383015296</c:v>
                </c:pt>
                <c:pt idx="386">
                  <c:v>80.385165789893009</c:v>
                </c:pt>
                <c:pt idx="387">
                  <c:v>80.15987326839182</c:v>
                </c:pt>
                <c:pt idx="388">
                  <c:v>79.92749955618973</c:v>
                </c:pt>
                <c:pt idx="389">
                  <c:v>79.687854139659777</c:v>
                </c:pt>
                <c:pt idx="390">
                  <c:v>79.440743571263269</c:v>
                </c:pt>
                <c:pt idx="391">
                  <c:v>79.18597183005383</c:v>
                </c:pt>
                <c:pt idx="392">
                  <c:v>78.923340727392343</c:v>
                </c:pt>
                <c:pt idx="393">
                  <c:v>78.652650359778463</c:v>
                </c:pt>
                <c:pt idx="394">
                  <c:v>78.373699610501731</c:v>
                </c:pt>
                <c:pt idx="395">
                  <c:v>78.086286701522866</c:v>
                </c:pt>
                <c:pt idx="396">
                  <c:v>77.790209796687293</c:v>
                </c:pt>
                <c:pt idx="397">
                  <c:v>77.485267656994992</c:v>
                </c:pt>
                <c:pt idx="398">
                  <c:v>77.171260348225502</c:v>
                </c:pt>
                <c:pt idx="399">
                  <c:v>76.847990000741603</c:v>
                </c:pt>
                <c:pt idx="400">
                  <c:v>76.515261620766481</c:v>
                </c:pt>
                <c:pt idx="401">
                  <c:v>76.172883951854715</c:v>
                </c:pt>
                <c:pt idx="402">
                  <c:v>75.820670384652416</c:v>
                </c:pt>
                <c:pt idx="403">
                  <c:v>75.458439912389721</c:v>
                </c:pt>
                <c:pt idx="404">
                  <c:v>75.086018128839214</c:v>
                </c:pt>
                <c:pt idx="405">
                  <c:v>74.703238264764622</c:v>
                </c:pt>
                <c:pt idx="406">
                  <c:v>74.309942258138264</c:v>
                </c:pt>
                <c:pt idx="407">
                  <c:v>73.905981852655955</c:v>
                </c:pt>
                <c:pt idx="408">
                  <c:v>73.491219718335572</c:v>
                </c:pt>
                <c:pt idx="409">
                  <c:v>73.065530587258309</c:v>
                </c:pt>
                <c:pt idx="410">
                  <c:v>72.628802396806407</c:v>
                </c:pt>
                <c:pt idx="411">
                  <c:v>72.180937432103619</c:v>
                </c:pt>
                <c:pt idx="412">
                  <c:v>71.721853458754268</c:v>
                </c:pt>
                <c:pt idx="413">
                  <c:v>71.251484836465849</c:v>
                </c:pt>
                <c:pt idx="414">
                  <c:v>70.769783603686676</c:v>
                </c:pt>
                <c:pt idx="415">
                  <c:v>70.276720523065265</c:v>
                </c:pt>
                <c:pt idx="416">
                  <c:v>69.772286077303974</c:v>
                </c:pt>
                <c:pt idx="417">
                  <c:v>69.256491404889402</c:v>
                </c:pt>
                <c:pt idx="418">
                  <c:v>68.729369165217861</c:v>
                </c:pt>
                <c:pt idx="419">
                  <c:v>68.190974322812764</c:v>
                </c:pt>
                <c:pt idx="420">
                  <c:v>67.641384840669019</c:v>
                </c:pt>
                <c:pt idx="421">
                  <c:v>67.080702273233427</c:v>
                </c:pt>
                <c:pt idx="422">
                  <c:v>66.509052250178996</c:v>
                </c:pt>
                <c:pt idx="423">
                  <c:v>65.926584842900581</c:v>
                </c:pt>
                <c:pt idx="424">
                  <c:v>65.333474806601316</c:v>
                </c:pt>
                <c:pt idx="425">
                  <c:v>64.729921691889317</c:v>
                </c:pt>
                <c:pt idx="426">
                  <c:v>64.116149820994622</c:v>
                </c:pt>
                <c:pt idx="427">
                  <c:v>63.49240812499734</c:v>
                </c:pt>
                <c:pt idx="428">
                  <c:v>62.858969839833684</c:v>
                </c:pt>
                <c:pt idx="429">
                  <c:v>62.216132060288608</c:v>
                </c:pt>
                <c:pt idx="430">
                  <c:v>61.564215152668048</c:v>
                </c:pt>
                <c:pt idx="431">
                  <c:v>60.903562028343671</c:v>
                </c:pt>
                <c:pt idx="432">
                  <c:v>60.234537281872441</c:v>
                </c:pt>
                <c:pt idx="433">
                  <c:v>59.557526198846027</c:v>
                </c:pt>
                <c:pt idx="434">
                  <c:v>58.872933640062023</c:v>
                </c:pt>
                <c:pt idx="435">
                  <c:v>58.18118280992433</c:v>
                </c:pt>
                <c:pt idx="436">
                  <c:v>57.482713918226622</c:v>
                </c:pt>
                <c:pt idx="437">
                  <c:v>56.777982745580047</c:v>
                </c:pt>
                <c:pt idx="438">
                  <c:v>56.067459123723218</c:v>
                </c:pt>
                <c:pt idx="439">
                  <c:v>55.351625342760727</c:v>
                </c:pt>
                <c:pt idx="440">
                  <c:v>54.630974498040175</c:v>
                </c:pt>
                <c:pt idx="441">
                  <c:v>53.906008789837948</c:v>
                </c:pt>
                <c:pt idx="442">
                  <c:v>53.177237789326398</c:v>
                </c:pt>
                <c:pt idx="443">
                  <c:v>52.445176684406505</c:v>
                </c:pt>
                <c:pt idx="444">
                  <c:v>51.710344518919285</c:v>
                </c:pt>
                <c:pt idx="445">
                  <c:v>50.973262438511576</c:v>
                </c:pt>
                <c:pt idx="446">
                  <c:v>50.2344519560287</c:v>
                </c:pt>
                <c:pt idx="447">
                  <c:v>49.494433248746297</c:v>
                </c:pt>
                <c:pt idx="448">
                  <c:v>48.753723499060698</c:v>
                </c:pt>
                <c:pt idx="449">
                  <c:v>48.012835289438769</c:v>
                </c:pt>
                <c:pt idx="450">
                  <c:v>47.272275061517384</c:v>
                </c:pt>
                <c:pt idx="451">
                  <c:v>46.532541648226321</c:v>
                </c:pt>
                <c:pt idx="452">
                  <c:v>45.794124886749721</c:v>
                </c:pt>
                <c:pt idx="453">
                  <c:v>45.057504319027665</c:v>
                </c:pt>
                <c:pt idx="454">
                  <c:v>44.323147985361793</c:v>
                </c:pt>
                <c:pt idx="455">
                  <c:v>43.591511315543087</c:v>
                </c:pt>
                <c:pt idx="456">
                  <c:v>42.863036120795556</c:v>
                </c:pt>
                <c:pt idx="457">
                  <c:v>42.138149688713888</c:v>
                </c:pt>
                <c:pt idx="458">
                  <c:v>41.417263982325302</c:v>
                </c:pt>
                <c:pt idx="459">
                  <c:v>40.700774943387827</c:v>
                </c:pt>
                <c:pt idx="460">
                  <c:v>39.989061899103341</c:v>
                </c:pt>
                <c:pt idx="461">
                  <c:v>39.282487070551632</c:v>
                </c:pt>
                <c:pt idx="462">
                  <c:v>38.581395180372098</c:v>
                </c:pt>
                <c:pt idx="463">
                  <c:v>37.88611315651665</c:v>
                </c:pt>
                <c:pt idx="464">
                  <c:v>37.196949928281555</c:v>
                </c:pt>
                <c:pt idx="465">
                  <c:v>36.514196310317587</c:v>
                </c:pt>
                <c:pt idx="466">
                  <c:v>35.83812496986603</c:v>
                </c:pt>
                <c:pt idx="467">
                  <c:v>35.168990472139811</c:v>
                </c:pt>
                <c:pt idx="468">
                  <c:v>34.507029398495916</c:v>
                </c:pt>
                <c:pt idx="469">
                  <c:v>33.852460531859585</c:v>
                </c:pt>
                <c:pt idx="470">
                  <c:v>33.205485103763209</c:v>
                </c:pt>
                <c:pt idx="471">
                  <c:v>32.566287097310159</c:v>
                </c:pt>
                <c:pt idx="472">
                  <c:v>31.935033600396491</c:v>
                </c:pt>
                <c:pt idx="473">
                  <c:v>31.311875203607592</c:v>
                </c:pt>
                <c:pt idx="474">
                  <c:v>30.696946437317308</c:v>
                </c:pt>
                <c:pt idx="475">
                  <c:v>30.090366242700306</c:v>
                </c:pt>
                <c:pt idx="476">
                  <c:v>29.492238471554881</c:v>
                </c:pt>
                <c:pt idx="477">
                  <c:v>28.902652410079302</c:v>
                </c:pt>
                <c:pt idx="478">
                  <c:v>28.321683321986495</c:v>
                </c:pt>
                <c:pt idx="479">
                  <c:v>27.749393006627496</c:v>
                </c:pt>
                <c:pt idx="480">
                  <c:v>27.18583036806681</c:v>
                </c:pt>
                <c:pt idx="481">
                  <c:v>26.631031991352426</c:v>
                </c:pt>
                <c:pt idx="482">
                  <c:v>26.085022722521014</c:v>
                </c:pt>
                <c:pt idx="483">
                  <c:v>25.547816249168466</c:v>
                </c:pt>
                <c:pt idx="484">
                  <c:v>25.019415678715021</c:v>
                </c:pt>
                <c:pt idx="485">
                  <c:v>24.499814111774771</c:v>
                </c:pt>
                <c:pt idx="486">
                  <c:v>23.988995208323448</c:v>
                </c:pt>
                <c:pt idx="487">
                  <c:v>23.486933744619638</c:v>
                </c:pt>
                <c:pt idx="488">
                  <c:v>22.993596159093819</c:v>
                </c:pt>
                <c:pt idx="489">
                  <c:v>22.508941085659792</c:v>
                </c:pt>
                <c:pt idx="490">
                  <c:v>22.032919873128396</c:v>
                </c:pt>
                <c:pt idx="491">
                  <c:v>21.565477089624391</c:v>
                </c:pt>
                <c:pt idx="492">
                  <c:v>21.106551011093973</c:v>
                </c:pt>
                <c:pt idx="493">
                  <c:v>20.656074093183378</c:v>
                </c:pt>
                <c:pt idx="494">
                  <c:v>20.213973425931407</c:v>
                </c:pt>
                <c:pt idx="495">
                  <c:v>19.78017117087402</c:v>
                </c:pt>
                <c:pt idx="496">
                  <c:v>19.354584980296966</c:v>
                </c:pt>
                <c:pt idx="497">
                  <c:v>18.937128398498647</c:v>
                </c:pt>
                <c:pt idx="498">
                  <c:v>18.527711245036926</c:v>
                </c:pt>
                <c:pt idx="499">
                  <c:v>18.126239980033478</c:v>
                </c:pt>
                <c:pt idx="500">
                  <c:v>17.732618051694814</c:v>
                </c:pt>
                <c:pt idx="501">
                  <c:v>17.346746226289017</c:v>
                </c:pt>
                <c:pt idx="502">
                  <c:v>16.968522900879659</c:v>
                </c:pt>
                <c:pt idx="503">
                  <c:v>16.59784439917863</c:v>
                </c:pt>
                <c:pt idx="504">
                  <c:v>16.234605250924467</c:v>
                </c:pt>
                <c:pt idx="505">
                  <c:v>15.878698455231802</c:v>
                </c:pt>
                <c:pt idx="506">
                  <c:v>15.530015728395083</c:v>
                </c:pt>
                <c:pt idx="507">
                  <c:v>15.188447736647134</c:v>
                </c:pt>
                <c:pt idx="508">
                  <c:v>14.853884314400636</c:v>
                </c:pt>
                <c:pt idx="509">
                  <c:v>14.526214668506862</c:v>
                </c:pt>
                <c:pt idx="510">
                  <c:v>14.205327569083149</c:v>
                </c:pt>
                <c:pt idx="511">
                  <c:v>13.891111527458852</c:v>
                </c:pt>
                <c:pt idx="512">
                  <c:v>13.583454961793251</c:v>
                </c:pt>
                <c:pt idx="513">
                  <c:v>13.282246350918204</c:v>
                </c:pt>
                <c:pt idx="514">
                  <c:v>12.987374376950195</c:v>
                </c:pt>
                <c:pt idx="515">
                  <c:v>12.698728057210833</c:v>
                </c:pt>
                <c:pt idx="516">
                  <c:v>12.41619686598421</c:v>
                </c:pt>
                <c:pt idx="517">
                  <c:v>12.139670846629782</c:v>
                </c:pt>
                <c:pt idx="518">
                  <c:v>11.869040714553924</c:v>
                </c:pt>
                <c:pt idx="519">
                  <c:v>11.604197951531223</c:v>
                </c:pt>
                <c:pt idx="520">
                  <c:v>11.345034891851062</c:v>
                </c:pt>
                <c:pt idx="521">
                  <c:v>11.091444800748372</c:v>
                </c:pt>
                <c:pt idx="522">
                  <c:v>10.843321945563854</c:v>
                </c:pt>
                <c:pt idx="523">
                  <c:v>10.600561660056792</c:v>
                </c:pt>
                <c:pt idx="524">
                  <c:v>10.363060402284077</c:v>
                </c:pt>
                <c:pt idx="525">
                  <c:v>10.13071580643515</c:v>
                </c:pt>
                <c:pt idx="526">
                  <c:v>9.9034267290014562</c:v>
                </c:pt>
                <c:pt idx="527">
                  <c:v>9.6810932896358537</c:v>
                </c:pt>
                <c:pt idx="528">
                  <c:v>9.463616907048495</c:v>
                </c:pt>
                <c:pt idx="529">
                  <c:v>9.2509003302614357</c:v>
                </c:pt>
                <c:pt idx="530">
                  <c:v>9.0428476655346373</c:v>
                </c:pt>
                <c:pt idx="531">
                  <c:v>8.8393643992568656</c:v>
                </c:pt>
                <c:pt idx="532">
                  <c:v>8.640357417080569</c:v>
                </c:pt>
                <c:pt idx="533">
                  <c:v>8.4457350195650509</c:v>
                </c:pt>
                <c:pt idx="534">
                  <c:v>8.2554069345802468</c:v>
                </c:pt>
                <c:pt idx="535">
                  <c:v>8.0692843267040288</c:v>
                </c:pt>
                <c:pt idx="536">
                  <c:v>7.8872798038411105</c:v>
                </c:pt>
                <c:pt idx="537">
                  <c:v>7.7093074212693899</c:v>
                </c:pt>
                <c:pt idx="538">
                  <c:v>7.5352826833167379</c:v>
                </c:pt>
                <c:pt idx="539">
                  <c:v>7.365122542851263</c:v>
                </c:pt>
                <c:pt idx="540">
                  <c:v>7.1987453987639771</c:v>
                </c:pt>
                <c:pt idx="541">
                  <c:v>7.0360710916065887</c:v>
                </c:pt>
              </c:numCache>
            </c:numRef>
          </c:yVal>
          <c:smooth val="1"/>
          <c:extLst>
            <c:ext xmlns:c16="http://schemas.microsoft.com/office/drawing/2014/chart" uri="{C3380CC4-5D6E-409C-BE32-E72D297353CC}">
              <c16:uniqueId val="{00000001-F11A-4C29-9835-786B9CEC5C6A}"/>
            </c:ext>
          </c:extLst>
        </c:ser>
        <c:dLbls>
          <c:showLegendKey val="0"/>
          <c:showVal val="0"/>
          <c:showCatName val="0"/>
          <c:showSerName val="0"/>
          <c:showPercent val="0"/>
          <c:showBubbleSize val="0"/>
        </c:dLbls>
        <c:axId val="555497728"/>
        <c:axId val="555496192"/>
      </c:scatterChart>
      <c:valAx>
        <c:axId val="555344640"/>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555346560"/>
        <c:crosses val="autoZero"/>
        <c:crossBetween val="midCat"/>
      </c:valAx>
      <c:valAx>
        <c:axId val="555346560"/>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a:solidFill>
                  <a:srgbClr val="FF0000"/>
                </a:solidFill>
              </a:defRPr>
            </a:pPr>
            <a:endParaRPr lang="en-DE"/>
          </a:p>
        </c:txPr>
        <c:crossAx val="555344640"/>
        <c:crosses val="autoZero"/>
        <c:crossBetween val="midCat"/>
        <c:majorUnit val="20"/>
        <c:minorUnit val="10"/>
      </c:valAx>
      <c:valAx>
        <c:axId val="555496192"/>
        <c:scaling>
          <c:orientation val="minMax"/>
          <c:max val="180"/>
          <c:min val="-180"/>
        </c:scaling>
        <c:delete val="0"/>
        <c:axPos val="r"/>
        <c:numFmt formatCode="General" sourceLinked="1"/>
        <c:majorTickMark val="out"/>
        <c:minorTickMark val="none"/>
        <c:tickLblPos val="nextTo"/>
        <c:txPr>
          <a:bodyPr/>
          <a:lstStyle/>
          <a:p>
            <a:pPr>
              <a:defRPr>
                <a:solidFill>
                  <a:schemeClr val="tx1">
                    <a:lumMod val="95000"/>
                    <a:lumOff val="5000"/>
                  </a:schemeClr>
                </a:solidFill>
              </a:defRPr>
            </a:pPr>
            <a:endParaRPr lang="en-DE"/>
          </a:p>
        </c:txPr>
        <c:crossAx val="555497728"/>
        <c:crosses val="max"/>
        <c:crossBetween val="midCat"/>
        <c:majorUnit val="90"/>
        <c:minorUnit val="45"/>
      </c:valAx>
      <c:valAx>
        <c:axId val="555497728"/>
        <c:scaling>
          <c:logBase val="10"/>
          <c:orientation val="minMax"/>
        </c:scaling>
        <c:delete val="1"/>
        <c:axPos val="b"/>
        <c:numFmt formatCode="0.00" sourceLinked="1"/>
        <c:majorTickMark val="out"/>
        <c:minorTickMark val="none"/>
        <c:tickLblPos val="nextTo"/>
        <c:crossAx val="555496192"/>
        <c:crosses val="autoZero"/>
        <c:crossBetween val="midCat"/>
      </c:valAx>
    </c:plotArea>
    <c:plotVisOnly val="1"/>
    <c:dispBlanksAs val="gap"/>
    <c:showDLblsOverMax val="0"/>
  </c:chart>
  <c:printSettings>
    <c:headerFooter/>
    <c:pageMargins b="0.75" l="0.7" r="0.7" t="0.75" header="0.3" footer="0.3"/>
    <c:pageSetup/>
  </c:printSettings>
</c:chartSpace>
</file>

<file path=xl/ctrlProps/ctrlProp1.xml><?xml version="1.0" encoding="utf-8"?>
<formControlPr xmlns="http://schemas.microsoft.com/office/spreadsheetml/2009/9/main" objectType="Spin" dx="20" fmlaLink="$H$8" max="45" noThreeD="1" page="10" val="11"/>
</file>

<file path=xl/drawings/_rels/drawing1.xml.rels><?xml version="1.0" encoding="UTF-8" standalone="yes"?>
<Relationships xmlns="http://schemas.openxmlformats.org/package/2006/relationships"><Relationship Id="rId3" Type="http://schemas.openxmlformats.org/officeDocument/2006/relationships/image" Target="../media/image1.emf"/><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image" Target="../media/image5.png"/><Relationship Id="rId7" Type="http://schemas.openxmlformats.org/officeDocument/2006/relationships/chart" Target="../charts/chart9.xml"/><Relationship Id="rId2" Type="http://schemas.openxmlformats.org/officeDocument/2006/relationships/image" Target="../media/image4.png"/><Relationship Id="rId1" Type="http://schemas.openxmlformats.org/officeDocument/2006/relationships/chart" Target="../charts/chart5.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5.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5.vml.rels><?xml version="1.0" encoding="UTF-8" standalone="yes"?>
<Relationships xmlns="http://schemas.openxmlformats.org/package/2006/relationships"><Relationship Id="rId3" Type="http://schemas.openxmlformats.org/officeDocument/2006/relationships/image" Target="../media/image10.emf"/><Relationship Id="rId2" Type="http://schemas.openxmlformats.org/officeDocument/2006/relationships/image" Target="../media/image9.emf"/><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xdr:from>
      <xdr:col>9</xdr:col>
      <xdr:colOff>75154</xdr:colOff>
      <xdr:row>45</xdr:row>
      <xdr:rowOff>164353</xdr:rowOff>
    </xdr:from>
    <xdr:to>
      <xdr:col>25</xdr:col>
      <xdr:colOff>478118</xdr:colOff>
      <xdr:row>69</xdr:row>
      <xdr:rowOff>182732</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xdr:from>
          <xdr:col>7</xdr:col>
          <xdr:colOff>561975</xdr:colOff>
          <xdr:row>53</xdr:row>
          <xdr:rowOff>0</xdr:rowOff>
        </xdr:from>
        <xdr:to>
          <xdr:col>8</xdr:col>
          <xdr:colOff>9525</xdr:colOff>
          <xdr:row>55</xdr:row>
          <xdr:rowOff>0</xdr:rowOff>
        </xdr:to>
        <xdr:sp macro="" textlink="">
          <xdr:nvSpPr>
            <xdr:cNvPr id="1060" name="Spinner 36" hidden="1">
              <a:extLst>
                <a:ext uri="{63B3BB69-23CF-44E3-9099-C40C66FF867C}">
                  <a14:compatExt spid="_x0000_s1060"/>
                </a:ext>
                <a:ext uri="{FF2B5EF4-FFF2-40B4-BE49-F238E27FC236}">
                  <a16:creationId xmlns:a16="http://schemas.microsoft.com/office/drawing/2014/main" id="{00000000-0008-0000-0000-000024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14</xdr:col>
      <xdr:colOff>508019</xdr:colOff>
      <xdr:row>45</xdr:row>
      <xdr:rowOff>55281</xdr:rowOff>
    </xdr:from>
    <xdr:to>
      <xdr:col>16</xdr:col>
      <xdr:colOff>237584</xdr:colOff>
      <xdr:row>47</xdr:row>
      <xdr:rowOff>124011</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8710725" y="9453281"/>
          <a:ext cx="954741" cy="48708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r>
            <a:rPr lang="en-US" sz="2400" baseline="-25000"/>
            <a:t>IN</a:t>
          </a:r>
          <a:r>
            <a:rPr lang="en-US" sz="2400"/>
            <a:t> =</a:t>
          </a:r>
        </a:p>
      </xdr:txBody>
    </xdr:sp>
    <xdr:clientData/>
  </xdr:twoCellAnchor>
  <xdr:twoCellAnchor>
    <xdr:from>
      <xdr:col>16</xdr:col>
      <xdr:colOff>77712</xdr:colOff>
      <xdr:row>45</xdr:row>
      <xdr:rowOff>64247</xdr:rowOff>
    </xdr:from>
    <xdr:to>
      <xdr:col>17</xdr:col>
      <xdr:colOff>409405</xdr:colOff>
      <xdr:row>47</xdr:row>
      <xdr:rowOff>132978</xdr:rowOff>
    </xdr:to>
    <xdr:sp macro="" textlink="VIN_nom">
      <xdr:nvSpPr>
        <xdr:cNvPr id="3" name="TextBox 2">
          <a:extLst>
            <a:ext uri="{FF2B5EF4-FFF2-40B4-BE49-F238E27FC236}">
              <a16:creationId xmlns:a16="http://schemas.microsoft.com/office/drawing/2014/main" id="{00000000-0008-0000-0000-000003000000}"/>
            </a:ext>
          </a:extLst>
        </xdr:cNvPr>
        <xdr:cNvSpPr txBox="1"/>
      </xdr:nvSpPr>
      <xdr:spPr>
        <a:xfrm>
          <a:off x="9505594" y="9462247"/>
          <a:ext cx="944282" cy="48708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B6E0D9B-34B5-4A81-8CB9-A88F658AFD78}" type="TxLink">
            <a:rPr lang="en-US" sz="2400" b="0" i="0" u="none" strike="noStrike">
              <a:solidFill>
                <a:srgbClr val="000000"/>
              </a:solidFill>
              <a:latin typeface="Calibri"/>
            </a:rPr>
            <a:pPr/>
            <a:t>11</a:t>
          </a:fld>
          <a:endParaRPr lang="en-US" sz="2400"/>
        </a:p>
      </xdr:txBody>
    </xdr:sp>
    <xdr:clientData/>
  </xdr:twoCellAnchor>
  <xdr:twoCellAnchor>
    <xdr:from>
      <xdr:col>17</xdr:col>
      <xdr:colOff>152439</xdr:colOff>
      <xdr:row>45</xdr:row>
      <xdr:rowOff>55281</xdr:rowOff>
    </xdr:from>
    <xdr:to>
      <xdr:col>18</xdr:col>
      <xdr:colOff>505051</xdr:colOff>
      <xdr:row>47</xdr:row>
      <xdr:rowOff>124011</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10192910" y="9453281"/>
          <a:ext cx="965200" cy="48708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p>
      </xdr:txBody>
    </xdr:sp>
    <xdr:clientData/>
  </xdr:twoCellAnchor>
  <xdr:twoCellAnchor>
    <xdr:from>
      <xdr:col>9</xdr:col>
      <xdr:colOff>49696</xdr:colOff>
      <xdr:row>71</xdr:row>
      <xdr:rowOff>55217</xdr:rowOff>
    </xdr:from>
    <xdr:to>
      <xdr:col>25</xdr:col>
      <xdr:colOff>480392</xdr:colOff>
      <xdr:row>93</xdr:row>
      <xdr:rowOff>82826</xdr:rowOff>
    </xdr:to>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118899</xdr:colOff>
      <xdr:row>71</xdr:row>
      <xdr:rowOff>71846</xdr:rowOff>
    </xdr:from>
    <xdr:to>
      <xdr:col>15</xdr:col>
      <xdr:colOff>466899</xdr:colOff>
      <xdr:row>73</xdr:row>
      <xdr:rowOff>79838</xdr:rowOff>
    </xdr:to>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8390464" y="14621629"/>
          <a:ext cx="966435" cy="48838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r>
            <a:rPr lang="en-US" sz="2400" baseline="-25000"/>
            <a:t>IN</a:t>
          </a:r>
          <a:r>
            <a:rPr lang="en-US" sz="2400"/>
            <a:t> =</a:t>
          </a:r>
        </a:p>
      </xdr:txBody>
    </xdr:sp>
    <xdr:clientData/>
  </xdr:twoCellAnchor>
  <xdr:twoCellAnchor>
    <xdr:from>
      <xdr:col>15</xdr:col>
      <xdr:colOff>307027</xdr:colOff>
      <xdr:row>71</xdr:row>
      <xdr:rowOff>80812</xdr:rowOff>
    </xdr:from>
    <xdr:to>
      <xdr:col>17</xdr:col>
      <xdr:colOff>20285</xdr:colOff>
      <xdr:row>73</xdr:row>
      <xdr:rowOff>88805</xdr:rowOff>
    </xdr:to>
    <xdr:sp macro="" textlink="VIN_nom">
      <xdr:nvSpPr>
        <xdr:cNvPr id="9" name="TextBox 8">
          <a:extLst>
            <a:ext uri="{FF2B5EF4-FFF2-40B4-BE49-F238E27FC236}">
              <a16:creationId xmlns:a16="http://schemas.microsoft.com/office/drawing/2014/main" id="{00000000-0008-0000-0000-000009000000}"/>
            </a:ext>
          </a:extLst>
        </xdr:cNvPr>
        <xdr:cNvSpPr txBox="1"/>
      </xdr:nvSpPr>
      <xdr:spPr>
        <a:xfrm>
          <a:off x="9197027" y="14630595"/>
          <a:ext cx="950128" cy="48838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B6E0D9B-34B5-4A81-8CB9-A88F658AFD78}" type="TxLink">
            <a:rPr lang="en-US" sz="2400" b="0" i="0" u="none" strike="noStrike">
              <a:solidFill>
                <a:srgbClr val="000000"/>
              </a:solidFill>
              <a:latin typeface="Calibri"/>
              <a:cs typeface="Calibri"/>
            </a:rPr>
            <a:pPr/>
            <a:t>11</a:t>
          </a:fld>
          <a:endParaRPr lang="en-US" sz="2400"/>
        </a:p>
      </xdr:txBody>
    </xdr:sp>
    <xdr:clientData/>
  </xdr:twoCellAnchor>
  <xdr:twoCellAnchor>
    <xdr:from>
      <xdr:col>16</xdr:col>
      <xdr:colOff>80660</xdr:colOff>
      <xdr:row>71</xdr:row>
      <xdr:rowOff>88411</xdr:rowOff>
    </xdr:from>
    <xdr:to>
      <xdr:col>17</xdr:col>
      <xdr:colOff>433271</xdr:colOff>
      <xdr:row>73</xdr:row>
      <xdr:rowOff>96403</xdr:rowOff>
    </xdr:to>
    <xdr:sp macro="" textlink="">
      <xdr:nvSpPr>
        <xdr:cNvPr id="10" name="TextBox 9">
          <a:extLst>
            <a:ext uri="{FF2B5EF4-FFF2-40B4-BE49-F238E27FC236}">
              <a16:creationId xmlns:a16="http://schemas.microsoft.com/office/drawing/2014/main" id="{00000000-0008-0000-0000-00000A000000}"/>
            </a:ext>
          </a:extLst>
        </xdr:cNvPr>
        <xdr:cNvSpPr txBox="1"/>
      </xdr:nvSpPr>
      <xdr:spPr>
        <a:xfrm>
          <a:off x="9589095" y="14638194"/>
          <a:ext cx="971046" cy="48838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p>
      </xdr:txBody>
    </xdr:sp>
    <xdr:clientData/>
  </xdr:twoCellAnchor>
  <mc:AlternateContent xmlns:mc="http://schemas.openxmlformats.org/markup-compatibility/2006">
    <mc:Choice xmlns:a14="http://schemas.microsoft.com/office/drawing/2010/main" Requires="a14">
      <xdr:twoCellAnchor editAs="oneCell">
        <xdr:from>
          <xdr:col>10</xdr:col>
          <xdr:colOff>397695</xdr:colOff>
          <xdr:row>12</xdr:row>
          <xdr:rowOff>58159</xdr:rowOff>
        </xdr:from>
        <xdr:to>
          <xdr:col>25</xdr:col>
          <xdr:colOff>209669</xdr:colOff>
          <xdr:row>35</xdr:row>
          <xdr:rowOff>134695</xdr:rowOff>
        </xdr:to>
        <xdr:pic>
          <xdr:nvPicPr>
            <xdr:cNvPr id="6" name="Picture 5">
              <a:extLst>
                <a:ext uri="{FF2B5EF4-FFF2-40B4-BE49-F238E27FC236}">
                  <a16:creationId xmlns:a16="http://schemas.microsoft.com/office/drawing/2014/main" id="{00000000-0008-0000-0000-000006000000}"/>
                </a:ext>
              </a:extLst>
            </xdr:cNvPr>
            <xdr:cNvPicPr>
              <a:picLocks noChangeAspect="1"/>
              <a:extLst>
                <a:ext uri="{84589F7E-364E-4C9E-8A38-B11213B215E9}">
                  <a14:cameraTool cellRange="SCH" spid="_x0000_s1108"/>
                </a:ext>
              </a:extLst>
            </xdr:cNvPicPr>
          </xdr:nvPicPr>
          <xdr:blipFill>
            <a:blip xmlns:r="http://schemas.openxmlformats.org/officeDocument/2006/relationships" r:embed="rId3"/>
            <a:stretch>
              <a:fillRect/>
            </a:stretch>
          </xdr:blipFill>
          <xdr:spPr>
            <a:xfrm>
              <a:off x="6348019" y="2691541"/>
              <a:ext cx="8750234" cy="4469018"/>
            </a:xfrm>
            <a:prstGeom prst="rect">
              <a:avLst/>
            </a:prstGeom>
          </xdr:spPr>
        </xdr:pic>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10</xdr:col>
      <xdr:colOff>451597</xdr:colOff>
      <xdr:row>179</xdr:row>
      <xdr:rowOff>177800</xdr:rowOff>
    </xdr:from>
    <xdr:to>
      <xdr:col>16</xdr:col>
      <xdr:colOff>350744</xdr:colOff>
      <xdr:row>182</xdr:row>
      <xdr:rowOff>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1037047" y="33204150"/>
          <a:ext cx="3810747" cy="4400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Need to explain the placement of the Zero</a:t>
          </a:r>
          <a:r>
            <a:rPr lang="en-US" sz="1100" baseline="0"/>
            <a:t> a little bit better. The pole location should also be based on the location of the zero</a:t>
          </a:r>
          <a:endParaRPr lang="en-US" sz="1100"/>
        </a:p>
      </xdr:txBody>
    </xdr:sp>
    <xdr:clientData/>
  </xdr:twoCellAnchor>
  <mc:AlternateContent xmlns:mc="http://schemas.openxmlformats.org/markup-compatibility/2006">
    <mc:Choice xmlns:a14="http://schemas.microsoft.com/office/drawing/2010/main" Requires="a14">
      <xdr:twoCellAnchor editAs="oneCell">
        <xdr:from>
          <xdr:col>8</xdr:col>
          <xdr:colOff>57150</xdr:colOff>
          <xdr:row>110</xdr:row>
          <xdr:rowOff>0</xdr:rowOff>
        </xdr:from>
        <xdr:to>
          <xdr:col>13</xdr:col>
          <xdr:colOff>19050</xdr:colOff>
          <xdr:row>112</xdr:row>
          <xdr:rowOff>28575</xdr:rowOff>
        </xdr:to>
        <xdr:sp macro="" textlink="">
          <xdr:nvSpPr>
            <xdr:cNvPr id="2053" name="Object 5" hidden="1">
              <a:extLst>
                <a:ext uri="{63B3BB69-23CF-44E3-9099-C40C66FF867C}">
                  <a14:compatExt spid="_x0000_s2053"/>
                </a:ext>
                <a:ext uri="{FF2B5EF4-FFF2-40B4-BE49-F238E27FC236}">
                  <a16:creationId xmlns:a16="http://schemas.microsoft.com/office/drawing/2014/main" id="{00000000-0008-0000-0100-000005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9</xdr:col>
      <xdr:colOff>19051</xdr:colOff>
      <xdr:row>149</xdr:row>
      <xdr:rowOff>17931</xdr:rowOff>
    </xdr:from>
    <xdr:to>
      <xdr:col>14</xdr:col>
      <xdr:colOff>583081</xdr:colOff>
      <xdr:row>157</xdr:row>
      <xdr:rowOff>107951</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9994901" y="27335631"/>
          <a:ext cx="3866030" cy="1563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Loop</a:t>
          </a:r>
          <a:r>
            <a:rPr lang="en-US" sz="1100" baseline="0"/>
            <a:t> compensation is calculated for the minimum input voltage. This ensure stability over the input votlage range</a:t>
          </a:r>
        </a:p>
        <a:p>
          <a:endParaRPr lang="en-US" sz="1100" baseline="0"/>
        </a:p>
        <a:p>
          <a:r>
            <a:rPr lang="en-US" sz="1100" b="1" baseline="0"/>
            <a:t>Includes the effect of slope compensation. To help with the calculations the applicaiton note detailing component selection does not include loop compensation</a:t>
          </a:r>
          <a:endParaRPr lang="en-US" sz="1100" b="1"/>
        </a:p>
      </xdr:txBody>
    </xdr:sp>
    <xdr:clientData/>
  </xdr:twoCellAnchor>
  <xdr:twoCellAnchor>
    <xdr:from>
      <xdr:col>3</xdr:col>
      <xdr:colOff>660400</xdr:colOff>
      <xdr:row>182</xdr:row>
      <xdr:rowOff>165100</xdr:rowOff>
    </xdr:from>
    <xdr:to>
      <xdr:col>9</xdr:col>
      <xdr:colOff>311150</xdr:colOff>
      <xdr:row>186</xdr:row>
      <xdr:rowOff>88900</xdr:rowOff>
    </xdr:to>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4794250" y="33928050"/>
          <a:ext cx="5492750" cy="660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Flexible</a:t>
          </a:r>
          <a:r>
            <a:rPr lang="en-US" sz="1100" baseline="0"/>
            <a:t> equations see the MathCad file for these</a:t>
          </a: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76</xdr:col>
      <xdr:colOff>197810</xdr:colOff>
      <xdr:row>6</xdr:row>
      <xdr:rowOff>107149</xdr:rowOff>
    </xdr:from>
    <xdr:to>
      <xdr:col>85</xdr:col>
      <xdr:colOff>2406</xdr:colOff>
      <xdr:row>25</xdr:row>
      <xdr:rowOff>110908</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49</xdr:col>
      <xdr:colOff>228022</xdr:colOff>
      <xdr:row>12</xdr:row>
      <xdr:rowOff>102466</xdr:rowOff>
    </xdr:from>
    <xdr:to>
      <xdr:col>66</xdr:col>
      <xdr:colOff>96573</xdr:colOff>
      <xdr:row>37</xdr:row>
      <xdr:rowOff>156894</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1051560</xdr:colOff>
      <xdr:row>49</xdr:row>
      <xdr:rowOff>45720</xdr:rowOff>
    </xdr:from>
    <xdr:to>
      <xdr:col>25</xdr:col>
      <xdr:colOff>563880</xdr:colOff>
      <xdr:row>73</xdr:row>
      <xdr:rowOff>19050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45</xdr:col>
      <xdr:colOff>186690</xdr:colOff>
      <xdr:row>39</xdr:row>
      <xdr:rowOff>167640</xdr:rowOff>
    </xdr:from>
    <xdr:to>
      <xdr:col>47</xdr:col>
      <xdr:colOff>515248</xdr:colOff>
      <xdr:row>45</xdr:row>
      <xdr:rowOff>69931</xdr:rowOff>
    </xdr:to>
    <xdr:pic>
      <xdr:nvPicPr>
        <xdr:cNvPr id="7" name="Picture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2"/>
        <a:stretch>
          <a:fillRect/>
        </a:stretch>
      </xdr:blipFill>
      <xdr:spPr>
        <a:xfrm>
          <a:off x="21541740" y="5482590"/>
          <a:ext cx="1840230" cy="1045293"/>
        </a:xfrm>
        <a:prstGeom prst="rect">
          <a:avLst/>
        </a:prstGeom>
      </xdr:spPr>
    </xdr:pic>
    <xdr:clientData/>
  </xdr:twoCellAnchor>
  <xdr:twoCellAnchor editAs="oneCell">
    <xdr:from>
      <xdr:col>47</xdr:col>
      <xdr:colOff>247650</xdr:colOff>
      <xdr:row>40</xdr:row>
      <xdr:rowOff>60960</xdr:rowOff>
    </xdr:from>
    <xdr:to>
      <xdr:col>51</xdr:col>
      <xdr:colOff>567929</xdr:colOff>
      <xdr:row>44</xdr:row>
      <xdr:rowOff>129611</xdr:rowOff>
    </xdr:to>
    <xdr:pic>
      <xdr:nvPicPr>
        <xdr:cNvPr id="8" name="Picture 7">
          <a:extLst>
            <a:ext uri="{FF2B5EF4-FFF2-40B4-BE49-F238E27FC236}">
              <a16:creationId xmlns:a16="http://schemas.microsoft.com/office/drawing/2014/main" id="{00000000-0008-0000-0300-000008000000}"/>
            </a:ext>
          </a:extLst>
        </xdr:cNvPr>
        <xdr:cNvPicPr>
          <a:picLocks noChangeAspect="1"/>
        </xdr:cNvPicPr>
      </xdr:nvPicPr>
      <xdr:blipFill>
        <a:blip xmlns:r="http://schemas.openxmlformats.org/officeDocument/2006/relationships" r:embed="rId3"/>
        <a:stretch>
          <a:fillRect/>
        </a:stretch>
      </xdr:blipFill>
      <xdr:spPr>
        <a:xfrm>
          <a:off x="23888700" y="5566410"/>
          <a:ext cx="2758679" cy="830649"/>
        </a:xfrm>
        <a:prstGeom prst="rect">
          <a:avLst/>
        </a:prstGeom>
      </xdr:spPr>
    </xdr:pic>
    <xdr:clientData/>
  </xdr:twoCellAnchor>
  <xdr:twoCellAnchor>
    <xdr:from>
      <xdr:col>44</xdr:col>
      <xdr:colOff>30480</xdr:colOff>
      <xdr:row>49</xdr:row>
      <xdr:rowOff>64770</xdr:rowOff>
    </xdr:from>
    <xdr:to>
      <xdr:col>55</xdr:col>
      <xdr:colOff>144780</xdr:colOff>
      <xdr:row>73</xdr:row>
      <xdr:rowOff>38100</xdr:rowOff>
    </xdr:to>
    <xdr:graphicFrame macro="">
      <xdr:nvGraphicFramePr>
        <xdr:cNvPr id="9" name="Chart 8">
          <a:extLst>
            <a:ext uri="{FF2B5EF4-FFF2-40B4-BE49-F238E27FC236}">
              <a16:creationId xmlns:a16="http://schemas.microsoft.com/office/drawing/2014/main" id="{00000000-0008-0000-03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7620</xdr:colOff>
      <xdr:row>21</xdr:row>
      <xdr:rowOff>121920</xdr:rowOff>
    </xdr:from>
    <xdr:to>
      <xdr:col>26</xdr:col>
      <xdr:colOff>45720</xdr:colOff>
      <xdr:row>45</xdr:row>
      <xdr:rowOff>80010</xdr:rowOff>
    </xdr:to>
    <xdr:graphicFrame macro="">
      <xdr:nvGraphicFramePr>
        <xdr:cNvPr id="10" name="Chart 9">
          <a:extLst>
            <a:ext uri="{FF2B5EF4-FFF2-40B4-BE49-F238E27FC236}">
              <a16:creationId xmlns:a16="http://schemas.microsoft.com/office/drawing/2014/main" id="{00000000-0008-0000-03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8325</xdr:colOff>
      <xdr:row>36</xdr:row>
      <xdr:rowOff>8964</xdr:rowOff>
    </xdr:from>
    <xdr:to>
      <xdr:col>11</xdr:col>
      <xdr:colOff>591031</xdr:colOff>
      <xdr:row>44</xdr:row>
      <xdr:rowOff>131269</xdr:rowOff>
    </xdr:to>
    <xdr:sp macro="" textlink="">
      <xdr:nvSpPr>
        <xdr:cNvPr id="11" name="TextBox 10">
          <a:extLst>
            <a:ext uri="{FF2B5EF4-FFF2-40B4-BE49-F238E27FC236}">
              <a16:creationId xmlns:a16="http://schemas.microsoft.com/office/drawing/2014/main" id="{00000000-0008-0000-0300-00000B000000}"/>
            </a:ext>
          </a:extLst>
        </xdr:cNvPr>
        <xdr:cNvSpPr txBox="1"/>
      </xdr:nvSpPr>
      <xdr:spPr>
        <a:xfrm>
          <a:off x="6289382" y="5952564"/>
          <a:ext cx="2411506" cy="160276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8</xdr:col>
      <xdr:colOff>0</xdr:colOff>
      <xdr:row>53</xdr:row>
      <xdr:rowOff>13855</xdr:rowOff>
    </xdr:from>
    <xdr:to>
      <xdr:col>12</xdr:col>
      <xdr:colOff>83127</xdr:colOff>
      <xdr:row>64</xdr:row>
      <xdr:rowOff>13855</xdr:rowOff>
    </xdr:to>
    <xdr:sp macro="" textlink="">
      <xdr:nvSpPr>
        <xdr:cNvPr id="12" name="TextBox 11">
          <a:extLst>
            <a:ext uri="{FF2B5EF4-FFF2-40B4-BE49-F238E27FC236}">
              <a16:creationId xmlns:a16="http://schemas.microsoft.com/office/drawing/2014/main" id="{00000000-0008-0000-0300-00000C000000}"/>
            </a:ext>
          </a:extLst>
        </xdr:cNvPr>
        <xdr:cNvSpPr txBox="1"/>
      </xdr:nvSpPr>
      <xdr:spPr>
        <a:xfrm>
          <a:off x="6276109" y="8936182"/>
          <a:ext cx="2521527" cy="1981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a:t>
          </a:r>
          <a:r>
            <a:rPr lang="en-US" sz="1100" baseline="0"/>
            <a:t> error amplifier is the same regardless of the mode of operation</a:t>
          </a:r>
        </a:p>
      </xdr:txBody>
    </xdr:sp>
    <xdr:clientData/>
  </xdr:twoCellAnchor>
  <xdr:twoCellAnchor>
    <xdr:from>
      <xdr:col>31</xdr:col>
      <xdr:colOff>313764</xdr:colOff>
      <xdr:row>48</xdr:row>
      <xdr:rowOff>179295</xdr:rowOff>
    </xdr:from>
    <xdr:to>
      <xdr:col>42</xdr:col>
      <xdr:colOff>438673</xdr:colOff>
      <xdr:row>72</xdr:row>
      <xdr:rowOff>152625</xdr:rowOff>
    </xdr:to>
    <xdr:graphicFrame macro="">
      <xdr:nvGraphicFramePr>
        <xdr:cNvPr id="14" name="Chart 13">
          <a:extLst>
            <a:ext uri="{FF2B5EF4-FFF2-40B4-BE49-F238E27FC236}">
              <a16:creationId xmlns:a16="http://schemas.microsoft.com/office/drawing/2014/main" id="{00000000-0008-0000-03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31</xdr:col>
      <xdr:colOff>0</xdr:colOff>
      <xdr:row>22</xdr:row>
      <xdr:rowOff>0</xdr:rowOff>
    </xdr:from>
    <xdr:to>
      <xdr:col>42</xdr:col>
      <xdr:colOff>97865</xdr:colOff>
      <xdr:row>45</xdr:row>
      <xdr:rowOff>144855</xdr:rowOff>
    </xdr:to>
    <xdr:graphicFrame macro="">
      <xdr:nvGraphicFramePr>
        <xdr:cNvPr id="15" name="Chart 14">
          <a:extLst>
            <a:ext uri="{FF2B5EF4-FFF2-40B4-BE49-F238E27FC236}">
              <a16:creationId xmlns:a16="http://schemas.microsoft.com/office/drawing/2014/main" id="{00000000-0008-0000-03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44</xdr:col>
      <xdr:colOff>0</xdr:colOff>
      <xdr:row>22</xdr:row>
      <xdr:rowOff>0</xdr:rowOff>
    </xdr:from>
    <xdr:to>
      <xdr:col>55</xdr:col>
      <xdr:colOff>269688</xdr:colOff>
      <xdr:row>45</xdr:row>
      <xdr:rowOff>144855</xdr:rowOff>
    </xdr:to>
    <xdr:graphicFrame macro="">
      <xdr:nvGraphicFramePr>
        <xdr:cNvPr id="16" name="Chart 15">
          <a:extLst>
            <a:ext uri="{FF2B5EF4-FFF2-40B4-BE49-F238E27FC236}">
              <a16:creationId xmlns:a16="http://schemas.microsoft.com/office/drawing/2014/main" id="{00000000-0008-0000-03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548640</xdr:colOff>
      <xdr:row>8</xdr:row>
      <xdr:rowOff>0</xdr:rowOff>
    </xdr:from>
    <xdr:to>
      <xdr:col>12</xdr:col>
      <xdr:colOff>449580</xdr:colOff>
      <xdr:row>10</xdr:row>
      <xdr:rowOff>123546</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7269480" y="1638300"/>
          <a:ext cx="2948940" cy="489306"/>
        </a:xfrm>
        <a:prstGeom prst="rect">
          <a:avLst/>
        </a:prstGeom>
      </xdr:spPr>
    </xdr:pic>
    <xdr:clientData/>
  </xdr:twoCellAnchor>
  <xdr:twoCellAnchor editAs="oneCell">
    <xdr:from>
      <xdr:col>8</xdr:col>
      <xdr:colOff>7620</xdr:colOff>
      <xdr:row>12</xdr:row>
      <xdr:rowOff>132742</xdr:rowOff>
    </xdr:from>
    <xdr:to>
      <xdr:col>13</xdr:col>
      <xdr:colOff>350520</xdr:colOff>
      <xdr:row>16</xdr:row>
      <xdr:rowOff>76286</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7338060" y="2502562"/>
          <a:ext cx="3390900" cy="675064"/>
        </a:xfrm>
        <a:prstGeom prst="rect">
          <a:avLst/>
        </a:prstGeom>
      </xdr:spPr>
    </xdr:pic>
    <xdr:clientData/>
  </xdr:twoCellAnchor>
  <xdr:twoCellAnchor>
    <xdr:from>
      <xdr:col>6</xdr:col>
      <xdr:colOff>507999</xdr:colOff>
      <xdr:row>37</xdr:row>
      <xdr:rowOff>44824</xdr:rowOff>
    </xdr:from>
    <xdr:to>
      <xdr:col>12</xdr:col>
      <xdr:colOff>530411</xdr:colOff>
      <xdr:row>43</xdr:row>
      <xdr:rowOff>164354</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6716058" y="6940177"/>
          <a:ext cx="3697941" cy="12401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Specific</a:t>
          </a:r>
          <a:r>
            <a:rPr lang="en-US" sz="1100" baseline="0"/>
            <a:t> to the LM5123 and LM5152. See datasheet for details</a:t>
          </a:r>
        </a:p>
        <a:p>
          <a:endParaRPr lang="en-US" sz="1100" baseline="0"/>
        </a:p>
        <a:p>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0</xdr:colOff>
      <xdr:row>2</xdr:row>
      <xdr:rowOff>0</xdr:rowOff>
    </xdr:from>
    <xdr:to>
      <xdr:col>3</xdr:col>
      <xdr:colOff>9157</xdr:colOff>
      <xdr:row>3</xdr:row>
      <xdr:rowOff>0</xdr:rowOff>
    </xdr:to>
    <xdr:graphicFrame macro="">
      <xdr:nvGraphicFramePr>
        <xdr:cNvPr id="3" name="Chart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1</xdr:row>
          <xdr:rowOff>0</xdr:rowOff>
        </xdr:from>
        <xdr:to>
          <xdr:col>2</xdr:col>
          <xdr:colOff>28575</xdr:colOff>
          <xdr:row>2</xdr:row>
          <xdr:rowOff>0</xdr:rowOff>
        </xdr:to>
        <xdr:sp macro="" textlink="">
          <xdr:nvSpPr>
            <xdr:cNvPr id="10242" name="Object 2" hidden="1">
              <a:extLst>
                <a:ext uri="{63B3BB69-23CF-44E3-9099-C40C66FF867C}">
                  <a14:compatExt spid="_x0000_s10242"/>
                </a:ext>
                <a:ext uri="{FF2B5EF4-FFF2-40B4-BE49-F238E27FC236}">
                  <a16:creationId xmlns:a16="http://schemas.microsoft.com/office/drawing/2014/main" id="{00000000-0008-0000-0600-0000022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4</xdr:row>
          <xdr:rowOff>0</xdr:rowOff>
        </xdr:from>
        <xdr:to>
          <xdr:col>2</xdr:col>
          <xdr:colOff>28575</xdr:colOff>
          <xdr:row>5</xdr:row>
          <xdr:rowOff>9525</xdr:rowOff>
        </xdr:to>
        <xdr:sp macro="" textlink="">
          <xdr:nvSpPr>
            <xdr:cNvPr id="10243" name="Object 3" hidden="1">
              <a:extLst>
                <a:ext uri="{63B3BB69-23CF-44E3-9099-C40C66FF867C}">
                  <a14:compatExt spid="_x0000_s10243"/>
                </a:ext>
                <a:ext uri="{FF2B5EF4-FFF2-40B4-BE49-F238E27FC236}">
                  <a16:creationId xmlns:a16="http://schemas.microsoft.com/office/drawing/2014/main" id="{00000000-0008-0000-0600-0000032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6</xdr:row>
          <xdr:rowOff>0</xdr:rowOff>
        </xdr:from>
        <xdr:to>
          <xdr:col>2</xdr:col>
          <xdr:colOff>28575</xdr:colOff>
          <xdr:row>7</xdr:row>
          <xdr:rowOff>9525</xdr:rowOff>
        </xdr:to>
        <xdr:sp macro="" textlink="">
          <xdr:nvSpPr>
            <xdr:cNvPr id="10246" name="Object 6" hidden="1">
              <a:extLst>
                <a:ext uri="{63B3BB69-23CF-44E3-9099-C40C66FF867C}">
                  <a14:compatExt spid="_x0000_s10246"/>
                </a:ext>
                <a:ext uri="{FF2B5EF4-FFF2-40B4-BE49-F238E27FC236}">
                  <a16:creationId xmlns:a16="http://schemas.microsoft.com/office/drawing/2014/main" id="{00000000-0008-0000-0600-0000062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mments" Target="../comments2.xml"/><Relationship Id="rId5" Type="http://schemas.openxmlformats.org/officeDocument/2006/relationships/image" Target="../media/image3.emf"/><Relationship Id="rId4" Type="http://schemas.openxmlformats.org/officeDocument/2006/relationships/oleObject" Target="../embeddings/oleObject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8" Type="http://schemas.openxmlformats.org/officeDocument/2006/relationships/package" Target="../embeddings/Microsoft_Visio_Drawing2.vsdx"/><Relationship Id="rId3" Type="http://schemas.openxmlformats.org/officeDocument/2006/relationships/vmlDrawing" Target="../drawings/vmlDrawing5.vml"/><Relationship Id="rId7" Type="http://schemas.openxmlformats.org/officeDocument/2006/relationships/image" Target="../media/image9.emf"/><Relationship Id="rId2" Type="http://schemas.openxmlformats.org/officeDocument/2006/relationships/drawing" Target="../drawings/drawing7.xml"/><Relationship Id="rId1" Type="http://schemas.openxmlformats.org/officeDocument/2006/relationships/printerSettings" Target="../printerSettings/printerSettings6.bin"/><Relationship Id="rId6" Type="http://schemas.openxmlformats.org/officeDocument/2006/relationships/package" Target="../embeddings/Microsoft_Visio_Drawing1.vsdx"/><Relationship Id="rId5" Type="http://schemas.openxmlformats.org/officeDocument/2006/relationships/image" Target="../media/image8.emf"/><Relationship Id="rId4" Type="http://schemas.openxmlformats.org/officeDocument/2006/relationships/package" Target="../embeddings/Microsoft_Visio_Drawing.vsdx"/><Relationship Id="rId9" Type="http://schemas.openxmlformats.org/officeDocument/2006/relationships/image" Target="../media/image10.emf"/></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pageSetUpPr fitToPage="1"/>
  </sheetPr>
  <dimension ref="A1:AA98"/>
  <sheetViews>
    <sheetView tabSelected="1" topLeftCell="A49" zoomScaleNormal="100" workbookViewId="0">
      <selection activeCell="G21" sqref="G21"/>
    </sheetView>
  </sheetViews>
  <sheetFormatPr baseColWidth="10" defaultColWidth="8.85546875" defaultRowHeight="15" x14ac:dyDescent="0.25"/>
  <cols>
    <col min="1" max="6" width="8.85546875" style="91" customWidth="1"/>
    <col min="7" max="7" width="8.85546875" style="131" customWidth="1"/>
    <col min="8" max="8" width="12" style="91" bestFit="1" customWidth="1"/>
    <col min="9" max="9" width="8.28515625" style="91" bestFit="1" customWidth="1"/>
    <col min="10" max="10" width="4.85546875" style="91" customWidth="1"/>
    <col min="11" max="21" width="8.85546875" style="91" customWidth="1"/>
    <col min="22" max="22" width="7.140625" style="91" customWidth="1"/>
    <col min="23" max="26" width="8.85546875" style="91" customWidth="1"/>
    <col min="27" max="27" width="1.85546875" style="132" customWidth="1"/>
    <col min="28" max="16384" width="8.85546875" style="91"/>
  </cols>
  <sheetData>
    <row r="1" spans="1:27" ht="46.7" customHeight="1" x14ac:dyDescent="0.25">
      <c r="A1" s="87"/>
      <c r="B1" s="87"/>
      <c r="C1" s="87"/>
      <c r="D1" s="87"/>
      <c r="E1" s="88" t="s">
        <v>517</v>
      </c>
      <c r="F1" s="87"/>
      <c r="G1" s="89"/>
      <c r="H1" s="87"/>
      <c r="I1" s="87"/>
      <c r="J1" s="87"/>
      <c r="K1" s="87"/>
      <c r="L1" s="87"/>
      <c r="M1" s="87"/>
      <c r="N1" s="87"/>
      <c r="O1" s="87"/>
      <c r="P1" s="87"/>
      <c r="Q1" s="87"/>
      <c r="R1" s="87"/>
      <c r="S1" s="87"/>
      <c r="T1" s="87"/>
      <c r="U1" s="87"/>
      <c r="V1" s="87"/>
      <c r="W1" s="87"/>
      <c r="X1" s="87"/>
      <c r="Y1" s="87"/>
      <c r="Z1" s="87"/>
      <c r="AA1" s="90"/>
    </row>
    <row r="2" spans="1:27" x14ac:dyDescent="0.25">
      <c r="A2" s="92"/>
      <c r="B2" s="92"/>
      <c r="C2" s="92"/>
      <c r="D2" s="92"/>
      <c r="E2" s="92"/>
      <c r="F2" s="92"/>
      <c r="G2" s="93"/>
      <c r="H2" s="92"/>
      <c r="I2" s="92"/>
      <c r="J2" s="92"/>
      <c r="K2" s="92"/>
      <c r="L2" s="92"/>
      <c r="M2" s="92"/>
      <c r="N2" s="92"/>
      <c r="O2" s="92"/>
      <c r="P2" s="92"/>
      <c r="Q2" s="92"/>
      <c r="R2" s="92"/>
      <c r="S2" s="92"/>
      <c r="T2" s="92"/>
      <c r="U2" s="92"/>
      <c r="V2" s="92"/>
      <c r="W2" s="92"/>
      <c r="X2" s="92"/>
      <c r="Y2" s="92"/>
      <c r="Z2" s="92"/>
      <c r="AA2" s="90"/>
    </row>
    <row r="3" spans="1:27" x14ac:dyDescent="0.25">
      <c r="A3" s="94" t="s">
        <v>1</v>
      </c>
      <c r="B3" s="92"/>
      <c r="C3" s="92"/>
      <c r="D3" s="92"/>
      <c r="E3" s="95"/>
      <c r="F3" s="96" t="s">
        <v>2</v>
      </c>
      <c r="G3" s="93"/>
      <c r="H3" s="92"/>
      <c r="I3" s="92"/>
      <c r="J3" s="92"/>
      <c r="K3" s="92"/>
      <c r="L3" s="92"/>
      <c r="M3" s="92"/>
      <c r="N3" s="92"/>
      <c r="O3" s="97" t="s">
        <v>0</v>
      </c>
      <c r="P3" s="92"/>
      <c r="Q3" s="92"/>
      <c r="R3" s="92"/>
      <c r="S3" s="92"/>
      <c r="T3" s="92"/>
      <c r="U3" s="92"/>
      <c r="V3" s="92"/>
      <c r="W3" s="92"/>
      <c r="X3" s="92"/>
      <c r="Y3" s="92"/>
      <c r="Z3" s="92"/>
      <c r="AA3" s="90"/>
    </row>
    <row r="4" spans="1:27" s="101" customFormat="1" x14ac:dyDescent="0.25">
      <c r="A4" s="98"/>
      <c r="B4" s="98"/>
      <c r="C4" s="98"/>
      <c r="D4" s="98"/>
      <c r="E4" s="98"/>
      <c r="F4" s="98"/>
      <c r="G4" s="99"/>
      <c r="H4" s="98"/>
      <c r="I4" s="98"/>
      <c r="J4" s="98"/>
      <c r="K4" s="98"/>
      <c r="L4" s="98"/>
      <c r="M4" s="98"/>
      <c r="N4" s="98"/>
      <c r="O4" s="98"/>
      <c r="P4" s="98"/>
      <c r="Q4" s="98"/>
      <c r="R4" s="98"/>
      <c r="S4" s="98"/>
      <c r="T4" s="98"/>
      <c r="U4" s="98"/>
      <c r="V4" s="98"/>
      <c r="W4" s="98"/>
      <c r="X4" s="98"/>
      <c r="Y4" s="98"/>
      <c r="Z4" s="98"/>
      <c r="AA4" s="100"/>
    </row>
    <row r="5" spans="1:27" x14ac:dyDescent="0.25">
      <c r="A5" s="102"/>
      <c r="B5" s="102"/>
      <c r="C5" s="102"/>
      <c r="D5" s="102"/>
      <c r="E5" s="102"/>
      <c r="F5" s="102"/>
      <c r="G5" s="103"/>
      <c r="H5" s="102"/>
      <c r="I5" s="102"/>
      <c r="J5" s="102"/>
      <c r="K5" s="102"/>
      <c r="L5" s="102"/>
      <c r="M5" s="102"/>
      <c r="N5" s="102"/>
      <c r="O5" s="102" t="s">
        <v>607</v>
      </c>
      <c r="P5" s="104" t="s">
        <v>608</v>
      </c>
      <c r="Q5" s="102"/>
      <c r="R5" s="102"/>
      <c r="S5" s="102"/>
      <c r="T5" s="102"/>
      <c r="U5" s="102"/>
      <c r="V5" s="102"/>
      <c r="W5" s="102"/>
      <c r="X5" s="102"/>
      <c r="Y5" s="102"/>
      <c r="Z5" s="102"/>
      <c r="AA5" s="90"/>
    </row>
    <row r="6" spans="1:27" ht="15.75" thickBot="1" x14ac:dyDescent="0.3">
      <c r="A6" s="117" t="s">
        <v>3</v>
      </c>
      <c r="B6" s="102"/>
      <c r="C6" s="102"/>
      <c r="D6" s="102"/>
      <c r="E6" s="102"/>
      <c r="F6" s="102"/>
      <c r="G6" s="103"/>
      <c r="H6" s="102"/>
      <c r="I6" s="102"/>
      <c r="J6" s="102"/>
      <c r="K6" s="102"/>
      <c r="L6" s="102"/>
      <c r="M6" s="102"/>
      <c r="N6" s="102"/>
      <c r="O6" s="102"/>
      <c r="P6" s="102"/>
      <c r="Q6" s="102"/>
      <c r="R6" s="102"/>
      <c r="S6" s="102"/>
      <c r="T6" s="102"/>
      <c r="U6" s="102"/>
      <c r="V6" s="102"/>
      <c r="W6" s="102"/>
      <c r="X6" s="102"/>
      <c r="Y6" s="102"/>
      <c r="Z6" s="102"/>
      <c r="AA6" s="90"/>
    </row>
    <row r="7" spans="1:27" x14ac:dyDescent="0.25">
      <c r="A7" s="105"/>
      <c r="B7" s="106"/>
      <c r="C7" s="106"/>
      <c r="D7" s="106"/>
      <c r="E7" s="106"/>
      <c r="F7" s="106"/>
      <c r="G7" s="107" t="s">
        <v>4</v>
      </c>
      <c r="H7" s="133">
        <v>11</v>
      </c>
      <c r="I7" s="108" t="s">
        <v>10</v>
      </c>
      <c r="J7" s="102"/>
      <c r="K7" s="102"/>
      <c r="L7" s="102"/>
      <c r="M7" s="102"/>
      <c r="N7" s="102"/>
      <c r="O7" s="102"/>
      <c r="P7" s="102"/>
      <c r="Q7" s="102"/>
      <c r="R7" s="102"/>
      <c r="S7" s="102"/>
      <c r="T7" s="102"/>
      <c r="U7" s="102"/>
      <c r="V7" s="102"/>
      <c r="W7" s="102"/>
      <c r="X7" s="102"/>
      <c r="Y7" s="102"/>
      <c r="Z7" s="102"/>
      <c r="AA7" s="90"/>
    </row>
    <row r="8" spans="1:27" x14ac:dyDescent="0.25">
      <c r="A8" s="109"/>
      <c r="B8" s="102"/>
      <c r="C8" s="102"/>
      <c r="D8" s="102"/>
      <c r="E8" s="102"/>
      <c r="F8" s="102"/>
      <c r="G8" s="110" t="s">
        <v>5</v>
      </c>
      <c r="H8" s="134">
        <v>11</v>
      </c>
      <c r="I8" s="111" t="s">
        <v>10</v>
      </c>
      <c r="J8" s="102"/>
      <c r="K8" s="102"/>
      <c r="L8" s="102"/>
      <c r="M8" s="102"/>
      <c r="N8" s="102"/>
      <c r="O8" s="102"/>
      <c r="P8" s="102"/>
      <c r="Q8" s="102"/>
      <c r="R8" s="102"/>
      <c r="S8" s="102"/>
      <c r="T8" s="102"/>
      <c r="U8" s="102"/>
      <c r="V8" s="102"/>
      <c r="W8" s="102"/>
      <c r="X8" s="102"/>
      <c r="Y8" s="102"/>
      <c r="Z8" s="102"/>
      <c r="AA8" s="90"/>
    </row>
    <row r="9" spans="1:27" x14ac:dyDescent="0.25">
      <c r="A9" s="109"/>
      <c r="B9" s="102"/>
      <c r="C9" s="102"/>
      <c r="D9" s="102"/>
      <c r="E9" s="102"/>
      <c r="F9" s="102"/>
      <c r="G9" s="110" t="s">
        <v>6</v>
      </c>
      <c r="H9" s="134">
        <v>22</v>
      </c>
      <c r="I9" s="111" t="s">
        <v>10</v>
      </c>
      <c r="J9" s="102"/>
      <c r="K9" s="102"/>
      <c r="L9" s="102"/>
      <c r="M9" s="102"/>
      <c r="N9" s="102"/>
      <c r="O9" s="102"/>
      <c r="P9" s="102"/>
      <c r="Q9" s="102"/>
      <c r="R9" s="102"/>
      <c r="S9" s="102"/>
      <c r="T9" s="102"/>
      <c r="U9" s="102"/>
      <c r="V9" s="102"/>
      <c r="W9" s="102"/>
      <c r="X9" s="102"/>
      <c r="Y9" s="102"/>
      <c r="Z9" s="102"/>
      <c r="AA9" s="90"/>
    </row>
    <row r="10" spans="1:27" x14ac:dyDescent="0.25">
      <c r="A10" s="109"/>
      <c r="B10" s="102"/>
      <c r="C10" s="102"/>
      <c r="D10" s="102"/>
      <c r="E10" s="102"/>
      <c r="F10" s="102"/>
      <c r="G10" s="110" t="s">
        <v>7</v>
      </c>
      <c r="H10" s="134">
        <v>53.5</v>
      </c>
      <c r="I10" s="111" t="s">
        <v>10</v>
      </c>
      <c r="J10" s="102"/>
      <c r="K10" s="102"/>
      <c r="L10" s="102"/>
      <c r="M10" s="102"/>
      <c r="N10" s="102"/>
      <c r="O10" s="102"/>
      <c r="P10" s="102"/>
      <c r="Q10" s="102"/>
      <c r="R10" s="102"/>
      <c r="S10" s="102"/>
      <c r="T10" s="102"/>
      <c r="U10" s="102"/>
      <c r="V10" s="102"/>
      <c r="W10" s="102"/>
      <c r="X10" s="102"/>
      <c r="Y10" s="102"/>
      <c r="Z10" s="102"/>
      <c r="AA10" s="90"/>
    </row>
    <row r="11" spans="1:27" x14ac:dyDescent="0.25">
      <c r="A11" s="109"/>
      <c r="B11" s="102"/>
      <c r="C11" s="102"/>
      <c r="D11" s="102"/>
      <c r="E11" s="102"/>
      <c r="F11" s="102"/>
      <c r="G11" s="110" t="s">
        <v>8</v>
      </c>
      <c r="H11" s="210">
        <v>6</v>
      </c>
      <c r="I11" s="111" t="s">
        <v>11</v>
      </c>
      <c r="J11" s="102"/>
      <c r="K11" s="102"/>
      <c r="L11" s="102"/>
      <c r="M11" s="102"/>
      <c r="N11" s="102"/>
      <c r="O11" s="102"/>
      <c r="P11" s="102"/>
      <c r="Q11" s="102"/>
      <c r="R11" s="102"/>
      <c r="S11" s="102"/>
      <c r="T11" s="102"/>
      <c r="U11" s="102"/>
      <c r="V11" s="102"/>
      <c r="W11" s="102"/>
      <c r="X11" s="102"/>
      <c r="Y11" s="102"/>
      <c r="Z11" s="102"/>
      <c r="AA11" s="90"/>
    </row>
    <row r="12" spans="1:27" x14ac:dyDescent="0.25">
      <c r="A12" s="109"/>
      <c r="B12" s="102"/>
      <c r="C12" s="102"/>
      <c r="D12" s="102"/>
      <c r="E12" s="102"/>
      <c r="F12" s="102"/>
      <c r="G12" s="110" t="s">
        <v>521</v>
      </c>
      <c r="H12" s="211" t="s">
        <v>609</v>
      </c>
      <c r="I12" s="212"/>
      <c r="J12" s="102"/>
      <c r="K12" s="102"/>
      <c r="L12" s="102"/>
      <c r="M12" s="102"/>
      <c r="N12" s="102"/>
      <c r="O12" s="102"/>
      <c r="P12" s="102"/>
      <c r="Q12" s="102"/>
      <c r="R12" s="102"/>
      <c r="S12" s="102"/>
      <c r="T12" s="102"/>
      <c r="U12" s="102"/>
      <c r="V12" s="102"/>
      <c r="W12" s="102"/>
      <c r="X12" s="102"/>
      <c r="Y12" s="102"/>
      <c r="Z12" s="102"/>
      <c r="AA12" s="90"/>
    </row>
    <row r="13" spans="1:27" x14ac:dyDescent="0.25">
      <c r="A13" s="109"/>
      <c r="B13" s="102"/>
      <c r="C13" s="102"/>
      <c r="D13" s="102"/>
      <c r="E13" s="102"/>
      <c r="F13" s="102"/>
      <c r="G13" s="110" t="s">
        <v>9</v>
      </c>
      <c r="H13" s="134">
        <v>2000</v>
      </c>
      <c r="I13" s="111" t="s">
        <v>12</v>
      </c>
      <c r="J13" s="102"/>
      <c r="K13" s="102"/>
      <c r="L13" s="102"/>
      <c r="M13" s="102"/>
      <c r="N13" s="102"/>
      <c r="O13" s="102"/>
      <c r="P13" s="102"/>
      <c r="Q13" s="102"/>
      <c r="R13" s="102"/>
      <c r="S13" s="102"/>
      <c r="T13" s="102"/>
      <c r="U13" s="102"/>
      <c r="V13" s="102"/>
      <c r="W13" s="102"/>
      <c r="X13" s="102"/>
      <c r="Y13" s="102"/>
      <c r="Z13" s="102"/>
      <c r="AA13" s="90"/>
    </row>
    <row r="14" spans="1:27" x14ac:dyDescent="0.25">
      <c r="A14" s="109"/>
      <c r="B14" s="102"/>
      <c r="C14" s="102"/>
      <c r="D14" s="102"/>
      <c r="E14" s="102"/>
      <c r="F14" s="102"/>
      <c r="G14" s="110" t="s">
        <v>70</v>
      </c>
      <c r="H14" s="135">
        <f>RT/1000</f>
        <v>10.095000000000001</v>
      </c>
      <c r="I14" s="111" t="s">
        <v>71</v>
      </c>
      <c r="J14" s="102"/>
      <c r="K14" s="102"/>
      <c r="L14" s="102"/>
      <c r="M14" s="102"/>
      <c r="N14" s="102"/>
      <c r="O14" s="102"/>
      <c r="P14" s="102"/>
      <c r="Q14" s="102"/>
      <c r="R14" s="102"/>
      <c r="S14" s="102"/>
      <c r="T14" s="102"/>
      <c r="U14" s="102"/>
      <c r="V14" s="102"/>
      <c r="W14" s="102"/>
      <c r="X14" s="102"/>
      <c r="Y14" s="102"/>
      <c r="Z14" s="102"/>
      <c r="AA14" s="90"/>
    </row>
    <row r="15" spans="1:27" x14ac:dyDescent="0.25">
      <c r="A15" s="109"/>
      <c r="B15" s="102"/>
      <c r="C15" s="102"/>
      <c r="D15" s="102"/>
      <c r="E15" s="102"/>
      <c r="F15" s="102"/>
      <c r="G15" s="110" t="s">
        <v>14</v>
      </c>
      <c r="H15" s="163">
        <f>POUT</f>
        <v>321</v>
      </c>
      <c r="I15" s="111" t="s">
        <v>38</v>
      </c>
      <c r="J15" s="102"/>
      <c r="K15" s="102"/>
      <c r="L15" s="102"/>
      <c r="M15" s="102"/>
      <c r="N15" s="102"/>
      <c r="O15" s="102"/>
      <c r="P15" s="102"/>
      <c r="Q15" s="102"/>
      <c r="R15" s="102"/>
      <c r="S15" s="102"/>
      <c r="T15" s="102"/>
      <c r="U15" s="102"/>
      <c r="V15" s="102"/>
      <c r="W15" s="102"/>
      <c r="X15" s="102"/>
      <c r="Y15" s="102"/>
      <c r="Z15" s="102"/>
      <c r="AA15" s="90"/>
    </row>
    <row r="16" spans="1:27" x14ac:dyDescent="0.25">
      <c r="A16" s="112"/>
      <c r="B16" s="113"/>
      <c r="C16" s="113"/>
      <c r="D16" s="113"/>
      <c r="E16" s="113"/>
      <c r="F16" s="102"/>
      <c r="G16" s="114" t="s">
        <v>516</v>
      </c>
      <c r="H16" s="163">
        <f>Dc_max_IC*100</f>
        <v>79.818181818181827</v>
      </c>
      <c r="I16" s="111" t="s">
        <v>13</v>
      </c>
      <c r="J16" s="102"/>
      <c r="K16" s="102"/>
      <c r="L16" s="102"/>
      <c r="M16" s="102"/>
      <c r="N16" s="102"/>
      <c r="O16" s="102"/>
      <c r="P16" s="102"/>
      <c r="Q16" s="102"/>
      <c r="R16" s="102"/>
      <c r="S16" s="102"/>
      <c r="T16" s="102"/>
      <c r="U16" s="102"/>
      <c r="V16" s="102"/>
      <c r="W16" s="102"/>
      <c r="X16" s="102"/>
      <c r="Y16" s="102"/>
      <c r="Z16" s="102"/>
      <c r="AA16" s="90"/>
    </row>
    <row r="17" spans="1:27" ht="15.75" thickBot="1" x14ac:dyDescent="0.3">
      <c r="A17" s="161"/>
      <c r="B17" s="162"/>
      <c r="C17" s="162"/>
      <c r="D17" s="162"/>
      <c r="E17" s="162"/>
      <c r="F17" s="115"/>
      <c r="G17" s="204" t="s">
        <v>414</v>
      </c>
      <c r="H17" s="205">
        <f>Variable_Management!B22*100</f>
        <v>79.43925233644859</v>
      </c>
      <c r="I17" s="116" t="s">
        <v>13</v>
      </c>
      <c r="J17" s="102"/>
      <c r="K17" s="102"/>
      <c r="L17" s="102"/>
      <c r="M17" s="102"/>
      <c r="N17" s="102"/>
      <c r="O17" s="102"/>
      <c r="P17" s="102"/>
      <c r="Q17" s="102"/>
      <c r="R17" s="102"/>
      <c r="S17" s="102"/>
      <c r="T17" s="102"/>
      <c r="U17" s="102"/>
      <c r="V17" s="102"/>
      <c r="W17" s="102"/>
      <c r="X17" s="102"/>
      <c r="Y17" s="102"/>
      <c r="Z17" s="102"/>
      <c r="AA17" s="90"/>
    </row>
    <row r="18" spans="1:27" x14ac:dyDescent="0.25">
      <c r="A18" s="113"/>
      <c r="B18" s="113"/>
      <c r="C18" s="113"/>
      <c r="D18" s="113"/>
      <c r="E18" s="113"/>
      <c r="F18" s="102"/>
      <c r="G18" s="103"/>
      <c r="H18" s="102"/>
      <c r="I18" s="102"/>
      <c r="J18" s="102"/>
      <c r="K18" s="102"/>
      <c r="L18" s="102"/>
      <c r="M18" s="102"/>
      <c r="N18" s="102"/>
      <c r="O18" s="102"/>
      <c r="P18" s="102"/>
      <c r="Q18" s="102"/>
      <c r="R18" s="102"/>
      <c r="S18" s="102"/>
      <c r="T18" s="102"/>
      <c r="U18" s="102"/>
      <c r="V18" s="102"/>
      <c r="W18" s="102"/>
      <c r="X18" s="102"/>
      <c r="Y18" s="102"/>
      <c r="Z18" s="102"/>
      <c r="AA18" s="90"/>
    </row>
    <row r="19" spans="1:27" ht="15.75" thickBot="1" x14ac:dyDescent="0.3">
      <c r="A19" s="117" t="s">
        <v>72</v>
      </c>
      <c r="B19" s="113"/>
      <c r="C19" s="113"/>
      <c r="D19" s="113"/>
      <c r="E19" s="113"/>
      <c r="F19" s="102"/>
      <c r="G19" s="103"/>
      <c r="H19" s="102"/>
      <c r="I19" s="102"/>
      <c r="J19" s="102"/>
      <c r="K19" s="102"/>
      <c r="L19" s="102"/>
      <c r="M19" s="102"/>
      <c r="N19" s="102"/>
      <c r="O19" s="102"/>
      <c r="P19" s="102"/>
      <c r="Q19" s="102"/>
      <c r="R19" s="102"/>
      <c r="S19" s="102"/>
      <c r="T19" s="102"/>
      <c r="U19" s="102"/>
      <c r="V19" s="102"/>
      <c r="W19" s="102"/>
      <c r="X19" s="102"/>
      <c r="Y19" s="102"/>
      <c r="Z19" s="102"/>
      <c r="AA19" s="90"/>
    </row>
    <row r="20" spans="1:27" ht="18" x14ac:dyDescent="0.35">
      <c r="A20" s="125"/>
      <c r="B20" s="118"/>
      <c r="C20" s="118"/>
      <c r="D20" s="118"/>
      <c r="E20" s="118"/>
      <c r="F20" s="106"/>
      <c r="G20" s="124" t="s">
        <v>524</v>
      </c>
      <c r="H20" s="157" t="str">
        <f>CHOOSE(Variable_Management!B25, "DCM","CCM")</f>
        <v>CCM</v>
      </c>
      <c r="I20" s="108"/>
      <c r="J20" s="102"/>
      <c r="K20" s="102"/>
      <c r="L20" s="102"/>
      <c r="M20" s="102"/>
      <c r="N20" s="102"/>
      <c r="O20" s="102"/>
      <c r="P20" s="102"/>
      <c r="Q20" s="102"/>
      <c r="R20" s="102"/>
      <c r="S20" s="102"/>
      <c r="T20" s="102"/>
      <c r="U20" s="102"/>
      <c r="V20" s="102"/>
      <c r="W20" s="102"/>
      <c r="X20" s="102"/>
      <c r="Y20" s="102"/>
      <c r="Z20" s="102"/>
      <c r="AA20" s="90"/>
    </row>
    <row r="21" spans="1:27" x14ac:dyDescent="0.25">
      <c r="A21" s="112"/>
      <c r="B21" s="113"/>
      <c r="C21" s="113"/>
      <c r="D21" s="113"/>
      <c r="E21" s="113"/>
      <c r="F21" s="102"/>
      <c r="G21" s="110" t="str">
        <f>CHOOSE(Variable_Management!B25,"Maximum duty cycle at the minimum supply voltage","Desired Maximum Inductor Current Ripple Ratio")</f>
        <v>Desired Maximum Inductor Current Ripple Ratio</v>
      </c>
      <c r="H21" s="134">
        <v>60</v>
      </c>
      <c r="I21" s="111" t="s">
        <v>13</v>
      </c>
      <c r="J21" s="102"/>
      <c r="K21" s="102"/>
      <c r="L21" s="102"/>
      <c r="M21" s="102"/>
      <c r="N21" s="102"/>
      <c r="O21" s="102"/>
      <c r="P21" s="102"/>
      <c r="Q21" s="102"/>
      <c r="R21" s="102"/>
      <c r="S21" s="102"/>
      <c r="T21" s="102"/>
      <c r="U21" s="102"/>
      <c r="V21" s="102"/>
      <c r="W21" s="102"/>
      <c r="X21" s="102"/>
      <c r="Y21" s="102"/>
      <c r="Z21" s="102"/>
      <c r="AA21" s="90"/>
    </row>
    <row r="22" spans="1:27" x14ac:dyDescent="0.25">
      <c r="A22" s="109"/>
      <c r="B22" s="102"/>
      <c r="C22" s="102"/>
      <c r="D22" s="102"/>
      <c r="E22" s="102"/>
      <c r="F22" s="102"/>
      <c r="G22" s="110" t="s">
        <v>390</v>
      </c>
      <c r="H22" s="137">
        <f>CHOOSE(Variable_Management!B25,Variable_Management!B45*10^9,Variable_Management!B45*10^6)</f>
        <v>0.73980260284741062</v>
      </c>
      <c r="I22" s="111" t="str">
        <f>CHOOSE(Variable_Management!B25,"nH","uH")</f>
        <v>uH</v>
      </c>
      <c r="J22" s="102"/>
      <c r="K22" s="102"/>
      <c r="L22" s="102"/>
      <c r="M22" s="102"/>
      <c r="N22" s="102"/>
      <c r="O22" s="102"/>
      <c r="P22" s="102"/>
      <c r="Q22" s="102"/>
      <c r="R22" s="102"/>
      <c r="S22" s="102"/>
      <c r="T22" s="102"/>
      <c r="U22" s="102"/>
      <c r="V22" s="102"/>
      <c r="W22" s="102"/>
      <c r="X22" s="102"/>
      <c r="Y22" s="102"/>
      <c r="Z22" s="102"/>
      <c r="AA22" s="90"/>
    </row>
    <row r="23" spans="1:27" x14ac:dyDescent="0.25">
      <c r="A23" s="109"/>
      <c r="B23" s="102"/>
      <c r="C23" s="102"/>
      <c r="D23" s="102"/>
      <c r="E23" s="102"/>
      <c r="F23" s="102"/>
      <c r="G23" s="110" t="s">
        <v>391</v>
      </c>
      <c r="H23" s="134">
        <v>0.82</v>
      </c>
      <c r="I23" s="111" t="str">
        <f>CHOOSE(Variable_Management!B25,"nH","uH")</f>
        <v>uH</v>
      </c>
      <c r="J23" s="102"/>
      <c r="K23" s="102"/>
      <c r="L23" s="102"/>
      <c r="M23" s="102"/>
      <c r="N23" s="102"/>
      <c r="O23" s="102"/>
      <c r="P23" s="102"/>
      <c r="Q23" s="102"/>
      <c r="R23" s="102"/>
      <c r="S23" s="102"/>
      <c r="T23" s="102"/>
      <c r="U23" s="102"/>
      <c r="V23" s="102"/>
      <c r="W23" s="102"/>
      <c r="X23" s="102"/>
      <c r="Y23" s="102"/>
      <c r="Z23" s="102"/>
      <c r="AA23" s="90"/>
    </row>
    <row r="24" spans="1:27" x14ac:dyDescent="0.25">
      <c r="A24" s="109"/>
      <c r="B24" s="102"/>
      <c r="C24" s="102"/>
      <c r="D24" s="102"/>
      <c r="E24" s="102"/>
      <c r="F24" s="102"/>
      <c r="G24" s="110" t="s">
        <v>76</v>
      </c>
      <c r="H24" s="134">
        <v>2.2999999999999998</v>
      </c>
      <c r="I24" s="111" t="s">
        <v>92</v>
      </c>
      <c r="J24" s="102"/>
      <c r="K24" s="102"/>
      <c r="L24" s="102"/>
      <c r="M24" s="102"/>
      <c r="N24" s="102"/>
      <c r="O24" s="102"/>
      <c r="P24" s="102"/>
      <c r="Q24" s="102"/>
      <c r="R24" s="102"/>
      <c r="S24" s="102"/>
      <c r="T24" s="102"/>
      <c r="U24" s="102"/>
      <c r="V24" s="102"/>
      <c r="W24" s="102"/>
      <c r="X24" s="102"/>
      <c r="Y24" s="102"/>
      <c r="Z24" s="102"/>
      <c r="AA24" s="90"/>
    </row>
    <row r="25" spans="1:27" ht="15.75" thickBot="1" x14ac:dyDescent="0.3">
      <c r="A25" s="119"/>
      <c r="B25" s="115"/>
      <c r="C25" s="115"/>
      <c r="D25" s="115"/>
      <c r="E25" s="115"/>
      <c r="F25" s="115"/>
      <c r="G25" s="120" t="s">
        <v>93</v>
      </c>
      <c r="H25" s="138">
        <f>ILp_VINmin</f>
        <v>31.845939449199083</v>
      </c>
      <c r="I25" s="116" t="s">
        <v>11</v>
      </c>
      <c r="J25" s="102"/>
      <c r="K25" s="102"/>
      <c r="L25" s="102"/>
      <c r="M25" s="102"/>
      <c r="N25" s="102"/>
      <c r="O25" s="102"/>
      <c r="P25" s="102"/>
      <c r="Q25" s="102"/>
      <c r="R25" s="102"/>
      <c r="S25" s="102"/>
      <c r="T25" s="102"/>
      <c r="U25" s="102"/>
      <c r="V25" s="102"/>
      <c r="W25" s="102"/>
      <c r="X25" s="102"/>
      <c r="Y25" s="102"/>
      <c r="Z25" s="102"/>
      <c r="AA25" s="90"/>
    </row>
    <row r="26" spans="1:27" x14ac:dyDescent="0.25">
      <c r="A26" s="102"/>
      <c r="B26" s="102"/>
      <c r="C26" s="102"/>
      <c r="D26" s="102"/>
      <c r="E26" s="102"/>
      <c r="F26" s="102"/>
      <c r="G26" s="103"/>
      <c r="H26" s="102"/>
      <c r="I26" s="102"/>
      <c r="J26" s="102"/>
      <c r="K26" s="102"/>
      <c r="L26" s="102"/>
      <c r="M26" s="102"/>
      <c r="N26" s="102"/>
      <c r="O26" s="102"/>
      <c r="P26" s="102"/>
      <c r="Q26" s="102"/>
      <c r="R26" s="102"/>
      <c r="S26" s="102"/>
      <c r="T26" s="102"/>
      <c r="U26" s="102"/>
      <c r="V26" s="102"/>
      <c r="W26" s="102"/>
      <c r="X26" s="102"/>
      <c r="Y26" s="102"/>
      <c r="Z26" s="102"/>
      <c r="AA26" s="90"/>
    </row>
    <row r="27" spans="1:27" ht="15.75" thickBot="1" x14ac:dyDescent="0.3">
      <c r="A27" s="117" t="s">
        <v>112</v>
      </c>
      <c r="B27" s="102"/>
      <c r="C27" s="102"/>
      <c r="D27" s="102"/>
      <c r="E27" s="102"/>
      <c r="F27" s="102"/>
      <c r="G27" s="103"/>
      <c r="H27" s="102"/>
      <c r="I27" s="102"/>
      <c r="J27" s="102"/>
      <c r="K27" s="102"/>
      <c r="L27" s="102"/>
      <c r="M27" s="102"/>
      <c r="N27" s="102"/>
      <c r="O27" s="102"/>
      <c r="P27" s="102"/>
      <c r="Q27" s="102"/>
      <c r="R27" s="102"/>
      <c r="S27" s="102"/>
      <c r="T27" s="102"/>
      <c r="U27" s="102"/>
      <c r="V27" s="102"/>
      <c r="W27" s="102"/>
      <c r="X27" s="102"/>
      <c r="Y27" s="102"/>
      <c r="Z27" s="102"/>
      <c r="AA27" s="90"/>
    </row>
    <row r="28" spans="1:27" x14ac:dyDescent="0.25">
      <c r="A28" s="105"/>
      <c r="B28" s="106"/>
      <c r="C28" s="106"/>
      <c r="D28" s="106"/>
      <c r="E28" s="106"/>
      <c r="F28" s="106"/>
      <c r="G28" s="107" t="s">
        <v>415</v>
      </c>
      <c r="H28" s="133">
        <v>30</v>
      </c>
      <c r="I28" s="108" t="s">
        <v>13</v>
      </c>
      <c r="J28" s="102"/>
      <c r="K28" s="102"/>
      <c r="L28" s="102"/>
      <c r="M28" s="102"/>
      <c r="N28" s="102"/>
      <c r="O28" s="102"/>
      <c r="P28" s="102"/>
      <c r="Q28" s="102"/>
      <c r="R28" s="102"/>
      <c r="S28" s="102"/>
      <c r="T28" s="102"/>
      <c r="U28" s="102"/>
      <c r="V28" s="102"/>
      <c r="W28" s="102"/>
      <c r="X28" s="102"/>
      <c r="Y28" s="102"/>
      <c r="Z28" s="102"/>
      <c r="AA28" s="90"/>
    </row>
    <row r="29" spans="1:27" ht="18" x14ac:dyDescent="0.35">
      <c r="A29" s="109"/>
      <c r="B29" s="102"/>
      <c r="C29" s="102"/>
      <c r="D29" s="102"/>
      <c r="E29" s="102"/>
      <c r="F29" s="102"/>
      <c r="G29" s="103" t="s">
        <v>170</v>
      </c>
      <c r="H29" s="135">
        <f>Ipk_selected</f>
        <v>43.396372001662158</v>
      </c>
      <c r="I29" s="111" t="s">
        <v>11</v>
      </c>
      <c r="J29" s="102"/>
      <c r="K29" s="102"/>
      <c r="L29" s="102"/>
      <c r="M29" s="102"/>
      <c r="N29" s="102"/>
      <c r="O29" s="102"/>
      <c r="P29" s="102"/>
      <c r="Q29" s="102"/>
      <c r="R29" s="102"/>
      <c r="S29" s="102"/>
      <c r="T29" s="102"/>
      <c r="U29" s="102"/>
      <c r="V29" s="102"/>
      <c r="W29" s="102"/>
      <c r="X29" s="102"/>
      <c r="Y29" s="102"/>
      <c r="Z29" s="102"/>
      <c r="AA29" s="90"/>
    </row>
    <row r="30" spans="1:27" ht="18" x14ac:dyDescent="0.35">
      <c r="A30" s="109"/>
      <c r="B30" s="102"/>
      <c r="C30" s="102"/>
      <c r="D30" s="102"/>
      <c r="E30" s="102"/>
      <c r="F30" s="102"/>
      <c r="G30" s="103" t="s">
        <v>418</v>
      </c>
      <c r="H30" s="135">
        <f>Variable_Management!B87*1000</f>
        <v>1.3826040572631715</v>
      </c>
      <c r="I30" s="111" t="s">
        <v>92</v>
      </c>
      <c r="J30" s="102"/>
      <c r="K30" s="102"/>
      <c r="L30" s="102"/>
      <c r="M30" s="102"/>
      <c r="N30" s="102"/>
      <c r="O30" s="102"/>
      <c r="P30" s="102"/>
      <c r="Q30" s="102"/>
      <c r="R30" s="102"/>
      <c r="S30" s="102"/>
      <c r="T30" s="102"/>
      <c r="U30" s="102"/>
      <c r="V30" s="102"/>
      <c r="W30" s="102"/>
      <c r="X30" s="102"/>
      <c r="Y30" s="102"/>
      <c r="Z30" s="102"/>
      <c r="AA30" s="90"/>
    </row>
    <row r="31" spans="1:27" ht="18" x14ac:dyDescent="0.35">
      <c r="A31" s="109"/>
      <c r="B31" s="102"/>
      <c r="C31" s="102"/>
      <c r="D31" s="102"/>
      <c r="E31" s="102"/>
      <c r="F31" s="102"/>
      <c r="G31" s="103" t="s">
        <v>419</v>
      </c>
      <c r="H31" s="134">
        <v>1.2</v>
      </c>
      <c r="I31" s="111" t="s">
        <v>92</v>
      </c>
      <c r="J31" s="102"/>
      <c r="K31" s="102"/>
      <c r="L31" s="102"/>
      <c r="M31" s="102"/>
      <c r="N31" s="102"/>
      <c r="O31" s="102"/>
      <c r="P31" s="102"/>
      <c r="Q31" s="102"/>
      <c r="R31" s="102"/>
      <c r="S31" s="102"/>
      <c r="T31" s="102"/>
      <c r="U31" s="102"/>
      <c r="V31" s="102"/>
      <c r="W31" s="102"/>
      <c r="X31" s="102"/>
      <c r="Y31" s="102"/>
      <c r="Z31" s="102"/>
      <c r="AA31" s="90"/>
    </row>
    <row r="32" spans="1:27" ht="15.75" thickBot="1" x14ac:dyDescent="0.3">
      <c r="A32" s="119"/>
      <c r="B32" s="115"/>
      <c r="C32" s="115"/>
      <c r="D32" s="115"/>
      <c r="E32" s="115"/>
      <c r="F32" s="115"/>
      <c r="G32" s="122" t="s">
        <v>143</v>
      </c>
      <c r="H32" s="139">
        <f>IL_pk_max</f>
        <v>50</v>
      </c>
      <c r="I32" s="123" t="s">
        <v>11</v>
      </c>
      <c r="J32" s="102"/>
      <c r="K32" s="102"/>
      <c r="L32" s="102"/>
      <c r="M32" s="102"/>
      <c r="N32" s="102"/>
      <c r="O32" s="102"/>
      <c r="P32" s="102"/>
      <c r="Q32" s="102"/>
      <c r="R32" s="102"/>
      <c r="S32" s="102"/>
      <c r="T32" s="102"/>
      <c r="U32" s="102"/>
      <c r="V32" s="102"/>
      <c r="W32" s="102"/>
      <c r="X32" s="102"/>
      <c r="Y32" s="102"/>
      <c r="Z32" s="102"/>
      <c r="AA32" s="90"/>
    </row>
    <row r="33" spans="1:27" x14ac:dyDescent="0.25">
      <c r="A33" s="102"/>
      <c r="B33" s="102"/>
      <c r="C33" s="102"/>
      <c r="D33" s="102"/>
      <c r="E33" s="102"/>
      <c r="F33" s="102"/>
      <c r="G33" s="103"/>
      <c r="H33" s="102"/>
      <c r="I33" s="102"/>
      <c r="J33" s="102"/>
      <c r="K33" s="102"/>
      <c r="L33" s="102"/>
      <c r="M33" s="102"/>
      <c r="N33" s="102"/>
      <c r="O33" s="102"/>
      <c r="P33" s="102"/>
      <c r="Q33" s="102"/>
      <c r="R33" s="102"/>
      <c r="S33" s="102"/>
      <c r="T33" s="102"/>
      <c r="U33" s="102"/>
      <c r="V33" s="102"/>
      <c r="W33" s="102"/>
      <c r="X33" s="102"/>
      <c r="Y33" s="102"/>
      <c r="Z33" s="102"/>
      <c r="AA33" s="90"/>
    </row>
    <row r="34" spans="1:27" ht="15.75" thickBot="1" x14ac:dyDescent="0.3">
      <c r="A34" s="117" t="s">
        <v>154</v>
      </c>
      <c r="B34" s="102"/>
      <c r="C34" s="102"/>
      <c r="D34" s="102"/>
      <c r="E34" s="102"/>
      <c r="F34" s="102"/>
      <c r="G34" s="103"/>
      <c r="H34" s="102"/>
      <c r="I34" s="102"/>
      <c r="J34" s="102"/>
      <c r="K34" s="102"/>
      <c r="L34" s="102"/>
      <c r="M34" s="102"/>
      <c r="N34" s="102"/>
      <c r="O34" s="102"/>
      <c r="P34" s="102"/>
      <c r="Q34" s="102"/>
      <c r="R34" s="102"/>
      <c r="S34" s="102"/>
      <c r="T34" s="102"/>
      <c r="U34" s="102"/>
      <c r="V34" s="102"/>
      <c r="W34" s="102"/>
      <c r="X34" s="102"/>
      <c r="Y34" s="102"/>
      <c r="Z34" s="102"/>
      <c r="AA34" s="90"/>
    </row>
    <row r="35" spans="1:27" ht="18" x14ac:dyDescent="0.35">
      <c r="A35" s="105"/>
      <c r="B35" s="106"/>
      <c r="C35" s="106"/>
      <c r="D35" s="106"/>
      <c r="E35" s="106"/>
      <c r="F35" s="106"/>
      <c r="G35" s="124" t="s">
        <v>451</v>
      </c>
      <c r="H35" s="133">
        <v>50</v>
      </c>
      <c r="I35" s="108" t="s">
        <v>155</v>
      </c>
      <c r="J35" s="102"/>
      <c r="K35" s="102"/>
      <c r="L35" s="102"/>
      <c r="M35" s="102"/>
      <c r="N35" s="102"/>
      <c r="O35" s="102"/>
      <c r="P35" s="102"/>
      <c r="Q35" s="102"/>
      <c r="R35" s="102"/>
      <c r="S35" s="102"/>
      <c r="T35" s="102"/>
      <c r="U35" s="102"/>
      <c r="V35" s="102"/>
      <c r="W35" s="102"/>
      <c r="X35" s="102"/>
      <c r="Y35" s="102"/>
      <c r="Z35" s="102"/>
      <c r="AA35" s="90"/>
    </row>
    <row r="36" spans="1:27" x14ac:dyDescent="0.25">
      <c r="A36" s="109"/>
      <c r="B36" s="102"/>
      <c r="C36" s="102"/>
      <c r="D36" s="102"/>
      <c r="E36" s="102"/>
      <c r="F36" s="102"/>
      <c r="G36" s="103" t="s">
        <v>156</v>
      </c>
      <c r="H36" s="135">
        <f>Cout_min*10^6</f>
        <v>652.61157024793386</v>
      </c>
      <c r="I36" s="111" t="s">
        <v>157</v>
      </c>
      <c r="J36" s="102"/>
      <c r="K36" s="102"/>
      <c r="L36" s="102"/>
      <c r="M36" s="102"/>
      <c r="N36" s="102"/>
      <c r="O36" s="102"/>
      <c r="P36" s="102"/>
      <c r="Q36" s="102"/>
      <c r="R36" s="102"/>
      <c r="S36" s="102"/>
      <c r="T36" s="102"/>
      <c r="U36" s="102"/>
      <c r="V36" s="102"/>
      <c r="W36" s="102"/>
      <c r="X36" s="102"/>
      <c r="Y36" s="102"/>
      <c r="Z36" s="102"/>
      <c r="AA36" s="90"/>
    </row>
    <row r="37" spans="1:27" ht="18" x14ac:dyDescent="0.35">
      <c r="A37" s="109"/>
      <c r="B37" s="102"/>
      <c r="C37" s="102"/>
      <c r="D37" s="102"/>
      <c r="E37" s="102"/>
      <c r="F37" s="102"/>
      <c r="G37" s="103" t="s">
        <v>158</v>
      </c>
      <c r="H37" s="134">
        <v>1000</v>
      </c>
      <c r="I37" s="111" t="s">
        <v>157</v>
      </c>
      <c r="J37" s="102"/>
      <c r="K37" s="102"/>
      <c r="L37" s="102"/>
      <c r="M37" s="102"/>
      <c r="N37" s="102"/>
      <c r="O37" s="102"/>
      <c r="P37" s="102"/>
      <c r="Q37" s="102"/>
      <c r="R37" s="102"/>
      <c r="S37" s="102"/>
      <c r="T37" s="102"/>
      <c r="U37" s="102"/>
      <c r="V37" s="102"/>
      <c r="W37" s="102"/>
      <c r="X37" s="102"/>
      <c r="Y37" s="102"/>
      <c r="Z37" s="102"/>
      <c r="AA37" s="90"/>
    </row>
    <row r="38" spans="1:27" ht="18.75" thickBot="1" x14ac:dyDescent="0.4">
      <c r="A38" s="119"/>
      <c r="B38" s="115"/>
      <c r="C38" s="115"/>
      <c r="D38" s="115"/>
      <c r="E38" s="115"/>
      <c r="F38" s="115"/>
      <c r="G38" s="122" t="s">
        <v>165</v>
      </c>
      <c r="H38" s="140">
        <v>1</v>
      </c>
      <c r="I38" s="116" t="s">
        <v>92</v>
      </c>
      <c r="J38" s="102"/>
      <c r="K38" s="102"/>
      <c r="L38" s="102"/>
      <c r="M38" s="102"/>
      <c r="N38" s="102"/>
      <c r="O38" s="102"/>
      <c r="P38" s="102"/>
      <c r="Q38" s="102"/>
      <c r="R38" s="102"/>
      <c r="S38" s="102"/>
      <c r="T38" s="102"/>
      <c r="U38" s="102"/>
      <c r="V38" s="102"/>
      <c r="W38" s="102"/>
      <c r="X38" s="102"/>
      <c r="Y38" s="102"/>
      <c r="Z38" s="102"/>
      <c r="AA38" s="90"/>
    </row>
    <row r="39" spans="1:27" x14ac:dyDescent="0.25">
      <c r="A39" s="102"/>
      <c r="B39" s="102"/>
      <c r="C39" s="102"/>
      <c r="D39" s="102"/>
      <c r="E39" s="102"/>
      <c r="F39" s="102"/>
      <c r="G39" s="103"/>
      <c r="H39" s="102"/>
      <c r="I39" s="102"/>
      <c r="J39" s="102"/>
      <c r="K39" s="102"/>
      <c r="L39" s="102"/>
      <c r="M39" s="102"/>
      <c r="N39" s="102"/>
      <c r="O39" s="102"/>
      <c r="P39" s="102"/>
      <c r="Q39" s="102"/>
      <c r="R39" s="102"/>
      <c r="S39" s="102"/>
      <c r="T39" s="102"/>
      <c r="U39" s="102"/>
      <c r="V39" s="102"/>
      <c r="W39" s="102"/>
      <c r="X39" s="102"/>
      <c r="Y39" s="102"/>
      <c r="Z39" s="102"/>
      <c r="AA39" s="90"/>
    </row>
    <row r="40" spans="1:27" ht="15.75" thickBot="1" x14ac:dyDescent="0.3">
      <c r="A40" s="117" t="s">
        <v>548</v>
      </c>
      <c r="B40" s="102"/>
      <c r="C40" s="102"/>
      <c r="D40" s="102"/>
      <c r="E40" s="102"/>
      <c r="F40" s="102"/>
      <c r="G40" s="103"/>
      <c r="H40" s="102"/>
      <c r="I40" s="102"/>
      <c r="J40" s="102"/>
      <c r="K40" s="102"/>
      <c r="L40" s="102"/>
      <c r="M40" s="102"/>
      <c r="N40" s="102"/>
      <c r="O40" s="102"/>
      <c r="P40" s="102"/>
      <c r="Q40" s="102"/>
      <c r="R40" s="102"/>
      <c r="S40" s="102"/>
      <c r="T40" s="102"/>
      <c r="U40" s="102"/>
      <c r="V40" s="102"/>
      <c r="W40" s="102"/>
      <c r="X40" s="102"/>
      <c r="Y40" s="102"/>
      <c r="Z40" s="102"/>
      <c r="AA40" s="90"/>
    </row>
    <row r="41" spans="1:27" ht="18" x14ac:dyDescent="0.35">
      <c r="A41" s="105"/>
      <c r="B41" s="106"/>
      <c r="C41" s="106"/>
      <c r="D41" s="106"/>
      <c r="E41" s="106"/>
      <c r="F41" s="106"/>
      <c r="G41" s="124" t="s">
        <v>285</v>
      </c>
      <c r="H41" s="142">
        <f>Variable_Management!B117*(10^9)</f>
        <v>178.33333333333334</v>
      </c>
      <c r="I41" s="108" t="s">
        <v>183</v>
      </c>
      <c r="J41" s="102"/>
      <c r="K41" s="102"/>
      <c r="L41" s="102"/>
      <c r="M41" s="102"/>
      <c r="N41" s="102"/>
      <c r="O41" s="102"/>
      <c r="P41" s="102"/>
      <c r="Q41" s="102"/>
      <c r="R41" s="102"/>
      <c r="S41" s="102"/>
      <c r="T41" s="102"/>
      <c r="U41" s="102"/>
      <c r="V41" s="102"/>
      <c r="W41" s="102"/>
      <c r="X41" s="102"/>
      <c r="Y41" s="102"/>
      <c r="Z41" s="102"/>
      <c r="AA41" s="90"/>
    </row>
    <row r="42" spans="1:27" ht="18" x14ac:dyDescent="0.35">
      <c r="A42" s="109"/>
      <c r="B42" s="102"/>
      <c r="C42" s="102"/>
      <c r="D42" s="102"/>
      <c r="E42" s="102"/>
      <c r="F42" s="102"/>
      <c r="G42" s="103" t="s">
        <v>290</v>
      </c>
      <c r="H42" s="134">
        <v>10</v>
      </c>
      <c r="I42" s="111" t="s">
        <v>286</v>
      </c>
      <c r="J42" s="102"/>
      <c r="K42" s="102"/>
      <c r="L42" s="102"/>
      <c r="M42" s="102"/>
      <c r="N42" s="102"/>
      <c r="O42" s="102"/>
      <c r="P42" s="102"/>
      <c r="Q42" s="102"/>
      <c r="R42" s="102"/>
      <c r="S42" s="102"/>
      <c r="T42" s="102"/>
      <c r="U42" s="102"/>
      <c r="V42" s="102"/>
      <c r="W42" s="102"/>
      <c r="X42" s="102"/>
      <c r="Y42" s="102"/>
      <c r="Z42" s="102"/>
      <c r="AA42" s="90"/>
    </row>
    <row r="43" spans="1:27" ht="18.75" thickBot="1" x14ac:dyDescent="0.4">
      <c r="A43" s="119"/>
      <c r="B43" s="115"/>
      <c r="C43" s="115"/>
      <c r="D43" s="115"/>
      <c r="E43" s="115"/>
      <c r="F43" s="115"/>
      <c r="G43" s="122" t="s">
        <v>289</v>
      </c>
      <c r="H43" s="143">
        <f>Variable_Management!B119*(10^9)</f>
        <v>251.76470588235296</v>
      </c>
      <c r="I43" s="116" t="s">
        <v>183</v>
      </c>
      <c r="J43" s="102"/>
      <c r="K43" s="102"/>
      <c r="L43" s="102"/>
      <c r="M43" s="102"/>
      <c r="N43" s="102"/>
      <c r="O43" s="102"/>
      <c r="P43" s="102"/>
      <c r="Q43" s="102"/>
      <c r="R43" s="102"/>
      <c r="S43" s="102"/>
      <c r="T43" s="102"/>
      <c r="U43" s="102"/>
      <c r="V43" s="102"/>
      <c r="W43" s="102"/>
      <c r="X43" s="102"/>
      <c r="Y43" s="102"/>
      <c r="Z43" s="102"/>
      <c r="AA43" s="90"/>
    </row>
    <row r="44" spans="1:27" x14ac:dyDescent="0.25">
      <c r="A44" s="102"/>
      <c r="B44" s="102"/>
      <c r="C44" s="102"/>
      <c r="D44" s="102"/>
      <c r="E44" s="102"/>
      <c r="F44" s="102"/>
      <c r="G44" s="102"/>
      <c r="H44" s="102"/>
      <c r="I44" s="102"/>
      <c r="J44" s="102"/>
      <c r="K44" s="102"/>
      <c r="L44" s="102"/>
      <c r="M44" s="102"/>
      <c r="N44" s="102"/>
      <c r="O44" s="102"/>
      <c r="P44" s="102"/>
      <c r="Q44" s="102"/>
      <c r="R44" s="102"/>
      <c r="S44" s="102"/>
      <c r="T44" s="102"/>
      <c r="U44" s="102"/>
      <c r="V44" s="102"/>
      <c r="W44" s="102"/>
      <c r="X44" s="102"/>
      <c r="Y44" s="102"/>
      <c r="Z44" s="102"/>
      <c r="AA44" s="90"/>
    </row>
    <row r="45" spans="1:27" ht="15.75" thickBot="1" x14ac:dyDescent="0.3">
      <c r="A45" s="117" t="s">
        <v>547</v>
      </c>
      <c r="B45" s="102"/>
      <c r="C45" s="102"/>
      <c r="D45" s="102"/>
      <c r="E45" s="102"/>
      <c r="F45" s="102"/>
      <c r="G45" s="103"/>
      <c r="H45" s="102"/>
      <c r="I45" s="102"/>
      <c r="J45" s="102"/>
      <c r="K45" s="102"/>
      <c r="L45" s="102"/>
      <c r="M45" s="102"/>
      <c r="N45" s="102"/>
      <c r="O45" s="102"/>
      <c r="P45" s="102"/>
      <c r="Q45" s="102"/>
      <c r="R45" s="102"/>
      <c r="S45" s="102"/>
      <c r="T45" s="102"/>
      <c r="U45" s="102"/>
      <c r="V45" s="102"/>
      <c r="W45" s="102"/>
      <c r="X45" s="102"/>
      <c r="Y45" s="102"/>
      <c r="Z45" s="102"/>
      <c r="AA45" s="90"/>
    </row>
    <row r="46" spans="1:27" ht="18" x14ac:dyDescent="0.35">
      <c r="A46" s="105"/>
      <c r="B46" s="106"/>
      <c r="C46" s="106"/>
      <c r="D46" s="106"/>
      <c r="E46" s="106"/>
      <c r="F46" s="106"/>
      <c r="G46" s="124" t="s">
        <v>542</v>
      </c>
      <c r="H46" s="133">
        <v>10</v>
      </c>
      <c r="I46" s="108" t="s">
        <v>10</v>
      </c>
      <c r="J46" s="102"/>
      <c r="K46" s="102"/>
      <c r="L46" s="102"/>
      <c r="M46" s="102"/>
      <c r="N46" s="102"/>
      <c r="O46" s="102"/>
      <c r="P46" s="102"/>
      <c r="Q46" s="102"/>
      <c r="R46" s="102"/>
      <c r="S46" s="102"/>
      <c r="T46" s="102"/>
      <c r="U46" s="102"/>
      <c r="V46" s="102"/>
      <c r="W46" s="102"/>
      <c r="X46" s="102"/>
      <c r="Y46" s="102"/>
      <c r="Z46" s="102"/>
      <c r="AA46" s="90"/>
    </row>
    <row r="47" spans="1:27" ht="18" x14ac:dyDescent="0.35">
      <c r="A47" s="109"/>
      <c r="B47" s="102"/>
      <c r="C47" s="102"/>
      <c r="D47" s="102"/>
      <c r="E47" s="102"/>
      <c r="F47" s="102"/>
      <c r="G47" s="103" t="s">
        <v>543</v>
      </c>
      <c r="H47" s="134">
        <v>9</v>
      </c>
      <c r="I47" s="111" t="s">
        <v>10</v>
      </c>
      <c r="J47" s="102"/>
      <c r="K47" s="102"/>
      <c r="L47" s="102"/>
      <c r="M47" s="102"/>
      <c r="N47" s="102"/>
      <c r="O47" s="102"/>
      <c r="P47" s="102"/>
      <c r="Q47" s="102"/>
      <c r="R47" s="102"/>
      <c r="S47" s="102"/>
      <c r="T47" s="102"/>
      <c r="U47" s="102"/>
      <c r="V47" s="102"/>
      <c r="W47" s="102"/>
      <c r="X47" s="102"/>
      <c r="Y47" s="102"/>
      <c r="Z47" s="102"/>
      <c r="AA47" s="90"/>
    </row>
    <row r="48" spans="1:27" ht="18" x14ac:dyDescent="0.35">
      <c r="A48" s="109"/>
      <c r="B48" s="102"/>
      <c r="C48" s="102"/>
      <c r="D48" s="102"/>
      <c r="E48" s="102"/>
      <c r="F48" s="102"/>
      <c r="G48" s="103" t="s">
        <v>544</v>
      </c>
      <c r="H48" s="141">
        <f>Ruvlo_top_calc/1000</f>
        <v>77.272727272727167</v>
      </c>
      <c r="I48" s="121" t="s">
        <v>181</v>
      </c>
      <c r="J48" s="102"/>
      <c r="K48" s="102"/>
      <c r="L48" s="102"/>
      <c r="M48" s="102"/>
      <c r="N48" s="102"/>
      <c r="O48" s="102"/>
      <c r="P48" s="102"/>
      <c r="Q48" s="102"/>
      <c r="R48" s="102"/>
      <c r="S48" s="102"/>
      <c r="T48" s="102"/>
      <c r="U48" s="102"/>
      <c r="V48" s="102"/>
      <c r="W48" s="102"/>
      <c r="X48" s="102"/>
      <c r="Y48" s="102"/>
      <c r="Z48" s="102"/>
      <c r="AA48" s="90"/>
    </row>
    <row r="49" spans="1:27" ht="18" x14ac:dyDescent="0.35">
      <c r="A49" s="109"/>
      <c r="B49" s="102"/>
      <c r="C49" s="102"/>
      <c r="D49" s="102"/>
      <c r="E49" s="102"/>
      <c r="F49" s="102"/>
      <c r="G49" s="103" t="s">
        <v>545</v>
      </c>
      <c r="H49" s="134">
        <v>77</v>
      </c>
      <c r="I49" s="121" t="s">
        <v>181</v>
      </c>
      <c r="J49" s="102"/>
      <c r="K49" s="102"/>
      <c r="L49" s="102"/>
      <c r="M49" s="102"/>
      <c r="N49" s="102"/>
      <c r="O49" s="102"/>
      <c r="P49" s="102"/>
      <c r="Q49" s="102"/>
      <c r="R49" s="102"/>
      <c r="S49" s="102"/>
      <c r="T49" s="102"/>
      <c r="U49" s="102"/>
      <c r="V49" s="102"/>
      <c r="W49" s="102"/>
      <c r="X49" s="102"/>
      <c r="Y49" s="102"/>
      <c r="Z49" s="102"/>
      <c r="AA49" s="90"/>
    </row>
    <row r="50" spans="1:27" ht="18.75" thickBot="1" x14ac:dyDescent="0.4">
      <c r="A50" s="119"/>
      <c r="B50" s="115"/>
      <c r="C50" s="115"/>
      <c r="D50" s="115"/>
      <c r="E50" s="115"/>
      <c r="F50" s="115"/>
      <c r="G50" s="122" t="s">
        <v>546</v>
      </c>
      <c r="H50" s="167">
        <f>Ruvlo_bottom_calc/1000</f>
        <v>9.5168539325842687</v>
      </c>
      <c r="I50" s="123" t="s">
        <v>181</v>
      </c>
      <c r="J50" s="102"/>
      <c r="K50" s="102"/>
      <c r="L50" s="102"/>
      <c r="M50" s="102"/>
      <c r="N50" s="102"/>
      <c r="O50" s="102"/>
      <c r="P50" s="102"/>
      <c r="Q50" s="102"/>
      <c r="R50" s="102"/>
      <c r="S50" s="102"/>
      <c r="T50" s="102"/>
      <c r="U50" s="102"/>
      <c r="V50" s="102"/>
      <c r="W50" s="102"/>
      <c r="X50" s="102"/>
      <c r="Y50" s="102"/>
      <c r="Z50" s="102"/>
      <c r="AA50" s="90"/>
    </row>
    <row r="51" spans="1:27" x14ac:dyDescent="0.25">
      <c r="A51" s="102"/>
      <c r="B51" s="102"/>
      <c r="C51" s="102"/>
      <c r="D51" s="102"/>
      <c r="E51" s="102"/>
      <c r="F51" s="102"/>
      <c r="G51" s="103"/>
      <c r="H51" s="102"/>
      <c r="I51" s="102"/>
      <c r="J51" s="102"/>
      <c r="K51" s="102"/>
      <c r="L51" s="102"/>
      <c r="M51" s="102"/>
      <c r="N51" s="102"/>
      <c r="O51" s="102"/>
      <c r="P51" s="102"/>
      <c r="Q51" s="102"/>
      <c r="R51" s="102"/>
      <c r="S51" s="102"/>
      <c r="T51" s="102"/>
      <c r="U51" s="102"/>
      <c r="V51" s="102"/>
      <c r="W51" s="102"/>
      <c r="X51" s="102"/>
      <c r="Y51" s="102"/>
      <c r="Z51" s="102"/>
      <c r="AA51" s="90"/>
    </row>
    <row r="52" spans="1:27" x14ac:dyDescent="0.25">
      <c r="A52" s="102"/>
      <c r="B52" s="102"/>
      <c r="C52" s="102"/>
      <c r="D52" s="102"/>
      <c r="E52" s="102"/>
      <c r="F52" s="102"/>
      <c r="G52" s="103"/>
      <c r="H52" s="102"/>
      <c r="I52" s="102"/>
      <c r="J52" s="102"/>
      <c r="K52" s="102"/>
      <c r="L52" s="102"/>
      <c r="M52" s="102"/>
      <c r="N52" s="102"/>
      <c r="O52" s="102"/>
      <c r="P52" s="102"/>
      <c r="Q52" s="102"/>
      <c r="R52" s="102"/>
      <c r="S52" s="102"/>
      <c r="T52" s="102"/>
      <c r="U52" s="102"/>
      <c r="V52" s="102"/>
      <c r="W52" s="102"/>
      <c r="X52" s="102"/>
      <c r="Y52" s="102"/>
      <c r="Z52" s="102"/>
      <c r="AA52" s="90"/>
    </row>
    <row r="53" spans="1:27" ht="15.75" thickBot="1" x14ac:dyDescent="0.3">
      <c r="A53" s="117" t="s">
        <v>313</v>
      </c>
      <c r="B53" s="102"/>
      <c r="C53" s="102"/>
      <c r="D53" s="102"/>
      <c r="E53" s="102"/>
      <c r="F53" s="102"/>
      <c r="G53" s="102"/>
      <c r="H53" s="102"/>
      <c r="I53" s="102"/>
      <c r="J53" s="102"/>
      <c r="K53" s="102"/>
      <c r="L53" s="102"/>
      <c r="M53" s="102"/>
      <c r="N53" s="102"/>
      <c r="O53" s="102"/>
      <c r="P53" s="102"/>
      <c r="Q53" s="102"/>
      <c r="R53" s="102"/>
      <c r="S53" s="102"/>
      <c r="T53" s="102"/>
      <c r="U53" s="102"/>
      <c r="V53" s="102"/>
      <c r="W53" s="102"/>
      <c r="X53" s="102"/>
      <c r="Y53" s="102"/>
      <c r="Z53" s="102"/>
      <c r="AA53" s="90"/>
    </row>
    <row r="54" spans="1:27" ht="18" x14ac:dyDescent="0.35">
      <c r="A54" s="125"/>
      <c r="B54" s="106"/>
      <c r="C54" s="106"/>
      <c r="D54" s="106"/>
      <c r="E54" s="106"/>
      <c r="F54" s="106"/>
      <c r="G54" s="126" t="s">
        <v>416</v>
      </c>
      <c r="H54" s="144" t="str">
        <f>VIN_nom&amp;"V"</f>
        <v>11V</v>
      </c>
      <c r="I54" s="108"/>
      <c r="J54" s="102"/>
      <c r="K54" s="102"/>
      <c r="L54" s="102"/>
      <c r="M54" s="102"/>
      <c r="N54" s="102"/>
      <c r="O54" s="102"/>
      <c r="P54" s="102"/>
      <c r="Q54" s="102"/>
      <c r="R54" s="102"/>
      <c r="S54" s="102"/>
      <c r="T54" s="102"/>
      <c r="U54" s="102"/>
      <c r="V54" s="102"/>
      <c r="W54" s="102"/>
      <c r="X54" s="102"/>
      <c r="Y54" s="102"/>
      <c r="Z54" s="102"/>
      <c r="AA54" s="90"/>
    </row>
    <row r="55" spans="1:27" x14ac:dyDescent="0.25">
      <c r="A55" s="109"/>
      <c r="B55" s="102"/>
      <c r="C55" s="102"/>
      <c r="D55" s="102"/>
      <c r="E55" s="102"/>
      <c r="F55" s="102"/>
      <c r="G55" s="128" t="s">
        <v>564</v>
      </c>
      <c r="H55" s="145"/>
      <c r="I55" s="111"/>
      <c r="J55" s="102"/>
      <c r="K55" s="102"/>
      <c r="L55" s="102"/>
      <c r="M55" s="102"/>
      <c r="N55" s="102"/>
      <c r="O55" s="102"/>
      <c r="P55" s="102"/>
      <c r="Q55" s="102"/>
      <c r="R55" s="102"/>
      <c r="S55" s="102"/>
      <c r="T55" s="102"/>
      <c r="U55" s="102"/>
      <c r="V55" s="102"/>
      <c r="W55" s="102"/>
      <c r="X55" s="102"/>
      <c r="Y55" s="102"/>
      <c r="Z55" s="102"/>
      <c r="AA55" s="90"/>
    </row>
    <row r="56" spans="1:27" x14ac:dyDescent="0.25">
      <c r="A56" s="127"/>
      <c r="B56" s="102"/>
      <c r="C56" s="102"/>
      <c r="D56" s="102"/>
      <c r="E56" s="102"/>
      <c r="F56" s="102"/>
      <c r="G56" s="103" t="s">
        <v>519</v>
      </c>
      <c r="H56" s="147" t="str">
        <f>CHOOSE(VOUT_range,"Low","High")</f>
        <v>High</v>
      </c>
      <c r="I56" s="111"/>
      <c r="J56" s="102"/>
      <c r="K56" s="102"/>
      <c r="L56" s="102"/>
      <c r="M56" s="102"/>
      <c r="N56" s="102"/>
      <c r="O56" s="102"/>
      <c r="P56" s="102"/>
      <c r="Q56" s="102"/>
      <c r="R56" s="102"/>
      <c r="S56" s="102"/>
      <c r="T56" s="102"/>
      <c r="U56" s="102"/>
      <c r="V56" s="102"/>
      <c r="W56" s="102"/>
      <c r="X56" s="102"/>
      <c r="Y56" s="102"/>
      <c r="Z56" s="102"/>
      <c r="AA56" s="90"/>
    </row>
    <row r="57" spans="1:27" ht="18" x14ac:dyDescent="0.35">
      <c r="A57" s="127"/>
      <c r="B57" s="102"/>
      <c r="C57" s="102"/>
      <c r="D57" s="102"/>
      <c r="E57" s="102"/>
      <c r="F57" s="102"/>
      <c r="G57" s="103" t="s">
        <v>566</v>
      </c>
      <c r="H57" s="146">
        <f>VTRK</f>
        <v>0.89166666666666672</v>
      </c>
      <c r="I57" s="121" t="s">
        <v>10</v>
      </c>
      <c r="J57" s="102"/>
      <c r="K57" s="102"/>
      <c r="L57" s="102"/>
      <c r="M57" s="102"/>
      <c r="N57" s="102"/>
      <c r="O57" s="102"/>
      <c r="P57" s="102"/>
      <c r="Q57" s="102"/>
      <c r="R57" s="102"/>
      <c r="S57" s="102"/>
      <c r="T57" s="102"/>
      <c r="U57" s="102"/>
      <c r="V57" s="102"/>
      <c r="W57" s="102"/>
      <c r="X57" s="102"/>
      <c r="Y57" s="102"/>
      <c r="Z57" s="102"/>
      <c r="AA57" s="90"/>
    </row>
    <row r="58" spans="1:27" ht="18" x14ac:dyDescent="0.35">
      <c r="A58" s="127"/>
      <c r="B58" s="102"/>
      <c r="C58" s="102"/>
      <c r="D58" s="102"/>
      <c r="E58" s="102"/>
      <c r="F58" s="102"/>
      <c r="G58" s="103" t="s">
        <v>599</v>
      </c>
      <c r="H58" s="163">
        <f>Variable_Management!B144/1000</f>
        <v>2.1666666666666643</v>
      </c>
      <c r="I58" s="121" t="s">
        <v>181</v>
      </c>
      <c r="J58" s="102"/>
      <c r="K58" s="102"/>
      <c r="L58" s="102"/>
      <c r="M58" s="102"/>
      <c r="N58" s="102"/>
      <c r="O58" s="102"/>
      <c r="P58" s="102"/>
      <c r="Q58" s="102"/>
      <c r="R58" s="102"/>
      <c r="S58" s="102"/>
      <c r="T58" s="102"/>
      <c r="U58" s="102"/>
      <c r="V58" s="102"/>
      <c r="W58" s="102"/>
      <c r="X58" s="102"/>
      <c r="Y58" s="102"/>
      <c r="Z58" s="102"/>
      <c r="AA58" s="90"/>
    </row>
    <row r="59" spans="1:27" ht="18" x14ac:dyDescent="0.35">
      <c r="A59" s="127"/>
      <c r="B59" s="102"/>
      <c r="C59" s="102"/>
      <c r="D59" s="102"/>
      <c r="E59" s="102"/>
      <c r="F59" s="102"/>
      <c r="G59" s="103" t="s">
        <v>600</v>
      </c>
      <c r="H59" s="163">
        <f>Variable_Management!B143/1000</f>
        <v>3.7916666666666643</v>
      </c>
      <c r="I59" s="121" t="s">
        <v>181</v>
      </c>
      <c r="J59" s="102"/>
      <c r="K59" s="102"/>
      <c r="L59" s="102"/>
      <c r="M59" s="102"/>
      <c r="N59" s="102"/>
      <c r="O59" s="102"/>
      <c r="P59" s="102"/>
      <c r="Q59" s="102"/>
      <c r="R59" s="102"/>
      <c r="S59" s="102"/>
      <c r="T59" s="102"/>
      <c r="U59" s="102"/>
      <c r="V59" s="102"/>
      <c r="W59" s="102"/>
      <c r="X59" s="102"/>
      <c r="Y59" s="102"/>
      <c r="Z59" s="102"/>
      <c r="AA59" s="90"/>
    </row>
    <row r="60" spans="1:27" ht="18" x14ac:dyDescent="0.35">
      <c r="A60" s="127"/>
      <c r="B60" s="102"/>
      <c r="C60" s="102"/>
      <c r="D60" s="102"/>
      <c r="E60" s="102"/>
      <c r="F60" s="102"/>
      <c r="G60" s="103" t="s">
        <v>592</v>
      </c>
      <c r="H60" s="134">
        <v>3.3</v>
      </c>
      <c r="I60" s="121" t="s">
        <v>181</v>
      </c>
      <c r="J60" s="102"/>
      <c r="K60" s="102"/>
      <c r="L60" s="102"/>
      <c r="M60" s="102"/>
      <c r="N60" s="102"/>
      <c r="O60" s="102"/>
      <c r="P60" s="102"/>
      <c r="Q60" s="102"/>
      <c r="R60" s="102"/>
      <c r="S60" s="102"/>
      <c r="T60" s="102"/>
      <c r="U60" s="102"/>
      <c r="V60" s="102"/>
      <c r="W60" s="102"/>
      <c r="X60" s="102"/>
      <c r="Y60" s="102"/>
      <c r="Z60" s="102"/>
      <c r="AA60" s="90"/>
    </row>
    <row r="61" spans="1:27" ht="18" x14ac:dyDescent="0.35">
      <c r="A61" s="109"/>
      <c r="B61" s="102"/>
      <c r="C61" s="102"/>
      <c r="D61" s="102"/>
      <c r="E61" s="102"/>
      <c r="F61" s="102"/>
      <c r="G61" s="103" t="s">
        <v>565</v>
      </c>
      <c r="H61" s="185">
        <f>RFBB_calc/1000</f>
        <v>27.161538461538484</v>
      </c>
      <c r="I61" s="121" t="s">
        <v>181</v>
      </c>
      <c r="J61" s="102"/>
      <c r="K61" s="102"/>
      <c r="L61" s="102"/>
      <c r="M61" s="102"/>
      <c r="N61" s="102"/>
      <c r="O61" s="102"/>
      <c r="P61" s="102"/>
      <c r="Q61" s="102"/>
      <c r="R61" s="102"/>
      <c r="S61" s="102"/>
      <c r="T61" s="102"/>
      <c r="U61" s="102"/>
      <c r="V61" s="102"/>
      <c r="W61" s="102"/>
      <c r="X61" s="102"/>
      <c r="Y61" s="102"/>
      <c r="Z61" s="102"/>
      <c r="AA61" s="90"/>
    </row>
    <row r="62" spans="1:27" ht="18" x14ac:dyDescent="0.35">
      <c r="A62" s="109"/>
      <c r="B62" s="102"/>
      <c r="C62" s="102"/>
      <c r="D62" s="102"/>
      <c r="E62" s="102"/>
      <c r="F62" s="102"/>
      <c r="G62" s="103" t="s">
        <v>596</v>
      </c>
      <c r="H62" s="134">
        <v>27</v>
      </c>
      <c r="I62" s="121" t="s">
        <v>181</v>
      </c>
      <c r="J62" s="102"/>
      <c r="K62" s="102"/>
      <c r="L62" s="102"/>
      <c r="M62" s="102"/>
      <c r="N62" s="102"/>
      <c r="O62" s="102"/>
      <c r="P62" s="102"/>
      <c r="Q62" s="102"/>
      <c r="R62" s="102"/>
      <c r="S62" s="102"/>
      <c r="T62" s="102"/>
      <c r="U62" s="102"/>
      <c r="V62" s="102"/>
      <c r="W62" s="102"/>
      <c r="X62" s="102"/>
      <c r="Y62" s="102"/>
      <c r="Z62" s="102"/>
      <c r="AA62" s="90"/>
    </row>
    <row r="63" spans="1:27" x14ac:dyDescent="0.25">
      <c r="A63" s="109"/>
      <c r="B63" s="102"/>
      <c r="C63" s="102"/>
      <c r="D63" s="102"/>
      <c r="E63" s="102"/>
      <c r="F63" s="102"/>
      <c r="G63" s="103"/>
      <c r="H63" s="136"/>
      <c r="I63" s="121"/>
      <c r="J63" s="102"/>
      <c r="K63" s="102"/>
      <c r="L63" s="102"/>
      <c r="M63" s="102"/>
      <c r="N63" s="102"/>
      <c r="O63" s="102"/>
      <c r="P63" s="102"/>
      <c r="Q63" s="102"/>
      <c r="R63" s="102"/>
      <c r="S63" s="102"/>
      <c r="T63" s="102"/>
      <c r="U63" s="102"/>
      <c r="V63" s="102"/>
      <c r="W63" s="102"/>
      <c r="X63" s="102"/>
      <c r="Y63" s="102"/>
      <c r="Z63" s="102"/>
      <c r="AA63" s="90"/>
    </row>
    <row r="64" spans="1:27" ht="18" x14ac:dyDescent="0.35">
      <c r="A64" s="109"/>
      <c r="B64" s="102"/>
      <c r="C64" s="102"/>
      <c r="D64" s="102"/>
      <c r="E64" s="102"/>
      <c r="F64" s="102"/>
      <c r="G64" s="103" t="s">
        <v>598</v>
      </c>
      <c r="H64" s="163">
        <f>fcross_est/1000</f>
        <v>14.632435311997067</v>
      </c>
      <c r="I64" s="111" t="s">
        <v>12</v>
      </c>
      <c r="J64" s="102"/>
      <c r="K64" s="102"/>
      <c r="L64" s="102"/>
      <c r="M64" s="102"/>
      <c r="N64" s="102"/>
      <c r="O64" s="102"/>
      <c r="P64" s="102"/>
      <c r="Q64" s="102"/>
      <c r="R64" s="102"/>
      <c r="S64" s="102"/>
      <c r="T64" s="102"/>
      <c r="U64" s="102"/>
      <c r="V64" s="102"/>
      <c r="W64" s="102"/>
      <c r="X64" s="102"/>
      <c r="Y64" s="102"/>
      <c r="Z64" s="102"/>
      <c r="AA64" s="90"/>
    </row>
    <row r="65" spans="1:27" ht="18" x14ac:dyDescent="0.35">
      <c r="A65" s="109"/>
      <c r="B65" s="102"/>
      <c r="C65" s="102"/>
      <c r="D65" s="102"/>
      <c r="E65" s="102"/>
      <c r="F65" s="102"/>
      <c r="G65" s="103" t="s">
        <v>597</v>
      </c>
      <c r="H65" s="134">
        <v>12</v>
      </c>
      <c r="I65" s="111" t="s">
        <v>12</v>
      </c>
      <c r="J65" s="102"/>
      <c r="K65" s="102"/>
      <c r="L65" s="102"/>
      <c r="M65" s="102"/>
      <c r="N65" s="102"/>
      <c r="O65" s="102"/>
      <c r="P65" s="102"/>
      <c r="Q65" s="102"/>
      <c r="R65" s="102"/>
      <c r="S65" s="102"/>
      <c r="T65" s="102"/>
      <c r="U65" s="102"/>
      <c r="V65" s="102"/>
      <c r="W65" s="102"/>
      <c r="X65" s="102"/>
      <c r="Y65" s="102"/>
      <c r="Z65" s="102"/>
      <c r="AA65" s="90"/>
    </row>
    <row r="66" spans="1:27" x14ac:dyDescent="0.25">
      <c r="A66" s="109"/>
      <c r="B66" s="102"/>
      <c r="C66" s="102"/>
      <c r="D66" s="102"/>
      <c r="E66" s="102"/>
      <c r="F66" s="102"/>
      <c r="G66" s="103"/>
      <c r="H66" s="136"/>
      <c r="I66" s="111"/>
      <c r="J66" s="102"/>
      <c r="K66" s="102"/>
      <c r="L66" s="102"/>
      <c r="M66" s="102"/>
      <c r="N66" s="102"/>
      <c r="O66" s="102"/>
      <c r="P66" s="102"/>
      <c r="Q66" s="102"/>
      <c r="R66" s="102"/>
      <c r="S66" s="102"/>
      <c r="T66" s="102"/>
      <c r="U66" s="102"/>
      <c r="V66" s="102"/>
      <c r="W66" s="102"/>
      <c r="X66" s="102"/>
      <c r="Y66" s="102"/>
      <c r="Z66" s="102"/>
      <c r="AA66" s="90"/>
    </row>
    <row r="67" spans="1:27" ht="15.75" thickBot="1" x14ac:dyDescent="0.3">
      <c r="A67" s="109"/>
      <c r="B67" s="102"/>
      <c r="C67" s="102"/>
      <c r="D67" s="102"/>
      <c r="E67" s="102"/>
      <c r="F67" s="129" t="s">
        <v>266</v>
      </c>
      <c r="G67" s="129"/>
      <c r="H67" s="147" t="s">
        <v>267</v>
      </c>
      <c r="I67" s="130"/>
      <c r="J67" s="102"/>
      <c r="K67" s="102"/>
      <c r="L67" s="102"/>
      <c r="M67" s="102"/>
      <c r="N67" s="102"/>
      <c r="O67" s="102"/>
      <c r="P67" s="102"/>
      <c r="Q67" s="102"/>
      <c r="R67" s="102"/>
      <c r="S67" s="102"/>
      <c r="T67" s="102"/>
      <c r="U67" s="102"/>
      <c r="V67" s="102"/>
      <c r="W67" s="102"/>
      <c r="X67" s="102"/>
      <c r="Y67" s="102"/>
      <c r="Z67" s="102"/>
      <c r="AA67" s="90"/>
    </row>
    <row r="68" spans="1:27" ht="18.75" thickBot="1" x14ac:dyDescent="0.4">
      <c r="A68" s="109"/>
      <c r="B68" s="102"/>
      <c r="C68" s="102"/>
      <c r="D68" s="102"/>
      <c r="E68" s="103" t="s">
        <v>265</v>
      </c>
      <c r="F68" s="186">
        <f>RCOMP_Calc/1000</f>
        <v>260.66836983827159</v>
      </c>
      <c r="G68" s="169" t="s">
        <v>181</v>
      </c>
      <c r="H68" s="149">
        <v>220</v>
      </c>
      <c r="I68" s="121" t="s">
        <v>181</v>
      </c>
      <c r="J68" s="102"/>
      <c r="K68" s="102"/>
      <c r="L68" s="102"/>
      <c r="M68" s="102"/>
      <c r="N68" s="102"/>
      <c r="O68" s="102"/>
      <c r="P68" s="102"/>
      <c r="Q68" s="102"/>
      <c r="R68" s="102"/>
      <c r="S68" s="102"/>
      <c r="T68" s="102"/>
      <c r="U68" s="102"/>
      <c r="V68" s="102"/>
      <c r="W68" s="102"/>
      <c r="X68" s="102"/>
      <c r="Y68" s="102"/>
      <c r="Z68" s="102"/>
      <c r="AA68" s="90"/>
    </row>
    <row r="69" spans="1:27" ht="18.75" thickBot="1" x14ac:dyDescent="0.4">
      <c r="A69" s="109"/>
      <c r="B69" s="102"/>
      <c r="C69" s="102"/>
      <c r="D69" s="102"/>
      <c r="E69" s="103" t="s">
        <v>380</v>
      </c>
      <c r="F69" s="186">
        <f>CCOMP_Calc*(10^9)</f>
        <v>0.87220615656415357</v>
      </c>
      <c r="G69" s="169" t="s">
        <v>183</v>
      </c>
      <c r="H69" s="149">
        <v>1</v>
      </c>
      <c r="I69" s="111" t="s">
        <v>183</v>
      </c>
      <c r="J69" s="102"/>
      <c r="K69" s="102"/>
      <c r="L69" s="102"/>
      <c r="M69" s="102"/>
      <c r="N69" s="102"/>
      <c r="O69" s="102"/>
      <c r="P69" s="102"/>
      <c r="Q69" s="102"/>
      <c r="R69" s="102"/>
      <c r="S69" s="102"/>
      <c r="T69" s="102"/>
      <c r="U69" s="102"/>
      <c r="V69" s="102"/>
      <c r="W69" s="102"/>
      <c r="X69" s="102"/>
      <c r="Y69" s="102"/>
      <c r="Z69" s="102"/>
      <c r="AA69" s="90"/>
    </row>
    <row r="70" spans="1:27" ht="18.75" thickBot="1" x14ac:dyDescent="0.4">
      <c r="A70" s="119"/>
      <c r="B70" s="115"/>
      <c r="C70" s="115"/>
      <c r="D70" s="115"/>
      <c r="E70" s="122" t="s">
        <v>381</v>
      </c>
      <c r="F70" s="148">
        <f>CHF_calc*(10^12)</f>
        <v>2.2631529787751794</v>
      </c>
      <c r="G70" s="170" t="s">
        <v>182</v>
      </c>
      <c r="H70" s="140">
        <v>3</v>
      </c>
      <c r="I70" s="116" t="s">
        <v>182</v>
      </c>
      <c r="J70" s="102"/>
      <c r="K70" s="102"/>
      <c r="L70" s="102"/>
      <c r="M70" s="102"/>
      <c r="N70" s="102"/>
      <c r="O70" s="102"/>
      <c r="P70" s="102"/>
      <c r="Q70" s="102"/>
      <c r="R70" s="102"/>
      <c r="S70" s="102"/>
      <c r="T70" s="102"/>
      <c r="U70" s="102"/>
      <c r="V70" s="102"/>
      <c r="W70" s="102"/>
      <c r="X70" s="102"/>
      <c r="Y70" s="102"/>
      <c r="Z70" s="102"/>
      <c r="AA70" s="90"/>
    </row>
    <row r="71" spans="1:27" x14ac:dyDescent="0.25">
      <c r="A71" s="92"/>
      <c r="B71" s="92"/>
      <c r="C71" s="92"/>
      <c r="D71" s="92"/>
      <c r="E71" s="93"/>
      <c r="F71" s="184"/>
      <c r="G71" s="93"/>
      <c r="H71" s="92"/>
      <c r="I71" s="92"/>
      <c r="J71" s="92"/>
      <c r="K71" s="92"/>
      <c r="L71" s="92"/>
      <c r="M71" s="92"/>
      <c r="N71" s="92"/>
      <c r="O71" s="92"/>
      <c r="P71" s="92"/>
      <c r="Q71" s="92"/>
      <c r="R71" s="92"/>
      <c r="S71" s="92"/>
      <c r="T71" s="92"/>
      <c r="U71" s="92"/>
      <c r="V71" s="92"/>
      <c r="W71" s="92"/>
      <c r="X71" s="92"/>
      <c r="Y71" s="92"/>
      <c r="Z71" s="92"/>
      <c r="AA71" s="90"/>
    </row>
    <row r="72" spans="1:27" s="159" customFormat="1" ht="23.25" x14ac:dyDescent="0.35">
      <c r="A72" s="171" t="s">
        <v>264</v>
      </c>
      <c r="B72" s="172"/>
      <c r="C72" s="172"/>
      <c r="D72" s="172"/>
      <c r="E72" s="172"/>
      <c r="F72" s="172"/>
      <c r="G72" s="173"/>
      <c r="H72" s="172"/>
      <c r="I72" s="172"/>
      <c r="J72" s="172"/>
      <c r="K72" s="172"/>
      <c r="L72" s="172"/>
      <c r="M72" s="172"/>
      <c r="N72" s="172"/>
      <c r="O72" s="172"/>
      <c r="P72" s="172"/>
      <c r="Q72" s="172"/>
      <c r="R72" s="172"/>
      <c r="S72" s="172"/>
      <c r="T72" s="172"/>
      <c r="U72" s="172"/>
      <c r="V72" s="172"/>
      <c r="W72" s="172"/>
      <c r="X72" s="174"/>
      <c r="Y72" s="174"/>
      <c r="Z72" s="174"/>
      <c r="AA72" s="189"/>
    </row>
    <row r="73" spans="1:27" s="159" customFormat="1" x14ac:dyDescent="0.25">
      <c r="A73" s="172"/>
      <c r="B73" s="172"/>
      <c r="C73" s="172"/>
      <c r="D73" s="172"/>
      <c r="E73" s="172"/>
      <c r="F73" s="172"/>
      <c r="G73" s="172"/>
      <c r="H73" s="172"/>
      <c r="I73" s="172"/>
      <c r="J73" s="172"/>
      <c r="K73" s="172"/>
      <c r="L73" s="172"/>
      <c r="M73" s="172"/>
      <c r="N73" s="172"/>
      <c r="O73" s="172"/>
      <c r="P73" s="172"/>
      <c r="Q73" s="172"/>
      <c r="R73" s="172"/>
      <c r="S73" s="172"/>
      <c r="T73" s="172"/>
      <c r="U73" s="172"/>
      <c r="V73" s="172"/>
      <c r="W73" s="172"/>
      <c r="X73" s="174"/>
      <c r="Y73" s="174"/>
      <c r="Z73" s="174"/>
      <c r="AA73" s="189"/>
    </row>
    <row r="74" spans="1:27" s="159" customFormat="1" ht="18.75" thickBot="1" x14ac:dyDescent="0.4">
      <c r="A74" s="175" t="s">
        <v>594</v>
      </c>
      <c r="B74" s="172"/>
      <c r="C74" s="172"/>
      <c r="D74" s="172"/>
      <c r="E74" s="172"/>
      <c r="F74" s="172"/>
      <c r="G74" s="172"/>
      <c r="H74" s="172"/>
      <c r="I74" s="172"/>
      <c r="J74" s="172"/>
      <c r="K74" s="172"/>
      <c r="L74" s="172"/>
      <c r="M74" s="172"/>
      <c r="N74" s="172"/>
      <c r="O74" s="172"/>
      <c r="P74" s="172"/>
      <c r="Q74" s="172"/>
      <c r="R74" s="172"/>
      <c r="S74" s="172"/>
      <c r="T74" s="172"/>
      <c r="U74" s="172"/>
      <c r="V74" s="172"/>
      <c r="W74" s="172"/>
      <c r="X74" s="174"/>
      <c r="Y74" s="174"/>
      <c r="Z74" s="174"/>
      <c r="AA74" s="189"/>
    </row>
    <row r="75" spans="1:27" s="159" customFormat="1" ht="15.75" x14ac:dyDescent="0.3">
      <c r="A75" s="190"/>
      <c r="B75" s="191"/>
      <c r="C75" s="191"/>
      <c r="D75" s="191"/>
      <c r="E75" s="191"/>
      <c r="F75" s="191"/>
      <c r="G75" s="192" t="s">
        <v>510</v>
      </c>
      <c r="H75" s="207">
        <v>3.2</v>
      </c>
      <c r="I75" s="193" t="s">
        <v>334</v>
      </c>
      <c r="J75" s="172"/>
      <c r="K75" s="172"/>
      <c r="L75" s="172"/>
      <c r="M75" s="172"/>
      <c r="N75" s="172"/>
      <c r="O75" s="172"/>
      <c r="P75" s="172"/>
      <c r="Q75" s="172"/>
      <c r="R75" s="172"/>
      <c r="S75" s="172"/>
      <c r="T75" s="172"/>
      <c r="U75" s="172"/>
      <c r="V75" s="172"/>
      <c r="W75" s="172"/>
      <c r="X75" s="174"/>
      <c r="Y75" s="174"/>
      <c r="Z75" s="174"/>
      <c r="AA75" s="189"/>
    </row>
    <row r="76" spans="1:27" s="159" customFormat="1" ht="15.75" x14ac:dyDescent="0.3">
      <c r="A76" s="194"/>
      <c r="B76" s="172"/>
      <c r="C76" s="172"/>
      <c r="D76" s="172"/>
      <c r="E76" s="172"/>
      <c r="F76" s="172"/>
      <c r="G76" s="176" t="s">
        <v>511</v>
      </c>
      <c r="H76" s="208">
        <v>12</v>
      </c>
      <c r="I76" s="195" t="s">
        <v>335</v>
      </c>
      <c r="J76" s="172"/>
      <c r="K76" s="172"/>
      <c r="L76" s="172"/>
      <c r="M76" s="172"/>
      <c r="N76" s="172"/>
      <c r="O76" s="172"/>
      <c r="P76" s="172"/>
      <c r="Q76" s="172"/>
      <c r="R76" s="172"/>
      <c r="S76" s="172"/>
      <c r="T76" s="172"/>
      <c r="U76" s="172"/>
      <c r="V76" s="172"/>
      <c r="W76" s="172"/>
      <c r="X76" s="174"/>
      <c r="Y76" s="174"/>
      <c r="Z76" s="174"/>
      <c r="AA76" s="189"/>
    </row>
    <row r="77" spans="1:27" s="159" customFormat="1" ht="15.75" x14ac:dyDescent="0.3">
      <c r="A77" s="194"/>
      <c r="B77" s="172"/>
      <c r="C77" s="172"/>
      <c r="D77" s="172"/>
      <c r="E77" s="172"/>
      <c r="F77" s="172"/>
      <c r="G77" s="176" t="s">
        <v>512</v>
      </c>
      <c r="H77" s="208">
        <v>1.7</v>
      </c>
      <c r="I77" s="195" t="s">
        <v>335</v>
      </c>
      <c r="J77" s="172"/>
      <c r="K77" s="172"/>
      <c r="L77" s="172"/>
      <c r="M77" s="172"/>
      <c r="N77" s="172"/>
      <c r="O77" s="172"/>
      <c r="P77" s="172"/>
      <c r="Q77" s="172"/>
      <c r="R77" s="172"/>
      <c r="S77" s="172"/>
      <c r="T77" s="172"/>
      <c r="U77" s="172"/>
      <c r="V77" s="172"/>
      <c r="W77" s="172"/>
      <c r="X77" s="174"/>
      <c r="Y77" s="174"/>
      <c r="Z77" s="174"/>
      <c r="AA77" s="189"/>
    </row>
    <row r="78" spans="1:27" s="159" customFormat="1" ht="15.75" x14ac:dyDescent="0.3">
      <c r="A78" s="196"/>
      <c r="B78" s="172"/>
      <c r="C78" s="172"/>
      <c r="D78" s="172"/>
      <c r="E78" s="172"/>
      <c r="F78" s="172"/>
      <c r="G78" s="176" t="s">
        <v>513</v>
      </c>
      <c r="H78" s="208">
        <v>1.9</v>
      </c>
      <c r="I78" s="195" t="s">
        <v>335</v>
      </c>
      <c r="J78" s="172"/>
      <c r="K78" s="172"/>
      <c r="L78" s="172"/>
      <c r="M78" s="172"/>
      <c r="N78" s="172"/>
      <c r="O78" s="172"/>
      <c r="P78" s="172"/>
      <c r="Q78" s="172"/>
      <c r="R78" s="172"/>
      <c r="S78" s="172"/>
      <c r="T78" s="172"/>
      <c r="U78" s="172"/>
      <c r="V78" s="172"/>
      <c r="W78" s="172"/>
      <c r="X78" s="174"/>
      <c r="Y78" s="174"/>
      <c r="Z78" s="174"/>
      <c r="AA78" s="189"/>
    </row>
    <row r="79" spans="1:27" s="159" customFormat="1" ht="15.75" x14ac:dyDescent="0.3">
      <c r="A79" s="196"/>
      <c r="B79" s="172"/>
      <c r="C79" s="172"/>
      <c r="D79" s="172"/>
      <c r="E79" s="172"/>
      <c r="F79" s="172"/>
      <c r="G79" s="176" t="s">
        <v>514</v>
      </c>
      <c r="H79" s="208">
        <v>2.2000000000000002</v>
      </c>
      <c r="I79" s="195" t="s">
        <v>336</v>
      </c>
      <c r="J79" s="172"/>
      <c r="K79" s="172"/>
      <c r="L79" s="172"/>
      <c r="M79" s="172"/>
      <c r="N79" s="172"/>
      <c r="O79" s="172"/>
      <c r="P79" s="172"/>
      <c r="Q79" s="172"/>
      <c r="R79" s="172"/>
      <c r="S79" s="172"/>
      <c r="T79" s="172"/>
      <c r="U79" s="172"/>
      <c r="V79" s="172"/>
      <c r="W79" s="172"/>
      <c r="X79" s="174"/>
      <c r="Y79" s="174"/>
      <c r="Z79" s="174"/>
      <c r="AA79" s="189"/>
    </row>
    <row r="80" spans="1:27" s="159" customFormat="1" ht="16.5" thickBot="1" x14ac:dyDescent="0.35">
      <c r="A80" s="197"/>
      <c r="B80" s="198"/>
      <c r="C80" s="198"/>
      <c r="D80" s="198"/>
      <c r="E80" s="198"/>
      <c r="F80" s="198"/>
      <c r="G80" s="199" t="s">
        <v>515</v>
      </c>
      <c r="H80" s="209">
        <v>1.1000000000000001</v>
      </c>
      <c r="I80" s="200" t="s">
        <v>10</v>
      </c>
      <c r="J80" s="172"/>
      <c r="K80" s="172"/>
      <c r="L80" s="172"/>
      <c r="M80" s="172"/>
      <c r="N80" s="172"/>
      <c r="O80" s="172"/>
      <c r="P80" s="172"/>
      <c r="Q80" s="172"/>
      <c r="R80" s="172"/>
      <c r="S80" s="172"/>
      <c r="T80" s="172"/>
      <c r="U80" s="172"/>
      <c r="V80" s="172"/>
      <c r="W80" s="172"/>
      <c r="X80" s="174"/>
      <c r="Y80" s="174"/>
      <c r="Z80" s="174"/>
      <c r="AA80" s="189"/>
    </row>
    <row r="81" spans="1:27" s="159" customFormat="1" x14ac:dyDescent="0.25">
      <c r="A81" s="172"/>
      <c r="B81" s="172"/>
      <c r="C81" s="172"/>
      <c r="D81" s="172"/>
      <c r="E81" s="172"/>
      <c r="F81" s="172"/>
      <c r="G81" s="173"/>
      <c r="H81" s="172"/>
      <c r="I81" s="172"/>
      <c r="J81" s="172"/>
      <c r="K81" s="172"/>
      <c r="L81" s="172"/>
      <c r="M81" s="172"/>
      <c r="N81" s="172"/>
      <c r="O81" s="172"/>
      <c r="P81" s="172"/>
      <c r="Q81" s="172"/>
      <c r="R81" s="172"/>
      <c r="S81" s="172"/>
      <c r="T81" s="172"/>
      <c r="U81" s="172"/>
      <c r="V81" s="172"/>
      <c r="W81" s="172"/>
      <c r="X81" s="174"/>
      <c r="Y81" s="174"/>
      <c r="Z81" s="174"/>
      <c r="AA81" s="189"/>
    </row>
    <row r="82" spans="1:27" s="159" customFormat="1" ht="18.75" thickBot="1" x14ac:dyDescent="0.4">
      <c r="A82" s="175" t="s">
        <v>595</v>
      </c>
      <c r="B82" s="172"/>
      <c r="C82" s="172"/>
      <c r="D82" s="172"/>
      <c r="E82" s="172"/>
      <c r="F82" s="172"/>
      <c r="G82" s="173"/>
      <c r="H82" s="172"/>
      <c r="I82" s="172"/>
      <c r="J82" s="172"/>
      <c r="K82" s="172"/>
      <c r="L82" s="172"/>
      <c r="M82" s="172"/>
      <c r="N82" s="172"/>
      <c r="O82" s="172"/>
      <c r="P82" s="172"/>
      <c r="Q82" s="172"/>
      <c r="R82" s="172"/>
      <c r="S82" s="172"/>
      <c r="T82" s="172"/>
      <c r="U82" s="172"/>
      <c r="V82" s="172"/>
      <c r="W82" s="172"/>
      <c r="X82" s="174"/>
      <c r="Y82" s="174"/>
      <c r="Z82" s="174"/>
      <c r="AA82" s="189"/>
    </row>
    <row r="83" spans="1:27" s="159" customFormat="1" ht="15.75" x14ac:dyDescent="0.3">
      <c r="A83" s="190"/>
      <c r="B83" s="191"/>
      <c r="C83" s="191"/>
      <c r="D83" s="191"/>
      <c r="E83" s="191"/>
      <c r="F83" s="191"/>
      <c r="G83" s="192" t="s">
        <v>583</v>
      </c>
      <c r="H83" s="207">
        <v>3.2</v>
      </c>
      <c r="I83" s="193" t="s">
        <v>334</v>
      </c>
      <c r="J83" s="172"/>
      <c r="K83" s="172"/>
      <c r="L83" s="172"/>
      <c r="M83" s="172"/>
      <c r="N83" s="172"/>
      <c r="O83" s="172"/>
      <c r="P83" s="172"/>
      <c r="Q83" s="172"/>
      <c r="R83" s="172"/>
      <c r="S83" s="172"/>
      <c r="T83" s="172"/>
      <c r="U83" s="172"/>
      <c r="V83" s="172"/>
      <c r="W83" s="172"/>
      <c r="X83" s="174"/>
      <c r="Y83" s="174"/>
      <c r="Z83" s="174"/>
      <c r="AA83" s="189"/>
    </row>
    <row r="84" spans="1:27" s="159" customFormat="1" ht="15.75" x14ac:dyDescent="0.3">
      <c r="A84" s="196"/>
      <c r="B84" s="172"/>
      <c r="C84" s="172"/>
      <c r="D84" s="172"/>
      <c r="E84" s="172"/>
      <c r="F84" s="172"/>
      <c r="G84" s="176" t="s">
        <v>584</v>
      </c>
      <c r="H84" s="208">
        <v>12</v>
      </c>
      <c r="I84" s="195" t="s">
        <v>335</v>
      </c>
      <c r="J84" s="172"/>
      <c r="K84" s="172"/>
      <c r="L84" s="172"/>
      <c r="M84" s="172"/>
      <c r="N84" s="172"/>
      <c r="O84" s="172"/>
      <c r="P84" s="172"/>
      <c r="Q84" s="172"/>
      <c r="R84" s="172"/>
      <c r="S84" s="172"/>
      <c r="T84" s="172"/>
      <c r="U84" s="172"/>
      <c r="V84" s="172"/>
      <c r="W84" s="172"/>
      <c r="X84" s="174"/>
      <c r="Y84" s="174"/>
      <c r="Z84" s="174"/>
      <c r="AA84" s="189"/>
    </row>
    <row r="85" spans="1:27" s="159" customFormat="1" ht="15.75" x14ac:dyDescent="0.3">
      <c r="A85" s="196"/>
      <c r="B85" s="172"/>
      <c r="C85" s="172"/>
      <c r="D85" s="172"/>
      <c r="E85" s="172"/>
      <c r="F85" s="172"/>
      <c r="G85" s="176" t="s">
        <v>585</v>
      </c>
      <c r="H85" s="208">
        <v>1.7</v>
      </c>
      <c r="I85" s="195" t="s">
        <v>335</v>
      </c>
      <c r="J85" s="172"/>
      <c r="K85" s="172"/>
      <c r="L85" s="172"/>
      <c r="M85" s="172"/>
      <c r="N85" s="172"/>
      <c r="O85" s="172"/>
      <c r="P85" s="172"/>
      <c r="Q85" s="172"/>
      <c r="R85" s="172"/>
      <c r="S85" s="172"/>
      <c r="T85" s="172"/>
      <c r="U85" s="172"/>
      <c r="V85" s="172"/>
      <c r="W85" s="172"/>
      <c r="X85" s="174"/>
      <c r="Y85" s="174"/>
      <c r="Z85" s="174"/>
      <c r="AA85" s="189"/>
    </row>
    <row r="86" spans="1:27" s="159" customFormat="1" ht="15.75" x14ac:dyDescent="0.3">
      <c r="A86" s="196"/>
      <c r="B86" s="172"/>
      <c r="C86" s="172"/>
      <c r="D86" s="172"/>
      <c r="E86" s="172"/>
      <c r="F86" s="172"/>
      <c r="G86" s="176" t="s">
        <v>586</v>
      </c>
      <c r="H86" s="208">
        <v>1.9</v>
      </c>
      <c r="I86" s="195" t="s">
        <v>335</v>
      </c>
      <c r="J86" s="172"/>
      <c r="K86" s="172"/>
      <c r="L86" s="172"/>
      <c r="M86" s="172"/>
      <c r="N86" s="172"/>
      <c r="O86" s="172"/>
      <c r="P86" s="172"/>
      <c r="Q86" s="172"/>
      <c r="R86" s="172"/>
      <c r="S86" s="172"/>
      <c r="T86" s="172"/>
      <c r="U86" s="172"/>
      <c r="V86" s="172"/>
      <c r="W86" s="172"/>
      <c r="X86" s="174"/>
      <c r="Y86" s="174"/>
      <c r="Z86" s="174"/>
      <c r="AA86" s="189"/>
    </row>
    <row r="87" spans="1:27" s="159" customFormat="1" ht="15.75" x14ac:dyDescent="0.3">
      <c r="A87" s="196"/>
      <c r="B87" s="172"/>
      <c r="C87" s="172"/>
      <c r="D87" s="172"/>
      <c r="E87" s="172"/>
      <c r="F87" s="172"/>
      <c r="G87" s="176" t="s">
        <v>582</v>
      </c>
      <c r="H87" s="208">
        <v>2.2000000000000002</v>
      </c>
      <c r="I87" s="195" t="s">
        <v>336</v>
      </c>
      <c r="J87" s="172"/>
      <c r="K87" s="172"/>
      <c r="L87" s="172"/>
      <c r="M87" s="172"/>
      <c r="N87" s="172"/>
      <c r="O87" s="172"/>
      <c r="P87" s="172"/>
      <c r="Q87" s="172"/>
      <c r="R87" s="172"/>
      <c r="S87" s="172"/>
      <c r="T87" s="172"/>
      <c r="U87" s="172"/>
      <c r="V87" s="172"/>
      <c r="W87" s="172"/>
      <c r="X87" s="174"/>
      <c r="Y87" s="174"/>
      <c r="Z87" s="174"/>
      <c r="AA87" s="189"/>
    </row>
    <row r="88" spans="1:27" s="159" customFormat="1" ht="15.75" x14ac:dyDescent="0.3">
      <c r="A88" s="196"/>
      <c r="B88" s="172"/>
      <c r="C88" s="172"/>
      <c r="D88" s="172"/>
      <c r="E88" s="172"/>
      <c r="F88" s="172"/>
      <c r="G88" s="176" t="s">
        <v>581</v>
      </c>
      <c r="H88" s="208">
        <v>1.1000000000000001</v>
      </c>
      <c r="I88" s="195" t="s">
        <v>10</v>
      </c>
      <c r="J88" s="172"/>
      <c r="K88" s="172"/>
      <c r="L88" s="172"/>
      <c r="M88" s="172"/>
      <c r="N88" s="172"/>
      <c r="O88" s="172"/>
      <c r="P88" s="172"/>
      <c r="Q88" s="172"/>
      <c r="R88" s="172"/>
      <c r="S88" s="172"/>
      <c r="T88" s="172"/>
      <c r="U88" s="172"/>
      <c r="V88" s="172"/>
      <c r="W88" s="172"/>
      <c r="X88" s="174"/>
      <c r="Y88" s="174"/>
      <c r="Z88" s="174"/>
      <c r="AA88" s="189"/>
    </row>
    <row r="89" spans="1:27" s="159" customFormat="1" ht="18" x14ac:dyDescent="0.35">
      <c r="A89" s="196"/>
      <c r="B89" s="172"/>
      <c r="C89" s="172"/>
      <c r="D89" s="172"/>
      <c r="E89" s="172"/>
      <c r="F89" s="172"/>
      <c r="G89" s="173" t="s">
        <v>579</v>
      </c>
      <c r="H89" s="208">
        <v>0</v>
      </c>
      <c r="I89" s="201" t="s">
        <v>335</v>
      </c>
      <c r="J89" s="172"/>
      <c r="K89" s="172"/>
      <c r="L89" s="172"/>
      <c r="M89" s="172"/>
      <c r="N89" s="172"/>
      <c r="O89" s="172"/>
      <c r="P89" s="172"/>
      <c r="Q89" s="172"/>
      <c r="R89" s="172"/>
      <c r="S89" s="172"/>
      <c r="T89" s="172"/>
      <c r="U89" s="172"/>
      <c r="V89" s="172"/>
      <c r="W89" s="172"/>
      <c r="X89" s="174"/>
      <c r="Y89" s="174"/>
      <c r="Z89" s="174"/>
      <c r="AA89" s="189"/>
    </row>
    <row r="90" spans="1:27" s="159" customFormat="1" ht="18.75" thickBot="1" x14ac:dyDescent="0.4">
      <c r="A90" s="197"/>
      <c r="B90" s="198"/>
      <c r="C90" s="198"/>
      <c r="D90" s="198"/>
      <c r="E90" s="198"/>
      <c r="F90" s="198"/>
      <c r="G90" s="202" t="s">
        <v>580</v>
      </c>
      <c r="H90" s="209">
        <v>0.5</v>
      </c>
      <c r="I90" s="203" t="s">
        <v>10</v>
      </c>
      <c r="J90" s="172"/>
      <c r="K90" s="172"/>
      <c r="L90" s="172"/>
      <c r="M90" s="172"/>
      <c r="N90" s="172"/>
      <c r="O90" s="172"/>
      <c r="P90" s="172"/>
      <c r="Q90" s="172"/>
      <c r="R90" s="172"/>
      <c r="S90" s="172"/>
      <c r="T90" s="172"/>
      <c r="U90" s="172"/>
      <c r="V90" s="172"/>
      <c r="W90" s="172"/>
      <c r="X90" s="174"/>
      <c r="Y90" s="174"/>
      <c r="Z90" s="174"/>
      <c r="AA90" s="189"/>
    </row>
    <row r="91" spans="1:27" x14ac:dyDescent="0.25">
      <c r="A91" s="172"/>
      <c r="B91" s="172"/>
      <c r="C91" s="172"/>
      <c r="D91" s="172"/>
      <c r="E91" s="172"/>
      <c r="F91" s="172"/>
      <c r="G91" s="173"/>
      <c r="H91" s="172"/>
      <c r="I91" s="172"/>
      <c r="J91" s="172"/>
      <c r="K91" s="172"/>
      <c r="L91" s="172"/>
      <c r="M91" s="172"/>
      <c r="N91" s="172"/>
      <c r="O91" s="172"/>
      <c r="P91" s="172"/>
      <c r="Q91" s="172"/>
      <c r="R91" s="172"/>
      <c r="S91" s="172"/>
      <c r="T91" s="172"/>
      <c r="U91" s="172"/>
      <c r="V91" s="172"/>
      <c r="W91" s="172"/>
      <c r="X91" s="102"/>
      <c r="Y91" s="102"/>
      <c r="Z91" s="102"/>
      <c r="AA91" s="92"/>
    </row>
    <row r="92" spans="1:27" x14ac:dyDescent="0.25">
      <c r="A92" s="172"/>
      <c r="B92" s="172"/>
      <c r="C92" s="172"/>
      <c r="D92" s="172"/>
      <c r="E92" s="172"/>
      <c r="F92" s="172"/>
      <c r="G92" s="173"/>
      <c r="H92" s="172"/>
      <c r="I92" s="172"/>
      <c r="J92" s="172"/>
      <c r="K92" s="172"/>
      <c r="L92" s="172"/>
      <c r="M92" s="172"/>
      <c r="N92" s="172"/>
      <c r="O92" s="172"/>
      <c r="P92" s="172"/>
      <c r="Q92" s="172"/>
      <c r="R92" s="172"/>
      <c r="S92" s="172"/>
      <c r="T92" s="172"/>
      <c r="U92" s="172"/>
      <c r="V92" s="172"/>
      <c r="W92" s="172"/>
      <c r="X92" s="102"/>
      <c r="Y92" s="102"/>
      <c r="Z92" s="102"/>
      <c r="AA92" s="92"/>
    </row>
    <row r="93" spans="1:27" x14ac:dyDescent="0.25">
      <c r="A93" s="172"/>
      <c r="B93" s="172"/>
      <c r="C93" s="172"/>
      <c r="D93" s="172"/>
      <c r="E93" s="172"/>
      <c r="F93" s="172"/>
      <c r="G93" s="173"/>
      <c r="H93" s="172"/>
      <c r="I93" s="172"/>
      <c r="J93" s="172"/>
      <c r="K93" s="172"/>
      <c r="L93" s="172"/>
      <c r="M93" s="172"/>
      <c r="N93" s="172"/>
      <c r="O93" s="172"/>
      <c r="P93" s="172"/>
      <c r="Q93" s="172"/>
      <c r="R93" s="172"/>
      <c r="S93" s="172"/>
      <c r="T93" s="172"/>
      <c r="U93" s="172"/>
      <c r="V93" s="172"/>
      <c r="W93" s="172"/>
      <c r="X93" s="102"/>
      <c r="Y93" s="102"/>
      <c r="Z93" s="102"/>
      <c r="AA93" s="92"/>
    </row>
    <row r="94" spans="1:27" x14ac:dyDescent="0.25">
      <c r="A94" s="172"/>
      <c r="B94" s="172"/>
      <c r="C94" s="172"/>
      <c r="D94" s="172"/>
      <c r="E94" s="172"/>
      <c r="F94" s="172"/>
      <c r="G94" s="173"/>
      <c r="H94" s="172"/>
      <c r="I94" s="172"/>
      <c r="J94" s="172"/>
      <c r="K94" s="172"/>
      <c r="L94" s="172"/>
      <c r="M94" s="172"/>
      <c r="N94" s="172"/>
      <c r="O94" s="172"/>
      <c r="P94" s="172"/>
      <c r="Q94" s="172"/>
      <c r="R94" s="172"/>
      <c r="S94" s="172"/>
      <c r="T94" s="172"/>
      <c r="U94" s="172"/>
      <c r="V94" s="172"/>
      <c r="W94" s="172"/>
      <c r="X94" s="102"/>
      <c r="Y94" s="102"/>
      <c r="Z94" s="102"/>
      <c r="AA94" s="92"/>
    </row>
    <row r="95" spans="1:27" x14ac:dyDescent="0.25">
      <c r="A95" s="172"/>
      <c r="B95" s="172"/>
      <c r="C95" s="172"/>
      <c r="D95" s="172"/>
      <c r="E95" s="172"/>
      <c r="F95" s="172"/>
      <c r="G95" s="173"/>
      <c r="H95" s="172"/>
      <c r="I95" s="172"/>
      <c r="J95" s="172"/>
      <c r="K95" s="172"/>
      <c r="L95" s="172"/>
      <c r="M95" s="172"/>
      <c r="N95" s="172"/>
      <c r="O95" s="172"/>
      <c r="P95" s="172"/>
      <c r="Q95" s="172"/>
      <c r="R95" s="172"/>
      <c r="S95" s="172"/>
      <c r="T95" s="172"/>
      <c r="U95" s="172"/>
      <c r="V95" s="172"/>
      <c r="W95" s="172"/>
      <c r="X95" s="102"/>
      <c r="Y95" s="102"/>
      <c r="Z95" s="102"/>
      <c r="AA95" s="92"/>
    </row>
    <row r="96" spans="1:27" x14ac:dyDescent="0.25">
      <c r="A96" s="102"/>
      <c r="B96" s="102"/>
      <c r="C96" s="102"/>
      <c r="D96" s="102"/>
      <c r="E96" s="102"/>
      <c r="F96" s="102"/>
      <c r="G96" s="103"/>
      <c r="H96" s="102"/>
      <c r="I96" s="102"/>
      <c r="J96" s="102"/>
      <c r="K96" s="102"/>
      <c r="L96" s="102"/>
      <c r="M96" s="102"/>
      <c r="N96" s="102"/>
      <c r="O96" s="102"/>
      <c r="P96" s="102"/>
      <c r="Q96" s="102"/>
      <c r="R96" s="102"/>
      <c r="S96" s="102"/>
      <c r="T96" s="102"/>
      <c r="U96" s="102"/>
      <c r="V96" s="102"/>
      <c r="W96" s="102"/>
      <c r="X96" s="102"/>
      <c r="Y96" s="102"/>
      <c r="Z96" s="102"/>
      <c r="AA96" s="92"/>
    </row>
    <row r="97" spans="1:27" x14ac:dyDescent="0.25">
      <c r="A97" s="102"/>
      <c r="B97" s="102"/>
      <c r="C97" s="102"/>
      <c r="D97" s="102"/>
      <c r="E97" s="102"/>
      <c r="F97" s="102"/>
      <c r="G97" s="103"/>
      <c r="H97" s="102"/>
      <c r="I97" s="102"/>
      <c r="J97" s="102"/>
      <c r="K97" s="102"/>
      <c r="L97" s="102"/>
      <c r="M97" s="102"/>
      <c r="N97" s="102"/>
      <c r="O97" s="102"/>
      <c r="P97" s="102"/>
      <c r="Q97" s="102"/>
      <c r="R97" s="102"/>
      <c r="S97" s="102"/>
      <c r="T97" s="102"/>
      <c r="U97" s="102"/>
      <c r="V97" s="102"/>
      <c r="W97" s="102"/>
      <c r="X97" s="102"/>
      <c r="Y97" s="102"/>
      <c r="Z97" s="102"/>
      <c r="AA97" s="92"/>
    </row>
    <row r="98" spans="1:27" x14ac:dyDescent="0.25">
      <c r="A98" s="92"/>
      <c r="B98" s="92"/>
      <c r="C98" s="92"/>
      <c r="D98" s="92"/>
      <c r="E98" s="92"/>
      <c r="F98" s="92"/>
      <c r="G98" s="93"/>
      <c r="H98" s="92"/>
      <c r="I98" s="92"/>
      <c r="J98" s="92"/>
      <c r="K98" s="92"/>
      <c r="L98" s="92"/>
      <c r="M98" s="92"/>
      <c r="N98" s="92"/>
      <c r="O98" s="92"/>
      <c r="P98" s="92"/>
      <c r="Q98" s="92"/>
      <c r="R98" s="92"/>
      <c r="S98" s="92"/>
      <c r="T98" s="92"/>
      <c r="U98" s="92"/>
      <c r="V98" s="92"/>
      <c r="W98" s="92"/>
      <c r="X98" s="92"/>
      <c r="Y98" s="92"/>
      <c r="Z98" s="92"/>
      <c r="AA98" s="90"/>
    </row>
  </sheetData>
  <pageMargins left="0.2" right="0.2" top="0.25" bottom="0.25" header="0" footer="0"/>
  <pageSetup paperSize="9" scale="44"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60" r:id="rId4" name="Spinner 36">
              <controlPr defaultSize="0" autoPict="0">
                <anchor moveWithCells="1" sizeWithCells="1">
                  <from>
                    <xdr:col>7</xdr:col>
                    <xdr:colOff>561975</xdr:colOff>
                    <xdr:row>53</xdr:row>
                    <xdr:rowOff>0</xdr:rowOff>
                  </from>
                  <to>
                    <xdr:col>8</xdr:col>
                    <xdr:colOff>9525</xdr:colOff>
                    <xdr:row>55</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showInputMessage="1" showErrorMessage="1" xr:uid="{00000000-0002-0000-0000-000000000000}">
          <x14:formula1>
            <xm:f>Lists!$F$3:$F$5</xm:f>
          </x14:formula1>
          <xm:sqref>H12</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Q268"/>
  <sheetViews>
    <sheetView zoomScaleNormal="100" workbookViewId="0">
      <pane ySplit="5" topLeftCell="A6" activePane="bottomLeft" state="frozen"/>
      <selection pane="bottomLeft" activeCell="C53" sqref="C53"/>
    </sheetView>
  </sheetViews>
  <sheetFormatPr baseColWidth="10" defaultColWidth="9.140625" defaultRowHeight="15" x14ac:dyDescent="0.25"/>
  <cols>
    <col min="1" max="1" width="28.85546875" customWidth="1"/>
    <col min="2" max="2" width="19.5703125" customWidth="1"/>
    <col min="3" max="3" width="10.85546875" customWidth="1"/>
    <col min="4" max="4" width="10" bestFit="1" customWidth="1"/>
    <col min="5" max="5" width="18.5703125" customWidth="1"/>
    <col min="6" max="6" width="14.85546875" customWidth="1"/>
    <col min="7" max="7" width="15.140625" customWidth="1"/>
    <col min="8" max="9" width="12.5703125" customWidth="1"/>
    <col min="12" max="12" width="12.42578125" bestFit="1" customWidth="1"/>
  </cols>
  <sheetData>
    <row r="1" spans="1:17" ht="27.75" x14ac:dyDescent="0.4">
      <c r="A1" s="213" t="s">
        <v>15</v>
      </c>
      <c r="B1" s="213"/>
      <c r="C1" s="213"/>
      <c r="D1" s="213"/>
      <c r="E1" s="213"/>
      <c r="F1" s="213"/>
      <c r="G1" s="213"/>
      <c r="H1" s="213"/>
      <c r="I1" s="213"/>
      <c r="J1" s="213"/>
    </row>
    <row r="2" spans="1:17" x14ac:dyDescent="0.25">
      <c r="A2" s="5"/>
      <c r="B2" s="5" t="s">
        <v>16</v>
      </c>
      <c r="C2" s="6"/>
      <c r="D2" s="4"/>
      <c r="E2" s="5"/>
      <c r="F2" s="5"/>
      <c r="G2" s="5"/>
      <c r="H2" s="5"/>
      <c r="I2" s="5"/>
      <c r="J2" s="5"/>
    </row>
    <row r="3" spans="1:17" x14ac:dyDescent="0.25">
      <c r="A3" s="5"/>
      <c r="B3" s="5" t="s">
        <v>17</v>
      </c>
      <c r="C3" s="7"/>
      <c r="D3" s="4"/>
      <c r="E3" s="5"/>
      <c r="F3" s="14" t="s">
        <v>60</v>
      </c>
      <c r="G3" s="15" t="s">
        <v>61</v>
      </c>
      <c r="H3" s="24" t="s">
        <v>533</v>
      </c>
      <c r="I3" s="5"/>
      <c r="J3" s="5"/>
    </row>
    <row r="4" spans="1:17" x14ac:dyDescent="0.25">
      <c r="A4" s="5"/>
      <c r="B4" s="5" t="s">
        <v>18</v>
      </c>
      <c r="C4" s="8"/>
      <c r="D4" s="4"/>
      <c r="E4" s="5"/>
      <c r="F4" s="5"/>
      <c r="G4" s="5"/>
      <c r="H4" s="5"/>
      <c r="I4" s="5"/>
      <c r="J4" s="5"/>
    </row>
    <row r="5" spans="1:17" x14ac:dyDescent="0.25">
      <c r="A5" s="9" t="s">
        <v>19</v>
      </c>
      <c r="B5" s="9" t="s">
        <v>20</v>
      </c>
      <c r="C5" s="9" t="s">
        <v>21</v>
      </c>
      <c r="D5" s="4"/>
      <c r="E5" s="214" t="s">
        <v>22</v>
      </c>
      <c r="F5" s="214"/>
      <c r="G5" s="214"/>
      <c r="H5" s="214"/>
      <c r="I5" s="5"/>
      <c r="J5" s="9" t="s">
        <v>23</v>
      </c>
      <c r="K5" s="9" t="s">
        <v>67</v>
      </c>
      <c r="L5" s="4"/>
      <c r="M5" s="4"/>
      <c r="N5" s="4"/>
      <c r="O5" s="4"/>
      <c r="P5" s="4"/>
      <c r="Q5" s="4"/>
    </row>
    <row r="6" spans="1:17" ht="15.75" x14ac:dyDescent="0.25">
      <c r="A6" s="10" t="s">
        <v>24</v>
      </c>
      <c r="B6" s="9"/>
      <c r="C6" s="9"/>
      <c r="D6" s="9"/>
      <c r="E6" s="5"/>
      <c r="F6" s="5"/>
      <c r="G6" s="5"/>
      <c r="H6" s="5"/>
      <c r="I6" s="5"/>
      <c r="J6" s="9"/>
      <c r="K6" s="4"/>
      <c r="L6" s="4"/>
      <c r="M6" s="4"/>
      <c r="N6" s="4"/>
      <c r="O6" s="4"/>
      <c r="P6" s="4"/>
      <c r="Q6" s="4"/>
    </row>
    <row r="7" spans="1:17" x14ac:dyDescent="0.25">
      <c r="A7" t="s">
        <v>25</v>
      </c>
      <c r="B7" s="3">
        <f>'Design Converter'!H7</f>
        <v>11</v>
      </c>
      <c r="C7" t="s">
        <v>10</v>
      </c>
      <c r="E7" t="s">
        <v>28</v>
      </c>
    </row>
    <row r="8" spans="1:17" x14ac:dyDescent="0.25">
      <c r="A8" t="s">
        <v>26</v>
      </c>
      <c r="B8" s="3">
        <f>'Design Converter'!H8</f>
        <v>11</v>
      </c>
      <c r="C8" t="s">
        <v>10</v>
      </c>
      <c r="E8" t="s">
        <v>29</v>
      </c>
      <c r="K8">
        <f>IF(VIN_min&lt;VIN_min,1,IF(VIN_nom&gt;VIN_max,1,0))</f>
        <v>0</v>
      </c>
    </row>
    <row r="9" spans="1:17" x14ac:dyDescent="0.25">
      <c r="A9" t="s">
        <v>27</v>
      </c>
      <c r="B9" s="3">
        <f>'Design Converter'!H9</f>
        <v>22</v>
      </c>
      <c r="C9" t="s">
        <v>10</v>
      </c>
      <c r="E9" t="s">
        <v>30</v>
      </c>
    </row>
    <row r="10" spans="1:17" x14ac:dyDescent="0.25">
      <c r="A10" t="s">
        <v>64</v>
      </c>
      <c r="B10" s="3">
        <f>'Design Converter'!H13*1000</f>
        <v>2000000</v>
      </c>
      <c r="C10" t="s">
        <v>65</v>
      </c>
      <c r="E10" t="s">
        <v>66</v>
      </c>
    </row>
    <row r="11" spans="1:17" x14ac:dyDescent="0.25">
      <c r="A11" t="s">
        <v>68</v>
      </c>
      <c r="B11" s="18">
        <f>((2.21*10^10)/Fsw)-955</f>
        <v>10095</v>
      </c>
      <c r="C11" s="2" t="s">
        <v>36</v>
      </c>
      <c r="E11" t="s">
        <v>69</v>
      </c>
    </row>
    <row r="12" spans="1:17" x14ac:dyDescent="0.25">
      <c r="A12" t="s">
        <v>31</v>
      </c>
      <c r="B12" s="3">
        <f>'Design Converter'!H10</f>
        <v>53.5</v>
      </c>
      <c r="C12" t="s">
        <v>10</v>
      </c>
      <c r="E12" t="s">
        <v>32</v>
      </c>
    </row>
    <row r="13" spans="1:17" x14ac:dyDescent="0.25">
      <c r="A13" t="s">
        <v>33</v>
      </c>
      <c r="B13" s="3">
        <f>'Design Converter'!H11</f>
        <v>6</v>
      </c>
      <c r="C13" t="s">
        <v>11</v>
      </c>
      <c r="E13" t="s">
        <v>34</v>
      </c>
    </row>
    <row r="14" spans="1:17" x14ac:dyDescent="0.25">
      <c r="A14" t="s">
        <v>35</v>
      </c>
      <c r="B14" s="17">
        <f>VOUT/IOUT</f>
        <v>8.9166666666666661</v>
      </c>
      <c r="C14" s="2" t="s">
        <v>36</v>
      </c>
      <c r="E14" t="s">
        <v>41</v>
      </c>
    </row>
    <row r="15" spans="1:17" x14ac:dyDescent="0.25">
      <c r="A15" t="s">
        <v>37</v>
      </c>
      <c r="B15" s="1">
        <f>VOUT*IOUT</f>
        <v>321</v>
      </c>
      <c r="C15" s="2" t="s">
        <v>38</v>
      </c>
      <c r="E15" t="s">
        <v>40</v>
      </c>
    </row>
    <row r="16" spans="1:17" x14ac:dyDescent="0.25">
      <c r="A16" t="s">
        <v>39</v>
      </c>
      <c r="B16" s="11">
        <v>1</v>
      </c>
      <c r="E16" t="s">
        <v>525</v>
      </c>
    </row>
    <row r="17" spans="1:11" x14ac:dyDescent="0.25">
      <c r="A17" t="s">
        <v>531</v>
      </c>
      <c r="B17" s="12">
        <v>1</v>
      </c>
      <c r="E17" t="s">
        <v>532</v>
      </c>
    </row>
    <row r="19" spans="1:11" x14ac:dyDescent="0.25">
      <c r="A19" t="s">
        <v>518</v>
      </c>
      <c r="B19">
        <f>IF(VOUT&lt;=15,1,2)</f>
        <v>2</v>
      </c>
      <c r="E19" t="s">
        <v>520</v>
      </c>
    </row>
    <row r="20" spans="1:11" x14ac:dyDescent="0.25">
      <c r="A20" t="s">
        <v>522</v>
      </c>
      <c r="B20">
        <f>IF('Design Converter'!H12="FPWM",3,IF('Design Converter'!H12="DEM",2,1))</f>
        <v>3</v>
      </c>
      <c r="E20" t="s">
        <v>523</v>
      </c>
    </row>
    <row r="22" spans="1:11" x14ac:dyDescent="0.25">
      <c r="A22" t="s">
        <v>42</v>
      </c>
      <c r="B22" s="1">
        <f>1-VIN_min*EFF_est/VOUT</f>
        <v>0.79439252336448596</v>
      </c>
      <c r="E22" t="s">
        <v>420</v>
      </c>
    </row>
    <row r="23" spans="1:11" x14ac:dyDescent="0.25">
      <c r="A23" t="s">
        <v>43</v>
      </c>
      <c r="B23" s="12">
        <f>Constants!B20-0.02</f>
        <v>0.79818181818181821</v>
      </c>
      <c r="E23" t="s">
        <v>528</v>
      </c>
    </row>
    <row r="24" spans="1:11" x14ac:dyDescent="0.25">
      <c r="B24" s="160"/>
    </row>
    <row r="25" spans="1:11" x14ac:dyDescent="0.25">
      <c r="A25" t="s">
        <v>424</v>
      </c>
      <c r="B25" s="150">
        <f>IF(B22&gt;Dc_max_IC,1,2)</f>
        <v>2</v>
      </c>
      <c r="E25" t="s">
        <v>526</v>
      </c>
      <c r="K25">
        <f>IF(B25=1,1,0)</f>
        <v>0</v>
      </c>
    </row>
    <row r="26" spans="1:11" x14ac:dyDescent="0.25">
      <c r="E26" t="s">
        <v>527</v>
      </c>
    </row>
    <row r="28" spans="1:11" x14ac:dyDescent="0.25">
      <c r="A28" s="19" t="s">
        <v>72</v>
      </c>
      <c r="E28" t="b">
        <f>AND((1-(VIN_max/VOUT))&lt;Dc_rip_max,(1-(VIN_min/VOUT))&lt;Dc_rip_max)</f>
        <v>0</v>
      </c>
    </row>
    <row r="29" spans="1:11" x14ac:dyDescent="0.25">
      <c r="A29" s="151" t="s">
        <v>426</v>
      </c>
    </row>
    <row r="30" spans="1:11" x14ac:dyDescent="0.25">
      <c r="A30" t="s">
        <v>88</v>
      </c>
      <c r="B30" s="3">
        <f>'Design Converter'!H21/100</f>
        <v>0.6</v>
      </c>
      <c r="E30" t="s">
        <v>107</v>
      </c>
    </row>
    <row r="31" spans="1:11" x14ac:dyDescent="0.25">
      <c r="A31" t="s">
        <v>118</v>
      </c>
      <c r="B31" s="12">
        <v>0.33</v>
      </c>
      <c r="C31" t="s">
        <v>13</v>
      </c>
      <c r="E31" t="s">
        <v>117</v>
      </c>
    </row>
    <row r="32" spans="1:11" x14ac:dyDescent="0.25">
      <c r="A32" t="s">
        <v>425</v>
      </c>
      <c r="B32" s="16">
        <f>IF(AND((1-(VIN_max/VOUT))&lt;Dc_rip_max,(1-(VIN_min/VOUT))&gt;=Dc_rip_max),Dc_rip_max,IF((1-(VIN_max/VOUT))&gt;Dc_rip_max,(1-(VIN_max/VOUT)),IF((1-(VIN_min/VOUT))&lt;Dc_rip_max,(1-(VIN_min/VOUT)),0.33)))</f>
        <v>0.58878504672897192</v>
      </c>
    </row>
    <row r="33" spans="1:5" x14ac:dyDescent="0.25">
      <c r="A33" t="s">
        <v>94</v>
      </c>
      <c r="B33" s="1">
        <f>VOUT*(1-DC_rip)</f>
        <v>22.000000000000004</v>
      </c>
      <c r="C33" t="s">
        <v>10</v>
      </c>
      <c r="E33" t="s">
        <v>120</v>
      </c>
    </row>
    <row r="35" spans="1:5" x14ac:dyDescent="0.25">
      <c r="A35" t="s">
        <v>95</v>
      </c>
      <c r="B35" s="16">
        <f>(VOUT*IOUT)/(VIN_33)</f>
        <v>14.590909090909088</v>
      </c>
      <c r="C35" t="s">
        <v>11</v>
      </c>
      <c r="E35" t="s">
        <v>119</v>
      </c>
    </row>
    <row r="36" spans="1:5" x14ac:dyDescent="0.25">
      <c r="A36" t="s">
        <v>96</v>
      </c>
      <c r="B36" s="23">
        <f>(VIN_33*DC_rip)/(IIN_33*ILrip*Fsw)</f>
        <v>7.3980260284741063E-7</v>
      </c>
      <c r="C36" t="s">
        <v>87</v>
      </c>
      <c r="E36" t="s">
        <v>440</v>
      </c>
    </row>
    <row r="38" spans="1:5" x14ac:dyDescent="0.25">
      <c r="A38" s="151" t="s">
        <v>529</v>
      </c>
    </row>
    <row r="39" spans="1:5" x14ac:dyDescent="0.25">
      <c r="A39" t="s">
        <v>429</v>
      </c>
      <c r="B39" s="3">
        <f>'Design Converter'!H21/100</f>
        <v>0.6</v>
      </c>
      <c r="E39" t="s">
        <v>430</v>
      </c>
    </row>
    <row r="40" spans="1:5" x14ac:dyDescent="0.25">
      <c r="A40" t="s">
        <v>428</v>
      </c>
      <c r="B40" s="23">
        <f>((DC_DCM_max^2)*(VIN_min^2))/(2*IOUT*VOUT*Fsw-2*IOUT*VIN_min*Fsw)</f>
        <v>4.2705882352941173E-8</v>
      </c>
      <c r="C40" t="s">
        <v>87</v>
      </c>
      <c r="E40" t="s">
        <v>427</v>
      </c>
    </row>
    <row r="41" spans="1:5" x14ac:dyDescent="0.25">
      <c r="A41" t="s">
        <v>431</v>
      </c>
      <c r="B41" s="12">
        <v>0.2</v>
      </c>
      <c r="E41" t="s">
        <v>432</v>
      </c>
    </row>
    <row r="42" spans="1:5" x14ac:dyDescent="0.25">
      <c r="A42" t="s">
        <v>433</v>
      </c>
      <c r="B42" s="23">
        <f>(1-M_L_DCM)*((VIN_min^2)*(1-(VIN_min/VOUT)))/(2*IOUT*VOUT*Fsw)</f>
        <v>5.9888782135266547E-8</v>
      </c>
      <c r="C42" t="s">
        <v>87</v>
      </c>
      <c r="E42" t="s">
        <v>434</v>
      </c>
    </row>
    <row r="43" spans="1:5" x14ac:dyDescent="0.25">
      <c r="A43" t="s">
        <v>435</v>
      </c>
      <c r="B43" s="23">
        <f>MIN(B40,B42)</f>
        <v>4.2705882352941173E-8</v>
      </c>
      <c r="C43" t="s">
        <v>87</v>
      </c>
      <c r="E43" t="s">
        <v>436</v>
      </c>
    </row>
    <row r="44" spans="1:5" x14ac:dyDescent="0.25">
      <c r="B44" s="154"/>
    </row>
    <row r="45" spans="1:5" x14ac:dyDescent="0.25">
      <c r="A45" t="s">
        <v>439</v>
      </c>
      <c r="B45" s="23">
        <f>IF(B25=1,B43,Lopt_2)</f>
        <v>7.3980260284741063E-7</v>
      </c>
      <c r="E45" t="s">
        <v>437</v>
      </c>
    </row>
    <row r="47" spans="1:5" x14ac:dyDescent="0.25">
      <c r="A47" t="s">
        <v>89</v>
      </c>
      <c r="B47" s="21">
        <f>CHOOSE(B25,'Design Converter'!H23*10^-9,'Design Converter'!H23*10^-6)</f>
        <v>8.1999999999999988E-7</v>
      </c>
      <c r="C47" t="s">
        <v>87</v>
      </c>
      <c r="E47" t="s">
        <v>90</v>
      </c>
    </row>
    <row r="48" spans="1:5" x14ac:dyDescent="0.25">
      <c r="A48" t="s">
        <v>91</v>
      </c>
      <c r="B48" s="3">
        <f>'Design Converter'!H24*10^-3</f>
        <v>2.3E-3</v>
      </c>
      <c r="C48" s="2" t="s">
        <v>36</v>
      </c>
      <c r="E48" t="s">
        <v>121</v>
      </c>
    </row>
    <row r="49" spans="1:9" x14ac:dyDescent="0.25">
      <c r="A49" t="s">
        <v>122</v>
      </c>
      <c r="B49" s="12">
        <v>0.2</v>
      </c>
      <c r="C49" s="2"/>
      <c r="E49" t="s">
        <v>123</v>
      </c>
    </row>
    <row r="50" spans="1:9" x14ac:dyDescent="0.25">
      <c r="B50" t="s">
        <v>97</v>
      </c>
    </row>
    <row r="51" spans="1:9" x14ac:dyDescent="0.25">
      <c r="A51" s="31" t="s">
        <v>441</v>
      </c>
    </row>
    <row r="53" spans="1:9" x14ac:dyDescent="0.25">
      <c r="A53" s="22" t="s">
        <v>442</v>
      </c>
    </row>
    <row r="54" spans="1:9" x14ac:dyDescent="0.25">
      <c r="A54" t="s">
        <v>443</v>
      </c>
      <c r="B54">
        <f>IF(B20=3,1,IF((VOUT*IOUT)/(VIN_min*Np)&lt;((VIN_min*(1-(VIN_min/VOUT)))/(2*Lm*Fsw)),0,1))</f>
        <v>1</v>
      </c>
      <c r="E54" t="s">
        <v>534</v>
      </c>
      <c r="I54" s="31"/>
    </row>
    <row r="55" spans="1:9" x14ac:dyDescent="0.25">
      <c r="A55" t="s">
        <v>77</v>
      </c>
      <c r="B55" s="1">
        <f>IF(B54=0,SQRT((2*(IOUT/Np)*Lm*Fsw*(VOUT-VIN_min)/(VIN_min^2))),(1-VIN_min/VOUT))</f>
        <v>0.79439252336448596</v>
      </c>
      <c r="E55" t="s">
        <v>421</v>
      </c>
    </row>
    <row r="56" spans="1:9" x14ac:dyDescent="0.25">
      <c r="B56" s="13">
        <f>B55/Fsw</f>
        <v>3.9719626168224298E-7</v>
      </c>
      <c r="C56" t="s">
        <v>51</v>
      </c>
      <c r="E56" t="s">
        <v>276</v>
      </c>
    </row>
    <row r="57" spans="1:9" x14ac:dyDescent="0.25">
      <c r="A57" t="s">
        <v>82</v>
      </c>
      <c r="B57" s="17">
        <f>(VOUT*IOUT)/(VIN_min)</f>
        <v>29.181818181818183</v>
      </c>
      <c r="C57" t="s">
        <v>11</v>
      </c>
      <c r="E57" t="s">
        <v>84</v>
      </c>
    </row>
    <row r="58" spans="1:9" x14ac:dyDescent="0.25">
      <c r="A58" t="s">
        <v>100</v>
      </c>
      <c r="B58" s="16">
        <f>(VIN_min*Dc_VIN_min)/(Lm*Fsw)</f>
        <v>5.3282425347617979</v>
      </c>
      <c r="C58" t="s">
        <v>11</v>
      </c>
      <c r="E58" t="s">
        <v>101</v>
      </c>
    </row>
    <row r="59" spans="1:9" x14ac:dyDescent="0.25">
      <c r="A59" t="s">
        <v>98</v>
      </c>
      <c r="B59" s="16">
        <f>IF(B54=0,(VIN_min*Dc_VIN_min)/(Lm*Fsw),(IL_avg_VIN_min/EFF_est)+(ILrip_VINmin/2))</f>
        <v>31.845939449199083</v>
      </c>
      <c r="C59" t="s">
        <v>11</v>
      </c>
      <c r="E59" t="s">
        <v>99</v>
      </c>
    </row>
    <row r="61" spans="1:9" x14ac:dyDescent="0.25">
      <c r="A61" s="22" t="s">
        <v>29</v>
      </c>
    </row>
    <row r="62" spans="1:9" x14ac:dyDescent="0.25">
      <c r="A62" t="s">
        <v>444</v>
      </c>
      <c r="B62">
        <f>IF(B20=3,1,IF((VOUT*IOUT)/(VIN_nom*Np)&lt;((VIN_nom*(1-(VIN_nom/VOUT)))/(2*Lm*Fsw)),0,1))</f>
        <v>1</v>
      </c>
      <c r="E62" t="s">
        <v>530</v>
      </c>
    </row>
    <row r="63" spans="1:9" x14ac:dyDescent="0.25">
      <c r="A63" t="s">
        <v>78</v>
      </c>
      <c r="B63" s="1">
        <f>IF(B62=0,SQRT((2*(IOUT/Np)*Lm*Fsw*(VOUT-VIN_nom)/(VIN_nom^2))),(1-VIN_nom/VOUT))</f>
        <v>0.79439252336448596</v>
      </c>
      <c r="E63" t="s">
        <v>422</v>
      </c>
    </row>
    <row r="64" spans="1:9" x14ac:dyDescent="0.25">
      <c r="B64" s="13">
        <f>B63/Fsw</f>
        <v>3.9719626168224298E-7</v>
      </c>
      <c r="C64" t="s">
        <v>51</v>
      </c>
      <c r="E64" t="s">
        <v>276</v>
      </c>
    </row>
    <row r="65" spans="1:5" x14ac:dyDescent="0.25">
      <c r="A65" t="s">
        <v>83</v>
      </c>
      <c r="B65" s="17">
        <f>(VOUT*IOUT)/(VIN_nom)</f>
        <v>29.181818181818183</v>
      </c>
      <c r="C65" t="s">
        <v>11</v>
      </c>
      <c r="E65" t="s">
        <v>85</v>
      </c>
    </row>
    <row r="66" spans="1:5" x14ac:dyDescent="0.25">
      <c r="A66" t="s">
        <v>102</v>
      </c>
      <c r="B66" s="16">
        <f>(VIN_nom*Dc_VIN_nom)/(Lm*Fsw)</f>
        <v>5.3282425347617979</v>
      </c>
      <c r="C66" t="s">
        <v>11</v>
      </c>
      <c r="E66" t="s">
        <v>108</v>
      </c>
    </row>
    <row r="67" spans="1:5" x14ac:dyDescent="0.25">
      <c r="A67" t="s">
        <v>103</v>
      </c>
      <c r="B67" s="16">
        <f>IF(B62=0,(VIN_nom*Dc_VIN_nom)/(Lm*Fsw),(IL_avg_VIN_nom/EFF_est)+(ILrip_VINnom/2))</f>
        <v>31.845939449199083</v>
      </c>
      <c r="C67" t="s">
        <v>11</v>
      </c>
      <c r="E67" t="s">
        <v>109</v>
      </c>
    </row>
    <row r="69" spans="1:5" x14ac:dyDescent="0.25">
      <c r="A69" s="22" t="s">
        <v>30</v>
      </c>
    </row>
    <row r="70" spans="1:5" x14ac:dyDescent="0.25">
      <c r="A70" t="s">
        <v>445</v>
      </c>
      <c r="B70">
        <f>IF(B20=3,1,IF((VOUT*IOUT)/(VIN_max*Np)&lt;((VIN_max*(1-(VIN_max/VOUT)))/(2*Lm*Fsw)),0,1))</f>
        <v>1</v>
      </c>
      <c r="E70" t="s">
        <v>530</v>
      </c>
    </row>
    <row r="71" spans="1:5" x14ac:dyDescent="0.25">
      <c r="A71" t="s">
        <v>79</v>
      </c>
      <c r="B71" s="1">
        <f>IF(B70=0,SQRT((2*(IOUT/Np)*Lm*Fsw*(VOUT-VIN_max)/(VIN_max^2))),(1-VIN_max/VOUT))</f>
        <v>0.58878504672897192</v>
      </c>
      <c r="E71" t="s">
        <v>423</v>
      </c>
    </row>
    <row r="72" spans="1:5" x14ac:dyDescent="0.25">
      <c r="B72" s="13">
        <f>B71/Fsw</f>
        <v>2.9439252336448598E-7</v>
      </c>
      <c r="C72" t="s">
        <v>51</v>
      </c>
      <c r="E72" t="s">
        <v>276</v>
      </c>
    </row>
    <row r="73" spans="1:5" x14ac:dyDescent="0.25">
      <c r="A73" t="s">
        <v>446</v>
      </c>
      <c r="B73" s="17">
        <f>(VOUT*IOUT)/(VIN_max)</f>
        <v>14.590909090909092</v>
      </c>
      <c r="C73" t="s">
        <v>11</v>
      </c>
      <c r="E73" t="s">
        <v>86</v>
      </c>
    </row>
    <row r="74" spans="1:5" x14ac:dyDescent="0.25">
      <c r="A74" t="s">
        <v>104</v>
      </c>
      <c r="B74" s="16">
        <f>(VIN_max*Dc_VIN_max)/(Lm*Fsw)</f>
        <v>7.8983359927057215</v>
      </c>
      <c r="C74" t="s">
        <v>11</v>
      </c>
      <c r="E74" t="s">
        <v>110</v>
      </c>
    </row>
    <row r="75" spans="1:5" x14ac:dyDescent="0.25">
      <c r="A75" t="s">
        <v>105</v>
      </c>
      <c r="B75" s="16">
        <f>IF(B70=0,(VIN_max*Dc_VIN_max)/(Lm*Fsw),(IL_avg_VIN_max/EFF_est)+(ILrip_VINmax/2))</f>
        <v>18.540077087261952</v>
      </c>
      <c r="C75" t="s">
        <v>11</v>
      </c>
      <c r="E75" t="s">
        <v>111</v>
      </c>
    </row>
    <row r="77" spans="1:5" x14ac:dyDescent="0.25">
      <c r="A77" s="19" t="s">
        <v>106</v>
      </c>
    </row>
    <row r="78" spans="1:5" x14ac:dyDescent="0.25">
      <c r="A78" t="s">
        <v>113</v>
      </c>
      <c r="B78" s="3">
        <f>'Design Converter'!H28/100</f>
        <v>0.3</v>
      </c>
      <c r="E78" t="s">
        <v>114</v>
      </c>
    </row>
    <row r="79" spans="1:5" x14ac:dyDescent="0.25">
      <c r="A79" t="s">
        <v>601</v>
      </c>
      <c r="B79" s="12">
        <v>0.95</v>
      </c>
      <c r="E79" t="s">
        <v>602</v>
      </c>
    </row>
    <row r="80" spans="1:5" x14ac:dyDescent="0.25">
      <c r="A80" t="s">
        <v>115</v>
      </c>
      <c r="B80" s="17">
        <f>IF(B54=0,(1+Ipk_margin)*ILp_VINmin,((IL_avg_VIN_min/B79)+(ILrip_VINmin/2))*(1+Ipk_margin))</f>
        <v>43.396372001662158</v>
      </c>
      <c r="C80" t="s">
        <v>11</v>
      </c>
      <c r="E80" t="s">
        <v>116</v>
      </c>
    </row>
    <row r="81" spans="1:11" x14ac:dyDescent="0.25">
      <c r="B81" s="34"/>
    </row>
    <row r="82" spans="1:11" x14ac:dyDescent="0.25">
      <c r="A82" t="s">
        <v>126</v>
      </c>
      <c r="B82" s="12">
        <v>0.66600000000000004</v>
      </c>
      <c r="E82" t="s">
        <v>535</v>
      </c>
    </row>
    <row r="83" spans="1:11" x14ac:dyDescent="0.25">
      <c r="A83" t="s">
        <v>124</v>
      </c>
      <c r="B83" s="23">
        <f>IF(OR(Dc_VIN_min&lt;0.5,B54=0),1000,(Lm*Vsl*Fsw)/(B82*(VOUT-VIN_min)))</f>
        <v>2.6073131955484889E-3</v>
      </c>
      <c r="C83" s="2" t="s">
        <v>36</v>
      </c>
      <c r="E83" t="s">
        <v>125</v>
      </c>
    </row>
    <row r="84" spans="1:11" x14ac:dyDescent="0.25">
      <c r="A84" t="s">
        <v>131</v>
      </c>
      <c r="B84" s="23">
        <f>Vcl/Ipk_selected</f>
        <v>1.3826040572631716E-3</v>
      </c>
      <c r="C84" s="2" t="s">
        <v>36</v>
      </c>
      <c r="E84" t="s">
        <v>492</v>
      </c>
    </row>
    <row r="86" spans="1:11" x14ac:dyDescent="0.25">
      <c r="A86" t="s">
        <v>134</v>
      </c>
      <c r="B86" s="1">
        <f>IF(Rcs_wo_sl&gt;Rcs_max,1,0)</f>
        <v>0</v>
      </c>
      <c r="E86" t="s">
        <v>448</v>
      </c>
    </row>
    <row r="87" spans="1:11" x14ac:dyDescent="0.25">
      <c r="A87" t="s">
        <v>135</v>
      </c>
      <c r="B87" s="25">
        <f>IF(B54=0,Rcs_wo_sl,IF(B86=0,Rcs_wo_sl,Rcs_w_sl))</f>
        <v>1.3826040572631716E-3</v>
      </c>
      <c r="C87" s="2" t="s">
        <v>36</v>
      </c>
      <c r="E87" t="s">
        <v>447</v>
      </c>
    </row>
    <row r="88" spans="1:11" x14ac:dyDescent="0.25">
      <c r="A88" t="s">
        <v>136</v>
      </c>
      <c r="B88" s="1">
        <v>0</v>
      </c>
      <c r="C88" s="2" t="s">
        <v>36</v>
      </c>
      <c r="E88" t="s">
        <v>536</v>
      </c>
    </row>
    <row r="90" spans="1:11" x14ac:dyDescent="0.25">
      <c r="A90" t="s">
        <v>137</v>
      </c>
      <c r="B90" s="26">
        <f>'Design Converter'!H31/1000</f>
        <v>1.1999999999999999E-3</v>
      </c>
      <c r="C90" s="2" t="s">
        <v>36</v>
      </c>
      <c r="E90" t="s">
        <v>139</v>
      </c>
    </row>
    <row r="91" spans="1:11" x14ac:dyDescent="0.25">
      <c r="A91" t="s">
        <v>138</v>
      </c>
      <c r="B91" s="3">
        <v>0</v>
      </c>
      <c r="C91" s="2" t="s">
        <v>36</v>
      </c>
      <c r="E91" t="s">
        <v>537</v>
      </c>
    </row>
    <row r="93" spans="1:11" x14ac:dyDescent="0.25">
      <c r="A93" t="s">
        <v>142</v>
      </c>
      <c r="B93">
        <f>(Vsl*Fsw)/(((VOUT-VIN_min)/Lm)*R_cs)</f>
        <v>1.4470588235294117</v>
      </c>
      <c r="C93" t="s">
        <v>150</v>
      </c>
      <c r="E93" t="s">
        <v>140</v>
      </c>
      <c r="K93">
        <f>IF(B62=0,0,IF(B93&lt;0.5,1,0))</f>
        <v>0</v>
      </c>
    </row>
    <row r="94" spans="1:11" x14ac:dyDescent="0.25">
      <c r="A94" t="s">
        <v>144</v>
      </c>
      <c r="B94" s="17">
        <f>(Vcl-(Isl*R_sl*Dc_VIN_min))/R_cs</f>
        <v>50</v>
      </c>
      <c r="C94" t="s">
        <v>11</v>
      </c>
      <c r="E94" t="s">
        <v>146</v>
      </c>
      <c r="K94">
        <f>IF(IL_pk&lt;Ipk_selected,1,0)</f>
        <v>0</v>
      </c>
    </row>
    <row r="95" spans="1:11" x14ac:dyDescent="0.25">
      <c r="A95" t="s">
        <v>145</v>
      </c>
      <c r="B95" s="17">
        <f>(Vcl-(Isl*R_sl*Dc_VIN_max))/R_cs</f>
        <v>50</v>
      </c>
      <c r="C95" t="s">
        <v>11</v>
      </c>
      <c r="E95" t="s">
        <v>147</v>
      </c>
    </row>
    <row r="96" spans="1:11" x14ac:dyDescent="0.25">
      <c r="A96" t="s">
        <v>148</v>
      </c>
      <c r="B96" s="12">
        <f>0.15</f>
        <v>0.15</v>
      </c>
      <c r="E96" t="s">
        <v>149</v>
      </c>
    </row>
    <row r="97" spans="1:5" x14ac:dyDescent="0.25">
      <c r="A97" t="s">
        <v>151</v>
      </c>
      <c r="B97" s="20">
        <f>(1+B96)*B95</f>
        <v>57.499999999999993</v>
      </c>
      <c r="C97" t="s">
        <v>11</v>
      </c>
      <c r="E97" t="s">
        <v>152</v>
      </c>
    </row>
    <row r="99" spans="1:5" x14ac:dyDescent="0.25">
      <c r="A99" s="22" t="s">
        <v>153</v>
      </c>
      <c r="E99" t="s">
        <v>538</v>
      </c>
    </row>
    <row r="102" spans="1:5" x14ac:dyDescent="0.25">
      <c r="A102" s="28" t="s">
        <v>154</v>
      </c>
      <c r="E102" t="s">
        <v>549</v>
      </c>
    </row>
    <row r="104" spans="1:5" x14ac:dyDescent="0.25">
      <c r="A104" t="s">
        <v>449</v>
      </c>
      <c r="B104" s="1">
        <f>IF(B54=0,2*Fsw/(Dc_VIN_min*5),(VOUT/IOUT)*((VIN_min^2)/VOUT^2)/(Lm*5))</f>
        <v>91938.302560595708</v>
      </c>
      <c r="C104" t="s">
        <v>489</v>
      </c>
      <c r="E104" t="s">
        <v>540</v>
      </c>
    </row>
    <row r="105" spans="1:5" x14ac:dyDescent="0.25">
      <c r="B105">
        <f>B104/(2*PI())</f>
        <v>14632.435311997066</v>
      </c>
      <c r="C105" t="s">
        <v>65</v>
      </c>
    </row>
    <row r="106" spans="1:5" x14ac:dyDescent="0.25">
      <c r="A106" t="s">
        <v>160</v>
      </c>
      <c r="B106" s="29">
        <f>'Design Converter'!H35/1000</f>
        <v>0.05</v>
      </c>
      <c r="C106" t="s">
        <v>10</v>
      </c>
      <c r="E106" t="s">
        <v>159</v>
      </c>
    </row>
    <row r="107" spans="1:5" x14ac:dyDescent="0.25">
      <c r="A107" t="s">
        <v>450</v>
      </c>
      <c r="B107" s="1">
        <f>IOUT-0.5*IOUT</f>
        <v>3</v>
      </c>
      <c r="C107" t="s">
        <v>11</v>
      </c>
    </row>
    <row r="108" spans="1:5" x14ac:dyDescent="0.25">
      <c r="A108" t="s">
        <v>161</v>
      </c>
      <c r="B108" s="1">
        <f>B107/(Vout_rip_sel*B104)</f>
        <v>6.5261157024793382E-4</v>
      </c>
      <c r="C108" t="s">
        <v>162</v>
      </c>
      <c r="E108" t="s">
        <v>163</v>
      </c>
    </row>
    <row r="109" spans="1:5" x14ac:dyDescent="0.25">
      <c r="A109" t="s">
        <v>164</v>
      </c>
      <c r="B109" s="165">
        <f>SQRT((1-Dc_VIN_min)*((IOUT^2)*(Dc_VIN_min/((1-Dc_VIN_min)^2))+((ILrip_VINmin^2)/3)))</f>
        <v>11.875885344977727</v>
      </c>
      <c r="C109" t="s">
        <v>11</v>
      </c>
      <c r="E109" s="31" t="s">
        <v>541</v>
      </c>
    </row>
    <row r="110" spans="1:5" x14ac:dyDescent="0.25">
      <c r="A110" t="s">
        <v>169</v>
      </c>
      <c r="B110" s="3">
        <f>'Design Converter'!H37*(10^-6)</f>
        <v>1E-3</v>
      </c>
      <c r="C110" t="s">
        <v>162</v>
      </c>
      <c r="E110" t="s">
        <v>167</v>
      </c>
    </row>
    <row r="111" spans="1:5" x14ac:dyDescent="0.25">
      <c r="A111" t="s">
        <v>166</v>
      </c>
      <c r="B111" s="3">
        <f>'Design Converter'!H38/1000</f>
        <v>1E-3</v>
      </c>
      <c r="C111" s="2" t="s">
        <v>36</v>
      </c>
      <c r="E111" t="s">
        <v>168</v>
      </c>
    </row>
    <row r="112" spans="1:5" x14ac:dyDescent="0.25">
      <c r="A112" t="s">
        <v>274</v>
      </c>
      <c r="B112" s="166">
        <f>SQRT((IOUT^2)+(IL_avg_VIN_min^2)-(2*IOUT*IL_avg_VIN_min)-(2*Dc_VIN_min*(IOUT^2))-(Dc_VIN_min*(IL_avg_VIN_min^2))+(2*Dc_VIN_min*IOUT*IL_avg_VIN_min))</f>
        <v>9.0495661447754525</v>
      </c>
      <c r="E112" s="164" t="s">
        <v>275</v>
      </c>
    </row>
    <row r="113" spans="1:7" x14ac:dyDescent="0.25">
      <c r="E113" s="72"/>
    </row>
    <row r="115" spans="1:7" x14ac:dyDescent="0.25">
      <c r="A115" s="28" t="s">
        <v>292</v>
      </c>
    </row>
    <row r="116" spans="1:7" x14ac:dyDescent="0.25">
      <c r="A116" t="s">
        <v>278</v>
      </c>
      <c r="B116" s="12">
        <f>Iss</f>
        <v>1.9999999999999998E-5</v>
      </c>
      <c r="C116" t="s">
        <v>11</v>
      </c>
      <c r="E116" t="s">
        <v>280</v>
      </c>
    </row>
    <row r="117" spans="1:7" x14ac:dyDescent="0.25">
      <c r="A117" t="s">
        <v>281</v>
      </c>
      <c r="B117" s="1">
        <f>Iss*VOUT*Cout/(Vref*IOUT)</f>
        <v>1.7833333333333333E-7</v>
      </c>
      <c r="C117" t="s">
        <v>162</v>
      </c>
      <c r="E117" t="s">
        <v>282</v>
      </c>
    </row>
    <row r="118" spans="1:7" x14ac:dyDescent="0.25">
      <c r="A118" t="s">
        <v>283</v>
      </c>
      <c r="B118" s="3">
        <f>'Design Converter'!H42*(10^-3)</f>
        <v>0.01</v>
      </c>
      <c r="C118" t="s">
        <v>51</v>
      </c>
      <c r="E118" t="s">
        <v>284</v>
      </c>
    </row>
    <row r="119" spans="1:7" x14ac:dyDescent="0.25">
      <c r="A119" t="s">
        <v>287</v>
      </c>
      <c r="B119" s="1">
        <f>(tss*Iss)/(Vref*(1-(VIN_min/VOUT)))</f>
        <v>2.5176470588235294E-7</v>
      </c>
      <c r="C119" t="s">
        <v>162</v>
      </c>
      <c r="E119" t="s">
        <v>288</v>
      </c>
    </row>
    <row r="121" spans="1:7" x14ac:dyDescent="0.25">
      <c r="A121" s="28" t="s">
        <v>291</v>
      </c>
    </row>
    <row r="122" spans="1:7" x14ac:dyDescent="0.25">
      <c r="A122" t="s">
        <v>293</v>
      </c>
      <c r="B122" s="3">
        <f>'Design Converter'!H46</f>
        <v>10</v>
      </c>
      <c r="C122" t="s">
        <v>10</v>
      </c>
      <c r="E122" t="s">
        <v>295</v>
      </c>
      <c r="G122" s="31"/>
    </row>
    <row r="123" spans="1:7" x14ac:dyDescent="0.25">
      <c r="A123" t="s">
        <v>294</v>
      </c>
      <c r="B123" s="3">
        <f>'Design Converter'!H47</f>
        <v>9</v>
      </c>
      <c r="C123" t="s">
        <v>10</v>
      </c>
      <c r="E123" t="s">
        <v>296</v>
      </c>
    </row>
    <row r="124" spans="1:7" x14ac:dyDescent="0.25">
      <c r="A124" t="s">
        <v>298</v>
      </c>
      <c r="B124" s="12">
        <f>UV_rise</f>
        <v>1.1000000000000001</v>
      </c>
      <c r="C124" t="s">
        <v>10</v>
      </c>
      <c r="E124" t="s">
        <v>303</v>
      </c>
    </row>
    <row r="125" spans="1:7" x14ac:dyDescent="0.25">
      <c r="A125" t="s">
        <v>299</v>
      </c>
      <c r="B125" s="12">
        <f>UV_fall</f>
        <v>1.075</v>
      </c>
      <c r="C125" t="s">
        <v>10</v>
      </c>
      <c r="E125" t="s">
        <v>302</v>
      </c>
    </row>
    <row r="126" spans="1:7" x14ac:dyDescent="0.25">
      <c r="A126" t="s">
        <v>304</v>
      </c>
      <c r="B126" s="12">
        <f>UV_I_hyst</f>
        <v>9.9999999999999991E-6</v>
      </c>
      <c r="C126" t="s">
        <v>11</v>
      </c>
      <c r="E126" t="s">
        <v>306</v>
      </c>
      <c r="G126" s="168">
        <f>(Vuvlo_on*0.977)-Vuvlo_off</f>
        <v>0.76999999999999957</v>
      </c>
    </row>
    <row r="127" spans="1:7" x14ac:dyDescent="0.25">
      <c r="A127" t="s">
        <v>307</v>
      </c>
      <c r="B127" s="16">
        <f>((Vuvlo_on*(UV_fall/UV_rise))-Vuvlo_off)/UV_I_hyst</f>
        <v>77272.727272727163</v>
      </c>
      <c r="C127" s="2" t="s">
        <v>36</v>
      </c>
      <c r="E127" t="s">
        <v>394</v>
      </c>
      <c r="G127" s="20">
        <f>B125/B124</f>
        <v>0.97727272727272718</v>
      </c>
    </row>
    <row r="128" spans="1:7" x14ac:dyDescent="0.25">
      <c r="A128" t="s">
        <v>307</v>
      </c>
      <c r="B128" s="3">
        <f>'Design Converter'!H49*1000</f>
        <v>77000</v>
      </c>
      <c r="C128" s="2" t="s">
        <v>36</v>
      </c>
      <c r="E128" t="s">
        <v>395</v>
      </c>
    </row>
    <row r="129" spans="1:7" x14ac:dyDescent="0.25">
      <c r="A129" t="s">
        <v>308</v>
      </c>
      <c r="B129" s="18">
        <f>UV_rise*Ruvlo_top/(Vuvlo_on-UV_rise)</f>
        <v>9516.8539325842685</v>
      </c>
      <c r="C129" s="2" t="s">
        <v>36</v>
      </c>
      <c r="E129" t="s">
        <v>396</v>
      </c>
    </row>
    <row r="130" spans="1:7" x14ac:dyDescent="0.25">
      <c r="A130" t="s">
        <v>309</v>
      </c>
      <c r="B130" s="34">
        <f>UV_rise*(Ruvlo_top+Ruvlo_bottom_calc)/Ruvlo_bottom_calc</f>
        <v>10.000000000000002</v>
      </c>
      <c r="E130" t="s">
        <v>311</v>
      </c>
    </row>
    <row r="131" spans="1:7" x14ac:dyDescent="0.25">
      <c r="A131" t="s">
        <v>310</v>
      </c>
      <c r="B131" s="34">
        <f>Ruvlo_top*((UV_fall/Ruvlo_top)-(UV_I_hyst)+(UV_fall/Ruvlo_bottom_calc))</f>
        <v>9.002727272727272</v>
      </c>
      <c r="E131" t="s">
        <v>312</v>
      </c>
      <c r="G131" s="31"/>
    </row>
    <row r="134" spans="1:7" x14ac:dyDescent="0.25">
      <c r="A134" s="28" t="s">
        <v>171</v>
      </c>
    </row>
    <row r="135" spans="1:7" x14ac:dyDescent="0.25">
      <c r="A135" s="32" t="s">
        <v>197</v>
      </c>
      <c r="B135" s="3" t="str">
        <f>'Design Converter'!H54</f>
        <v>11V</v>
      </c>
      <c r="C135" t="s">
        <v>10</v>
      </c>
      <c r="E135" t="s">
        <v>238</v>
      </c>
    </row>
    <row r="136" spans="1:7" x14ac:dyDescent="0.25">
      <c r="A136" s="32"/>
    </row>
    <row r="137" spans="1:7" x14ac:dyDescent="0.25">
      <c r="A137" s="31" t="s">
        <v>252</v>
      </c>
    </row>
    <row r="138" spans="1:7" x14ac:dyDescent="0.25">
      <c r="A138" t="s">
        <v>550</v>
      </c>
      <c r="B138">
        <f>VOUT_range</f>
        <v>2</v>
      </c>
      <c r="E138" t="s">
        <v>520</v>
      </c>
    </row>
    <row r="139" spans="1:7" x14ac:dyDescent="0.25">
      <c r="A139" t="s">
        <v>551</v>
      </c>
      <c r="B139">
        <f>CHOOSE(VOUT_range,Kfb_low,Kfb_high)</f>
        <v>60</v>
      </c>
      <c r="C139" t="s">
        <v>150</v>
      </c>
    </row>
    <row r="140" spans="1:7" x14ac:dyDescent="0.25">
      <c r="A140" t="s">
        <v>558</v>
      </c>
      <c r="B140">
        <f>CHOOSE(VOUT_range,Rmax_low,Rmax_high)</f>
        <v>35000</v>
      </c>
      <c r="C140" t="s">
        <v>469</v>
      </c>
    </row>
    <row r="141" spans="1:7" x14ac:dyDescent="0.25">
      <c r="A141" t="s">
        <v>559</v>
      </c>
      <c r="B141">
        <f>CHOOSE(VOUT_range,Rmin_low,Rmin_high)</f>
        <v>20000</v>
      </c>
      <c r="C141" t="s">
        <v>469</v>
      </c>
    </row>
    <row r="142" spans="1:7" x14ac:dyDescent="0.25">
      <c r="A142" t="s">
        <v>562</v>
      </c>
      <c r="B142" s="1">
        <f>VOUT/Kfb</f>
        <v>0.89166666666666672</v>
      </c>
      <c r="C142" t="s">
        <v>10</v>
      </c>
      <c r="E142" t="s">
        <v>563</v>
      </c>
    </row>
    <row r="143" spans="1:7" x14ac:dyDescent="0.25">
      <c r="A143" t="s">
        <v>560</v>
      </c>
      <c r="B143" s="1">
        <f>((Vref*Rmax)-(VTRK*Rmax))/Vref</f>
        <v>3791.6666666666642</v>
      </c>
      <c r="E143">
        <f>Vref</f>
        <v>1</v>
      </c>
    </row>
    <row r="144" spans="1:7" x14ac:dyDescent="0.25">
      <c r="A144" t="s">
        <v>561</v>
      </c>
      <c r="B144" s="1">
        <f>((Vref*Rmin)-(VTRK*Rmin))/Vref</f>
        <v>2166.6666666666642</v>
      </c>
    </row>
    <row r="145" spans="1:5" x14ac:dyDescent="0.25">
      <c r="A145" t="s">
        <v>189</v>
      </c>
      <c r="B145" s="3">
        <f>'Design Converter'!H60*(10^3)</f>
        <v>3300</v>
      </c>
      <c r="C145" s="2" t="s">
        <v>36</v>
      </c>
      <c r="E145" t="s">
        <v>239</v>
      </c>
    </row>
    <row r="146" spans="1:5" x14ac:dyDescent="0.25">
      <c r="A146" t="s">
        <v>243</v>
      </c>
      <c r="B146" s="18">
        <f>RFBT/((Vref/VTRK)-1)</f>
        <v>27161.538461538483</v>
      </c>
      <c r="C146" s="2" t="s">
        <v>36</v>
      </c>
      <c r="E146" t="s">
        <v>246</v>
      </c>
    </row>
    <row r="147" spans="1:5" x14ac:dyDescent="0.25">
      <c r="A147" t="s">
        <v>190</v>
      </c>
      <c r="B147" s="3">
        <f>'Design Converter'!H62*(10^3)</f>
        <v>27000</v>
      </c>
      <c r="C147" s="2" t="s">
        <v>36</v>
      </c>
      <c r="E147" t="s">
        <v>247</v>
      </c>
    </row>
    <row r="148" spans="1:5" x14ac:dyDescent="0.25">
      <c r="A148" t="s">
        <v>248</v>
      </c>
      <c r="B148">
        <f>VOUT/(RFBB+RFBT)</f>
        <v>1.7656765676567657E-3</v>
      </c>
      <c r="C148" s="2" t="s">
        <v>11</v>
      </c>
      <c r="E148" t="s">
        <v>567</v>
      </c>
    </row>
    <row r="149" spans="1:5" x14ac:dyDescent="0.25">
      <c r="C149" s="2"/>
    </row>
    <row r="150" spans="1:5" x14ac:dyDescent="0.25">
      <c r="A150" s="31" t="s">
        <v>253</v>
      </c>
      <c r="E150" t="s">
        <v>388</v>
      </c>
    </row>
    <row r="152" spans="1:5" x14ac:dyDescent="0.25">
      <c r="A152" s="22" t="s">
        <v>452</v>
      </c>
      <c r="E152" t="s">
        <v>504</v>
      </c>
    </row>
    <row r="153" spans="1:5" x14ac:dyDescent="0.25">
      <c r="A153" s="22"/>
    </row>
    <row r="154" spans="1:5" x14ac:dyDescent="0.25">
      <c r="A154" t="s">
        <v>501</v>
      </c>
      <c r="B154" s="20">
        <f>(R_cs*Acs/(2*Lm*Fsw))*(1-(VIN_min/VOUT))*(VIN_min/VOUT)</f>
        <v>5.9755991044057525E-4</v>
      </c>
      <c r="E154" t="s">
        <v>497</v>
      </c>
    </row>
    <row r="155" spans="1:5" x14ac:dyDescent="0.25">
      <c r="A155" t="s">
        <v>502</v>
      </c>
      <c r="B155" s="20">
        <f>1/((0.5-(1-(VIN_min/VOUT)))*(R_cs*Acs/(Lm*Fsw))+(Vsl*Acs/VOUT))</f>
        <v>159.81785063752281</v>
      </c>
      <c r="E155" t="s">
        <v>497</v>
      </c>
    </row>
    <row r="156" spans="1:5" x14ac:dyDescent="0.25">
      <c r="A156" t="s">
        <v>503</v>
      </c>
      <c r="B156" s="20">
        <f>2+((VOUT*((VIN_min/VOUT)^2))/(IOUT*R_cs*Acs))*((1/Km_VINmin)+(Kex_VINmin/(VIN_min/VOUT)))</f>
        <v>2.2878442182971921</v>
      </c>
      <c r="E156" t="s">
        <v>497</v>
      </c>
    </row>
    <row r="157" spans="1:5" x14ac:dyDescent="0.25">
      <c r="A157" s="22"/>
      <c r="B157" s="20"/>
    </row>
    <row r="158" spans="1:5" x14ac:dyDescent="0.25">
      <c r="A158" s="22"/>
      <c r="B158" s="20"/>
    </row>
    <row r="159" spans="1:5" x14ac:dyDescent="0.25">
      <c r="A159" s="22"/>
      <c r="B159" s="20"/>
    </row>
    <row r="160" spans="1:5" x14ac:dyDescent="0.25">
      <c r="A160" t="s">
        <v>398</v>
      </c>
      <c r="B160" s="20">
        <f>(Gcomp*(VIN_min/VOUT)*(VOUT/IOUT))/(Kd_VINmin*R_cs*Acs/Np)</f>
        <v>66.778050951164843</v>
      </c>
    </row>
    <row r="161" spans="1:5" x14ac:dyDescent="0.25">
      <c r="B161" s="20"/>
    </row>
    <row r="162" spans="1:5" x14ac:dyDescent="0.25">
      <c r="A162" t="s">
        <v>399</v>
      </c>
      <c r="B162" s="20">
        <f>Kd_VINmin/(Cout*(VOUT/IOUT))</f>
        <v>256.5806599959468</v>
      </c>
      <c r="C162" t="s">
        <v>385</v>
      </c>
      <c r="E162" t="s">
        <v>384</v>
      </c>
    </row>
    <row r="163" spans="1:5" x14ac:dyDescent="0.25">
      <c r="A163" t="s">
        <v>400</v>
      </c>
      <c r="B163" s="20">
        <f>B162/(2*PI())</f>
        <v>40.836080340135858</v>
      </c>
      <c r="C163" t="s">
        <v>65</v>
      </c>
      <c r="E163" t="s">
        <v>249</v>
      </c>
    </row>
    <row r="164" spans="1:5" x14ac:dyDescent="0.25">
      <c r="B164" s="20"/>
    </row>
    <row r="165" spans="1:5" x14ac:dyDescent="0.25">
      <c r="A165" t="s">
        <v>401</v>
      </c>
      <c r="B165" s="20">
        <f>1/(Cout*Resr)</f>
        <v>1000000</v>
      </c>
      <c r="C165" t="s">
        <v>386</v>
      </c>
      <c r="E165" t="s">
        <v>387</v>
      </c>
    </row>
    <row r="166" spans="1:5" x14ac:dyDescent="0.25">
      <c r="A166" t="s">
        <v>402</v>
      </c>
      <c r="B166" s="20">
        <f>B165/(2*PI())</f>
        <v>159154.94309189534</v>
      </c>
      <c r="C166" t="s">
        <v>65</v>
      </c>
      <c r="E166" t="s">
        <v>251</v>
      </c>
    </row>
    <row r="167" spans="1:5" x14ac:dyDescent="0.25">
      <c r="B167" s="20"/>
    </row>
    <row r="168" spans="1:5" x14ac:dyDescent="0.25">
      <c r="A168" t="s">
        <v>403</v>
      </c>
      <c r="B168" s="20">
        <f>((VOUT/IOUT)*((VIN_min/VOUT)^2))/(Lm)</f>
        <v>459691.51280297857</v>
      </c>
      <c r="E168" t="s">
        <v>383</v>
      </c>
    </row>
    <row r="169" spans="1:5" x14ac:dyDescent="0.25">
      <c r="A169" t="s">
        <v>404</v>
      </c>
      <c r="B169" s="20">
        <f>B168/(2*PI())</f>
        <v>73162.176559985339</v>
      </c>
      <c r="C169" t="s">
        <v>65</v>
      </c>
      <c r="E169" t="s">
        <v>250</v>
      </c>
    </row>
    <row r="170" spans="1:5" x14ac:dyDescent="0.25">
      <c r="B170" s="20">
        <f>Fsw/10</f>
        <v>200000</v>
      </c>
      <c r="C170" t="s">
        <v>65</v>
      </c>
      <c r="E170" t="s">
        <v>256</v>
      </c>
    </row>
    <row r="171" spans="1:5" x14ac:dyDescent="0.25">
      <c r="B171" s="30">
        <f>IF((B169/5)&lt;(B170),0,1)</f>
        <v>0</v>
      </c>
      <c r="E171" t="s">
        <v>257</v>
      </c>
    </row>
    <row r="172" spans="1:5" x14ac:dyDescent="0.25">
      <c r="B172" s="20"/>
    </row>
    <row r="173" spans="1:5" x14ac:dyDescent="0.25">
      <c r="A173" t="s">
        <v>405</v>
      </c>
      <c r="B173" s="20">
        <f>(Vsl*Fsw)</f>
        <v>90000</v>
      </c>
      <c r="C173" t="s">
        <v>150</v>
      </c>
      <c r="E173" t="s">
        <v>505</v>
      </c>
    </row>
    <row r="174" spans="1:5" x14ac:dyDescent="0.25">
      <c r="A174" t="s">
        <v>406</v>
      </c>
      <c r="B174" s="20">
        <f>(R_cs*VIN_min)/Lm</f>
        <v>16097.560975609756</v>
      </c>
      <c r="C174" t="s">
        <v>150</v>
      </c>
      <c r="E174" t="s">
        <v>214</v>
      </c>
    </row>
    <row r="175" spans="1:5" x14ac:dyDescent="0.25">
      <c r="B175" s="20"/>
    </row>
    <row r="176" spans="1:5" x14ac:dyDescent="0.25">
      <c r="A176" t="s">
        <v>407</v>
      </c>
      <c r="B176" s="20">
        <f>2*PI()*Fsw</f>
        <v>12566370.614359172</v>
      </c>
      <c r="C176" t="s">
        <v>216</v>
      </c>
      <c r="E176" t="s">
        <v>498</v>
      </c>
    </row>
    <row r="177" spans="1:5" x14ac:dyDescent="0.25">
      <c r="A177" t="s">
        <v>408</v>
      </c>
      <c r="B177" s="20">
        <f>1/(PI()*(((VIN_min/VOUT)*(1+(B173/B174)))-0.5))</f>
        <v>0.37223123302366778</v>
      </c>
      <c r="E177" t="s">
        <v>499</v>
      </c>
    </row>
    <row r="178" spans="1:5" x14ac:dyDescent="0.25">
      <c r="B178" s="20"/>
    </row>
    <row r="179" spans="1:5" x14ac:dyDescent="0.25">
      <c r="A179" t="s">
        <v>254</v>
      </c>
      <c r="B179" s="20">
        <f>IF(B171=0,fz_rhp/5,Fsw/10)</f>
        <v>14632.435311997067</v>
      </c>
      <c r="C179" t="s">
        <v>65</v>
      </c>
      <c r="E179" t="s">
        <v>464</v>
      </c>
    </row>
    <row r="180" spans="1:5" x14ac:dyDescent="0.25">
      <c r="B180" s="29">
        <f>fcross</f>
        <v>12000</v>
      </c>
      <c r="C180" t="s">
        <v>539</v>
      </c>
      <c r="E180" t="s">
        <v>570</v>
      </c>
    </row>
    <row r="181" spans="1:5" x14ac:dyDescent="0.25">
      <c r="A181" t="s">
        <v>261</v>
      </c>
      <c r="B181" s="51">
        <f>SQRT(B163*fcross)</f>
        <v>700.02354537660392</v>
      </c>
      <c r="C181" t="s">
        <v>65</v>
      </c>
      <c r="E181" t="s">
        <v>490</v>
      </c>
    </row>
    <row r="182" spans="1:5" x14ac:dyDescent="0.25">
      <c r="A182" t="s">
        <v>263</v>
      </c>
      <c r="B182" s="30">
        <f>SQRT(fz_rhp*Fsw/2)</f>
        <v>270485.07640900509</v>
      </c>
      <c r="C182" t="s">
        <v>65</v>
      </c>
      <c r="E182" t="s">
        <v>417</v>
      </c>
    </row>
    <row r="184" spans="1:5" x14ac:dyDescent="0.25">
      <c r="A184" t="s">
        <v>509</v>
      </c>
      <c r="B184" s="20">
        <f>10^(-Loop_Modeling!AD7/20)</f>
        <v>4.3318512144671661</v>
      </c>
    </row>
    <row r="185" spans="1:5" x14ac:dyDescent="0.25">
      <c r="A185" t="s">
        <v>507</v>
      </c>
      <c r="B185" s="20">
        <f>SQRT(1+((B179/fp_ea_est)^2))</f>
        <v>1.0014621745539867</v>
      </c>
    </row>
    <row r="186" spans="1:5" x14ac:dyDescent="0.25">
      <c r="A186" t="s">
        <v>508</v>
      </c>
      <c r="B186" s="20">
        <f>SQRT(1+(fz_ea_est/B179)^2)</f>
        <v>1.0011437044029081</v>
      </c>
    </row>
    <row r="188" spans="1:5" x14ac:dyDescent="0.25">
      <c r="A188" t="s">
        <v>472</v>
      </c>
      <c r="B188" s="17">
        <f>(fp_ea_est*B184*Kfb)/((fp_ea_est-fz_ea_est)*gm_ea)*(B185/B186)</f>
        <v>260668.36983827158</v>
      </c>
      <c r="C188" s="2" t="s">
        <v>36</v>
      </c>
      <c r="E188" s="31" t="s">
        <v>506</v>
      </c>
    </row>
    <row r="189" spans="1:5" x14ac:dyDescent="0.25">
      <c r="A189" t="s">
        <v>473</v>
      </c>
      <c r="B189" s="155">
        <f>1/(2*PI()*fz_ea_est*Rcomp_calc_CCM)</f>
        <v>8.7220615656415352E-10</v>
      </c>
      <c r="C189" s="2" t="s">
        <v>162</v>
      </c>
    </row>
    <row r="190" spans="1:5" x14ac:dyDescent="0.25">
      <c r="A190" t="s">
        <v>474</v>
      </c>
      <c r="B190" s="155">
        <f>((gm_ea)/(2*PI()*fp_ea_est*B184*Kfb))*(B186/B185)</f>
        <v>2.2631529787751794E-12</v>
      </c>
      <c r="C190" t="s">
        <v>162</v>
      </c>
    </row>
    <row r="193" spans="1:5" x14ac:dyDescent="0.25">
      <c r="A193" s="22" t="s">
        <v>453</v>
      </c>
      <c r="E193" s="31"/>
    </row>
    <row r="195" spans="1:5" x14ac:dyDescent="0.25">
      <c r="A195" t="s">
        <v>459</v>
      </c>
      <c r="B195">
        <f>Fsw/((R_cs*Acs*(VIN_min/Lm))+((R_sl+Rsl_int)*Isl))</f>
        <v>12.424235477965315</v>
      </c>
      <c r="C195" t="s">
        <v>150</v>
      </c>
      <c r="E195" t="s">
        <v>479</v>
      </c>
    </row>
    <row r="196" spans="1:5" x14ac:dyDescent="0.25">
      <c r="A196" t="s">
        <v>458</v>
      </c>
      <c r="B196">
        <f>(B195*2*VOUT/Dc_VIN_min)*(((VOUT/VIN_min)-1)/((2*VOUT/VIN_min)-1))</f>
        <v>740.85974993346292</v>
      </c>
      <c r="C196" t="s">
        <v>150</v>
      </c>
    </row>
    <row r="197" spans="1:5" x14ac:dyDescent="0.25">
      <c r="A197" t="s">
        <v>460</v>
      </c>
      <c r="B197">
        <f>(IOUT*((2*VOUT)-VIN_min))/(Cout*VOUT*(VOUT-VIN_min))</f>
        <v>253.32600329851564</v>
      </c>
      <c r="C197" t="s">
        <v>385</v>
      </c>
    </row>
    <row r="198" spans="1:5" x14ac:dyDescent="0.25">
      <c r="B198">
        <f>B197/(2*PI())</f>
        <v>40.318085638672549</v>
      </c>
      <c r="C198" t="s">
        <v>65</v>
      </c>
    </row>
    <row r="199" spans="1:5" x14ac:dyDescent="0.25">
      <c r="A199" t="s">
        <v>461</v>
      </c>
      <c r="B199">
        <f>1/(Cout*Resr)</f>
        <v>1000000</v>
      </c>
      <c r="C199" t="s">
        <v>385</v>
      </c>
    </row>
    <row r="200" spans="1:5" x14ac:dyDescent="0.25">
      <c r="B200">
        <f>B199/(2*PI())</f>
        <v>159154.94309189534</v>
      </c>
      <c r="C200" t="s">
        <v>65</v>
      </c>
    </row>
    <row r="201" spans="1:5" x14ac:dyDescent="0.25">
      <c r="A201" t="s">
        <v>462</v>
      </c>
      <c r="B201">
        <f>2*Fsw/(Dc_VIN_min)</f>
        <v>5035294.1176470593</v>
      </c>
      <c r="C201" t="s">
        <v>385</v>
      </c>
      <c r="E201" t="s">
        <v>478</v>
      </c>
    </row>
    <row r="202" spans="1:5" x14ac:dyDescent="0.25">
      <c r="B202">
        <f>B201/(2*PI())</f>
        <v>801391.94874507305</v>
      </c>
      <c r="C202" t="s">
        <v>65</v>
      </c>
    </row>
    <row r="204" spans="1:5" x14ac:dyDescent="0.25">
      <c r="A204" t="s">
        <v>463</v>
      </c>
      <c r="B204">
        <f>IF(2*Fsw/(2*PI()*Dc_VIN_min*5)&lt;Fsw/10,2*Fsw/(2*PI()*Dc_VIN_min*5),Fsw/10)</f>
        <v>160278.3897490146</v>
      </c>
      <c r="C204" t="s">
        <v>65</v>
      </c>
      <c r="E204" t="s">
        <v>569</v>
      </c>
    </row>
    <row r="205" spans="1:5" x14ac:dyDescent="0.25">
      <c r="B205" s="29">
        <f>fcross</f>
        <v>12000</v>
      </c>
      <c r="C205" t="s">
        <v>539</v>
      </c>
      <c r="E205" t="s">
        <v>570</v>
      </c>
    </row>
    <row r="206" spans="1:5" x14ac:dyDescent="0.25">
      <c r="A206" t="s">
        <v>261</v>
      </c>
      <c r="B206" s="51">
        <f>SQRT(B198*fcross)</f>
        <v>695.56957068583051</v>
      </c>
      <c r="C206" t="s">
        <v>65</v>
      </c>
    </row>
    <row r="207" spans="1:5" x14ac:dyDescent="0.25">
      <c r="A207" t="s">
        <v>263</v>
      </c>
      <c r="B207" s="30">
        <f>Fsw/2</f>
        <v>1000000</v>
      </c>
      <c r="C207" t="s">
        <v>65</v>
      </c>
    </row>
    <row r="209" spans="1:5" x14ac:dyDescent="0.25">
      <c r="A209" t="s">
        <v>509</v>
      </c>
      <c r="B209" s="20">
        <f>10^(-Loop_Modeling!AQ7/20)</f>
        <v>1.3242297687134401</v>
      </c>
    </row>
    <row r="210" spans="1:5" x14ac:dyDescent="0.25">
      <c r="A210" t="s">
        <v>507</v>
      </c>
      <c r="B210" s="20">
        <f>SQRT(1+((fcross/B207)^2))</f>
        <v>1.0000719974081866</v>
      </c>
    </row>
    <row r="211" spans="1:5" x14ac:dyDescent="0.25">
      <c r="A211" t="s">
        <v>508</v>
      </c>
      <c r="B211" s="20">
        <f>SQRT(1+(B206/fcross)^2)</f>
        <v>1.0016785115344591</v>
      </c>
    </row>
    <row r="214" spans="1:5" x14ac:dyDescent="0.25">
      <c r="A214" t="s">
        <v>466</v>
      </c>
      <c r="B214">
        <f>(B207*B209*Kfb)/((B207-B206)*gm_ea)*(B210/B211)</f>
        <v>79381.571791109629</v>
      </c>
      <c r="C214" t="s">
        <v>469</v>
      </c>
      <c r="E214" t="s">
        <v>260</v>
      </c>
    </row>
    <row r="215" spans="1:5" x14ac:dyDescent="0.25">
      <c r="A215" t="s">
        <v>470</v>
      </c>
      <c r="B215">
        <f>1/(2*PI()*B206*RCOMP_CALC_DCM)</f>
        <v>2.8824372610130419E-9</v>
      </c>
      <c r="C215" t="s">
        <v>162</v>
      </c>
      <c r="E215" t="s">
        <v>467</v>
      </c>
    </row>
    <row r="216" spans="1:5" x14ac:dyDescent="0.25">
      <c r="A216" t="s">
        <v>471</v>
      </c>
      <c r="B216">
        <f>((gm_ea)/(2*PI()*B207*Kfb))*(B211/B210)</f>
        <v>2.656843489148845E-12</v>
      </c>
      <c r="C216" t="s">
        <v>162</v>
      </c>
      <c r="E216" t="s">
        <v>468</v>
      </c>
    </row>
    <row r="217" spans="1:5" ht="16.5" customHeight="1" x14ac:dyDescent="0.25"/>
    <row r="218" spans="1:5" ht="16.5" customHeight="1" x14ac:dyDescent="0.25">
      <c r="A218" s="152" t="s">
        <v>465</v>
      </c>
    </row>
    <row r="219" spans="1:5" x14ac:dyDescent="0.25">
      <c r="B219">
        <f>IF(B54=0,B204,B179)</f>
        <v>14632.435311997067</v>
      </c>
      <c r="C219" t="s">
        <v>65</v>
      </c>
      <c r="E219" t="s">
        <v>568</v>
      </c>
    </row>
    <row r="220" spans="1:5" x14ac:dyDescent="0.25">
      <c r="A220" t="s">
        <v>254</v>
      </c>
      <c r="B220" s="3">
        <f>'Design Converter'!H65*1000</f>
        <v>12000</v>
      </c>
      <c r="C220" t="s">
        <v>65</v>
      </c>
      <c r="E220" t="s">
        <v>255</v>
      </c>
    </row>
    <row r="222" spans="1:5" x14ac:dyDescent="0.25">
      <c r="A222" t="s">
        <v>259</v>
      </c>
      <c r="B222">
        <f>IF(B54=0,RCOMP_CALC_DCM,Rcomp_calc_CCM)</f>
        <v>260668.36983827158</v>
      </c>
    </row>
    <row r="223" spans="1:5" x14ac:dyDescent="0.25">
      <c r="A223" t="s">
        <v>180</v>
      </c>
      <c r="B223" s="3">
        <f>'Design Converter'!H68*1000</f>
        <v>220000</v>
      </c>
      <c r="C223" s="2" t="s">
        <v>36</v>
      </c>
      <c r="E223" t="s">
        <v>186</v>
      </c>
    </row>
    <row r="224" spans="1:5" x14ac:dyDescent="0.25">
      <c r="A224" t="s">
        <v>262</v>
      </c>
      <c r="B224">
        <f>IF(B54=0,CCOMP_CALC_DCM,CCOMP_calc_CCM)</f>
        <v>8.7220615656415352E-10</v>
      </c>
    </row>
    <row r="225" spans="1:5" x14ac:dyDescent="0.25">
      <c r="A225" t="s">
        <v>184</v>
      </c>
      <c r="B225" s="3">
        <f>'Design Converter'!H69*(10^-9)</f>
        <v>1.0000000000000001E-9</v>
      </c>
      <c r="C225" t="s">
        <v>162</v>
      </c>
      <c r="E225" t="s">
        <v>187</v>
      </c>
    </row>
    <row r="226" spans="1:5" x14ac:dyDescent="0.25">
      <c r="A226" t="s">
        <v>475</v>
      </c>
      <c r="B226">
        <f>IF(B54=0,CHF_CALC_DCM,CHF_CALC_CCM)</f>
        <v>2.2631529787751794E-12</v>
      </c>
    </row>
    <row r="227" spans="1:5" x14ac:dyDescent="0.25">
      <c r="A227" t="s">
        <v>185</v>
      </c>
      <c r="B227" s="3">
        <f>'Design Converter'!H70*(10^-12)</f>
        <v>3.0000000000000001E-12</v>
      </c>
      <c r="C227" t="s">
        <v>162</v>
      </c>
      <c r="E227" t="s">
        <v>188</v>
      </c>
    </row>
    <row r="229" spans="1:5" x14ac:dyDescent="0.25">
      <c r="A229" s="28" t="s">
        <v>320</v>
      </c>
    </row>
    <row r="230" spans="1:5" x14ac:dyDescent="0.25">
      <c r="A230" s="28" t="s">
        <v>338</v>
      </c>
    </row>
    <row r="231" spans="1:5" x14ac:dyDescent="0.25">
      <c r="A231" s="86" t="s">
        <v>392</v>
      </c>
      <c r="E231" t="s">
        <v>393</v>
      </c>
    </row>
    <row r="236" spans="1:5" x14ac:dyDescent="0.25">
      <c r="A236" s="28" t="s">
        <v>575</v>
      </c>
    </row>
    <row r="237" spans="1:5" ht="15.75" x14ac:dyDescent="0.3">
      <c r="A237" t="s">
        <v>347</v>
      </c>
      <c r="B237" s="3">
        <f>'Design Converter'!H75*(10^-3)</f>
        <v>3.2000000000000002E-3</v>
      </c>
      <c r="C237" s="2" t="s">
        <v>36</v>
      </c>
      <c r="E237" s="78" t="s">
        <v>327</v>
      </c>
    </row>
    <row r="238" spans="1:5" ht="15.75" x14ac:dyDescent="0.3">
      <c r="A238" t="s">
        <v>339</v>
      </c>
      <c r="B238" s="3">
        <f>'Design Converter'!H76*(10^-9)</f>
        <v>1.2000000000000002E-8</v>
      </c>
      <c r="C238" t="s">
        <v>162</v>
      </c>
      <c r="E238" s="78" t="s">
        <v>328</v>
      </c>
    </row>
    <row r="239" spans="1:5" ht="15.75" x14ac:dyDescent="0.3">
      <c r="A239" t="s">
        <v>341</v>
      </c>
      <c r="B239" s="3">
        <f>'Design Converter'!H77*(10^-9)</f>
        <v>1.7000000000000001E-9</v>
      </c>
      <c r="C239" t="s">
        <v>162</v>
      </c>
      <c r="E239" s="78" t="s">
        <v>329</v>
      </c>
    </row>
    <row r="240" spans="1:5" ht="15.75" x14ac:dyDescent="0.3">
      <c r="A240" t="s">
        <v>340</v>
      </c>
      <c r="B240" s="3">
        <f>'Design Converter'!H78*(10^-9)</f>
        <v>1.9000000000000001E-9</v>
      </c>
      <c r="C240" t="s">
        <v>162</v>
      </c>
      <c r="E240" s="78" t="s">
        <v>330</v>
      </c>
    </row>
    <row r="241" spans="1:8" ht="15.75" x14ac:dyDescent="0.3">
      <c r="A241" t="s">
        <v>342</v>
      </c>
      <c r="B241" s="3">
        <f>'Design Converter'!H79</f>
        <v>2.2000000000000002</v>
      </c>
      <c r="C241" s="2" t="s">
        <v>36</v>
      </c>
      <c r="E241" s="78" t="s">
        <v>331</v>
      </c>
    </row>
    <row r="242" spans="1:8" x14ac:dyDescent="0.25">
      <c r="A242" t="s">
        <v>348</v>
      </c>
      <c r="B242" s="12">
        <v>5</v>
      </c>
      <c r="C242" s="2"/>
      <c r="E242" s="78" t="s">
        <v>349</v>
      </c>
      <c r="H242" t="s">
        <v>358</v>
      </c>
    </row>
    <row r="243" spans="1:8" ht="15.75" x14ac:dyDescent="0.3">
      <c r="A243" t="s">
        <v>343</v>
      </c>
      <c r="B243" s="187">
        <v>50</v>
      </c>
      <c r="C243" s="2" t="s">
        <v>337</v>
      </c>
      <c r="E243" s="78" t="s">
        <v>332</v>
      </c>
    </row>
    <row r="244" spans="1:8" ht="15.75" x14ac:dyDescent="0.3">
      <c r="A244" t="s">
        <v>344</v>
      </c>
      <c r="B244" s="3">
        <f>'Design Converter'!H80</f>
        <v>1.1000000000000001</v>
      </c>
      <c r="C244" s="2" t="s">
        <v>10</v>
      </c>
      <c r="E244" s="78" t="s">
        <v>333</v>
      </c>
    </row>
    <row r="245" spans="1:8" x14ac:dyDescent="0.25">
      <c r="A245" t="s">
        <v>354</v>
      </c>
      <c r="B245" s="12">
        <f>Vcc</f>
        <v>5</v>
      </c>
      <c r="C245" s="2" t="s">
        <v>10</v>
      </c>
      <c r="E245" s="78" t="s">
        <v>359</v>
      </c>
    </row>
    <row r="246" spans="1:8" x14ac:dyDescent="0.25">
      <c r="C246" s="2"/>
      <c r="E246" s="78"/>
    </row>
    <row r="247" spans="1:8" x14ac:dyDescent="0.25">
      <c r="C247" s="2"/>
      <c r="E247" s="78"/>
    </row>
    <row r="248" spans="1:8" x14ac:dyDescent="0.25">
      <c r="A248" t="s">
        <v>350</v>
      </c>
      <c r="B248" s="25">
        <f>Vth+(((VOUT*IOUT)/VIN_min)/gfs)</f>
        <v>1.6836363636363636</v>
      </c>
      <c r="C248" s="2" t="s">
        <v>10</v>
      </c>
      <c r="E248" s="78" t="s">
        <v>351</v>
      </c>
    </row>
    <row r="249" spans="1:8" x14ac:dyDescent="0.25">
      <c r="A249" t="s">
        <v>360</v>
      </c>
      <c r="B249" s="1">
        <f>(Qgd+(Qgs/2))*((Rgate+B242)/(Vcc-B248))</f>
        <v>5.7532894736842108E-9</v>
      </c>
      <c r="C249" s="2" t="s">
        <v>51</v>
      </c>
      <c r="E249" s="78" t="s">
        <v>352</v>
      </c>
    </row>
    <row r="250" spans="1:8" ht="15.75" thickBot="1" x14ac:dyDescent="0.3">
      <c r="A250" t="s">
        <v>361</v>
      </c>
      <c r="B250" s="1">
        <f>(Qgd+(Qgs/2))*((B242+Rgate)/B248)</f>
        <v>1.1332613390928726E-8</v>
      </c>
      <c r="C250" t="s">
        <v>51</v>
      </c>
      <c r="E250" s="79" t="s">
        <v>353</v>
      </c>
    </row>
    <row r="253" spans="1:8" x14ac:dyDescent="0.25">
      <c r="A253" s="28" t="s">
        <v>576</v>
      </c>
    </row>
    <row r="254" spans="1:8" ht="15.75" x14ac:dyDescent="0.3">
      <c r="A254" t="s">
        <v>347</v>
      </c>
      <c r="B254" s="3">
        <f>'Design Converter'!H83*(10^-3)</f>
        <v>3.2000000000000002E-3</v>
      </c>
      <c r="C254" s="2" t="s">
        <v>36</v>
      </c>
      <c r="E254" s="78" t="s">
        <v>327</v>
      </c>
    </row>
    <row r="255" spans="1:8" ht="15.75" x14ac:dyDescent="0.3">
      <c r="A255" t="s">
        <v>339</v>
      </c>
      <c r="B255" s="3">
        <f>'Design Converter'!H84*(10^-9)</f>
        <v>1.2000000000000002E-8</v>
      </c>
      <c r="C255" t="s">
        <v>162</v>
      </c>
      <c r="E255" s="78" t="s">
        <v>328</v>
      </c>
    </row>
    <row r="256" spans="1:8" ht="15.75" x14ac:dyDescent="0.3">
      <c r="A256" t="s">
        <v>341</v>
      </c>
      <c r="B256" s="3">
        <f>'Design Converter'!H85*(10^-9)</f>
        <v>1.7000000000000001E-9</v>
      </c>
      <c r="C256" t="s">
        <v>162</v>
      </c>
      <c r="E256" s="78" t="s">
        <v>329</v>
      </c>
    </row>
    <row r="257" spans="1:5" ht="15.75" x14ac:dyDescent="0.3">
      <c r="A257" t="s">
        <v>340</v>
      </c>
      <c r="B257" s="3">
        <f>'Design Converter'!H86*(10^-9)</f>
        <v>1.9000000000000001E-9</v>
      </c>
      <c r="C257" t="s">
        <v>162</v>
      </c>
      <c r="E257" s="78" t="s">
        <v>330</v>
      </c>
    </row>
    <row r="258" spans="1:5" ht="15.75" x14ac:dyDescent="0.3">
      <c r="A258" t="s">
        <v>342</v>
      </c>
      <c r="B258" s="3">
        <f>'Design Converter'!H87</f>
        <v>2.2000000000000002</v>
      </c>
      <c r="C258" s="2" t="s">
        <v>36</v>
      </c>
      <c r="E258" s="78" t="s">
        <v>331</v>
      </c>
    </row>
    <row r="259" spans="1:5" x14ac:dyDescent="0.25">
      <c r="A259" t="s">
        <v>348</v>
      </c>
      <c r="B259" s="12">
        <v>5</v>
      </c>
      <c r="C259" s="2"/>
      <c r="E259" s="78" t="s">
        <v>349</v>
      </c>
    </row>
    <row r="260" spans="1:5" ht="15.75" x14ac:dyDescent="0.3">
      <c r="A260" t="s">
        <v>343</v>
      </c>
      <c r="B260" s="187">
        <v>50</v>
      </c>
      <c r="C260" s="2" t="s">
        <v>337</v>
      </c>
      <c r="E260" s="78" t="s">
        <v>332</v>
      </c>
    </row>
    <row r="261" spans="1:5" ht="15.75" x14ac:dyDescent="0.3">
      <c r="A261" t="s">
        <v>344</v>
      </c>
      <c r="B261" s="3">
        <f>'Design Converter'!H88</f>
        <v>1.1000000000000001</v>
      </c>
      <c r="C261" s="2" t="s">
        <v>10</v>
      </c>
      <c r="E261" s="78" t="s">
        <v>333</v>
      </c>
    </row>
    <row r="262" spans="1:5" x14ac:dyDescent="0.25">
      <c r="A262" t="s">
        <v>354</v>
      </c>
      <c r="B262" s="12">
        <f>Vcc</f>
        <v>5</v>
      </c>
      <c r="C262" s="2" t="s">
        <v>10</v>
      </c>
      <c r="E262" s="78" t="s">
        <v>359</v>
      </c>
    </row>
    <row r="263" spans="1:5" x14ac:dyDescent="0.25">
      <c r="A263" t="s">
        <v>346</v>
      </c>
      <c r="B263" s="3">
        <f>'Design Converter'!H89*10^-9</f>
        <v>0</v>
      </c>
      <c r="C263" t="s">
        <v>345</v>
      </c>
      <c r="E263" t="s">
        <v>577</v>
      </c>
    </row>
    <row r="264" spans="1:5" x14ac:dyDescent="0.25">
      <c r="A264" t="s">
        <v>321</v>
      </c>
      <c r="B264" s="3">
        <f>'Design Converter'!H90</f>
        <v>0.5</v>
      </c>
      <c r="C264" t="s">
        <v>10</v>
      </c>
      <c r="E264" t="s">
        <v>578</v>
      </c>
    </row>
    <row r="265" spans="1:5" x14ac:dyDescent="0.25">
      <c r="C265" s="2"/>
      <c r="E265" s="78"/>
    </row>
    <row r="266" spans="1:5" x14ac:dyDescent="0.25">
      <c r="A266" t="s">
        <v>350</v>
      </c>
      <c r="B266" s="25">
        <f>Vth+(((VOUT*IOUT)/VIN_min)/B260)</f>
        <v>1.6836363636363636</v>
      </c>
      <c r="C266" s="2" t="s">
        <v>10</v>
      </c>
      <c r="E266" s="78" t="s">
        <v>351</v>
      </c>
    </row>
    <row r="267" spans="1:5" x14ac:dyDescent="0.25">
      <c r="A267" t="s">
        <v>360</v>
      </c>
      <c r="B267" s="1">
        <f>(B256+(B257/2))*((B258+B259)/(Vcc-B266))</f>
        <v>5.7532894736842108E-9</v>
      </c>
      <c r="C267" s="2" t="s">
        <v>51</v>
      </c>
      <c r="E267" s="78" t="s">
        <v>352</v>
      </c>
    </row>
    <row r="268" spans="1:5" ht="15.75" thickBot="1" x14ac:dyDescent="0.3">
      <c r="A268" t="s">
        <v>361</v>
      </c>
      <c r="B268" s="1">
        <f>(Qgd+(Qgs/2))*((B259+Rgate)/B266)</f>
        <v>1.1332613390928726E-8</v>
      </c>
      <c r="C268" t="s">
        <v>51</v>
      </c>
      <c r="E268" s="79" t="s">
        <v>353</v>
      </c>
    </row>
  </sheetData>
  <mergeCells count="2">
    <mergeCell ref="A1:J1"/>
    <mergeCell ref="E5:H5"/>
  </mergeCells>
  <pageMargins left="0.7" right="0.7" top="0.75" bottom="0.75" header="0.3" footer="0.3"/>
  <pageSetup orientation="portrait" r:id="rId1"/>
  <ignoredErrors>
    <ignoredError sqref="B199 B201" formula="1"/>
  </ignoredErrors>
  <drawing r:id="rId2"/>
  <legacyDrawing r:id="rId3"/>
  <oleObjects>
    <mc:AlternateContent xmlns:mc="http://schemas.openxmlformats.org/markup-compatibility/2006">
      <mc:Choice Requires="x14">
        <oleObject progId="Mathcad" shapeId="2053" r:id="rId4">
          <objectPr defaultSize="0" autoPict="0" r:id="rId5">
            <anchor moveWithCells="1">
              <from>
                <xdr:col>8</xdr:col>
                <xdr:colOff>57150</xdr:colOff>
                <xdr:row>110</xdr:row>
                <xdr:rowOff>0</xdr:rowOff>
              </from>
              <to>
                <xdr:col>13</xdr:col>
                <xdr:colOff>19050</xdr:colOff>
                <xdr:row>112</xdr:row>
                <xdr:rowOff>28575</xdr:rowOff>
              </to>
            </anchor>
          </objectPr>
        </oleObject>
      </mc:Choice>
      <mc:Fallback>
        <oleObject progId="Mathcad" shapeId="2053" r:id="rId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W157"/>
  <sheetViews>
    <sheetView topLeftCell="P1" zoomScaleNormal="100" workbookViewId="0">
      <pane ySplit="6" topLeftCell="A118" activePane="bottomLeft" state="frozen"/>
      <selection activeCell="R1" sqref="R1"/>
      <selection pane="bottomLeft" activeCell="AM101" sqref="AM101"/>
    </sheetView>
  </sheetViews>
  <sheetFormatPr baseColWidth="10" defaultColWidth="9.140625" defaultRowHeight="15" x14ac:dyDescent="0.25"/>
  <cols>
    <col min="10" max="10" width="10" bestFit="1" customWidth="1"/>
    <col min="18" max="18" width="8.85546875"/>
    <col min="21" max="21" width="8.85546875"/>
    <col min="24" max="24" width="8.85546875"/>
    <col min="25" max="25" width="12" bestFit="1" customWidth="1"/>
    <col min="28" max="28" width="8.85546875"/>
    <col min="30" max="30" width="8.85546875"/>
    <col min="35" max="35" width="8.85546875"/>
    <col min="39" max="39" width="11" bestFit="1" customWidth="1"/>
    <col min="40" max="40" width="11" customWidth="1"/>
    <col min="43" max="44" width="8.7109375"/>
    <col min="45" max="46" width="8.85546875"/>
  </cols>
  <sheetData>
    <row r="1" spans="1:49" ht="27.75" x14ac:dyDescent="0.4">
      <c r="A1" s="213" t="s">
        <v>15</v>
      </c>
      <c r="B1" s="213"/>
      <c r="C1" s="213"/>
      <c r="D1" s="213"/>
      <c r="E1" s="213"/>
      <c r="F1" s="213"/>
      <c r="G1" s="213"/>
      <c r="H1" s="213"/>
      <c r="I1" s="213"/>
      <c r="J1" s="213"/>
      <c r="K1" s="213"/>
      <c r="L1" s="213"/>
      <c r="M1" s="213"/>
    </row>
    <row r="4" spans="1:49" ht="15.75" thickBot="1" x14ac:dyDescent="0.3">
      <c r="R4" s="81"/>
      <c r="S4" s="81"/>
      <c r="T4" s="81"/>
      <c r="U4" s="81"/>
      <c r="V4" s="81"/>
      <c r="W4" s="81"/>
      <c r="X4" s="81"/>
      <c r="Y4" s="81"/>
      <c r="Z4" s="81"/>
      <c r="AA4" s="81"/>
      <c r="AB4" s="81"/>
      <c r="AC4" s="81"/>
      <c r="AD4" s="81"/>
      <c r="AE4" s="81"/>
      <c r="AF4" s="81"/>
      <c r="AG4" s="81"/>
      <c r="AH4" s="81"/>
      <c r="AI4" s="81"/>
      <c r="AJ4" s="81"/>
      <c r="AK4" s="81"/>
      <c r="AL4" s="81"/>
      <c r="AM4" s="81"/>
      <c r="AN4" s="81"/>
      <c r="AO4" s="81"/>
      <c r="AP4" s="81"/>
      <c r="AQ4" s="81"/>
      <c r="AR4" s="81"/>
      <c r="AS4" s="81"/>
      <c r="AT4" s="81"/>
      <c r="AU4" s="81"/>
      <c r="AV4" s="81"/>
      <c r="AW4" s="81"/>
    </row>
    <row r="5" spans="1:49" ht="30" x14ac:dyDescent="0.25">
      <c r="R5" s="219" t="s">
        <v>314</v>
      </c>
      <c r="S5" s="220"/>
      <c r="T5" s="220"/>
      <c r="U5" s="221"/>
      <c r="V5" s="219" t="s">
        <v>315</v>
      </c>
      <c r="W5" s="220"/>
      <c r="X5" s="221"/>
      <c r="Y5" s="219" t="s">
        <v>379</v>
      </c>
      <c r="Z5" s="220"/>
      <c r="AA5" s="220"/>
      <c r="AB5" s="220"/>
      <c r="AC5" s="220"/>
      <c r="AD5" s="221"/>
      <c r="AE5" s="219" t="s">
        <v>573</v>
      </c>
      <c r="AF5" s="220"/>
      <c r="AG5" s="220"/>
      <c r="AH5" s="220"/>
      <c r="AI5" s="221"/>
      <c r="AJ5" s="219" t="s">
        <v>574</v>
      </c>
      <c r="AK5" s="220"/>
      <c r="AL5" s="220"/>
      <c r="AM5" s="220"/>
      <c r="AN5" s="222"/>
      <c r="AO5" s="221"/>
      <c r="AP5" s="215" t="s">
        <v>376</v>
      </c>
      <c r="AQ5" s="216"/>
      <c r="AR5" s="216"/>
      <c r="AS5" s="217"/>
      <c r="AT5" s="218"/>
      <c r="AU5" s="83" t="s">
        <v>369</v>
      </c>
      <c r="AV5" s="84"/>
      <c r="AW5" s="85"/>
    </row>
    <row r="6" spans="1:49" ht="18" x14ac:dyDescent="0.35">
      <c r="R6" s="73" t="s">
        <v>31</v>
      </c>
      <c r="S6" s="71" t="s">
        <v>33</v>
      </c>
      <c r="T6" s="71" t="s">
        <v>270</v>
      </c>
      <c r="U6" s="74" t="s">
        <v>273</v>
      </c>
      <c r="V6" s="73" t="s">
        <v>271</v>
      </c>
      <c r="W6" s="71" t="s">
        <v>272</v>
      </c>
      <c r="X6" s="74" t="s">
        <v>319</v>
      </c>
      <c r="Y6" s="73" t="s">
        <v>316</v>
      </c>
      <c r="Z6" s="71" t="s">
        <v>318</v>
      </c>
      <c r="AA6" s="71" t="s">
        <v>317</v>
      </c>
      <c r="AB6" s="80" t="s">
        <v>323</v>
      </c>
      <c r="AC6" s="80" t="s">
        <v>324</v>
      </c>
      <c r="AD6" s="82" t="s">
        <v>367</v>
      </c>
      <c r="AE6" s="73" t="s">
        <v>362</v>
      </c>
      <c r="AF6" s="71" t="s">
        <v>363</v>
      </c>
      <c r="AG6" s="80" t="s">
        <v>365</v>
      </c>
      <c r="AH6" s="80" t="s">
        <v>364</v>
      </c>
      <c r="AI6" s="82" t="s">
        <v>366</v>
      </c>
      <c r="AJ6" s="73" t="s">
        <v>322</v>
      </c>
      <c r="AK6" s="71" t="s">
        <v>587</v>
      </c>
      <c r="AL6" s="71" t="s">
        <v>325</v>
      </c>
      <c r="AM6" s="71" t="s">
        <v>326</v>
      </c>
      <c r="AN6" s="188" t="s">
        <v>588</v>
      </c>
      <c r="AO6" s="74" t="s">
        <v>591</v>
      </c>
      <c r="AP6" s="73" t="s">
        <v>368</v>
      </c>
      <c r="AQ6" s="206" t="s">
        <v>324</v>
      </c>
      <c r="AR6" s="206" t="s">
        <v>593</v>
      </c>
      <c r="AS6" s="71" t="s">
        <v>371</v>
      </c>
      <c r="AT6" s="74" t="s">
        <v>372</v>
      </c>
      <c r="AU6" s="73" t="s">
        <v>370</v>
      </c>
      <c r="AV6" s="71" t="s">
        <v>378</v>
      </c>
      <c r="AW6" s="74" t="s">
        <v>377</v>
      </c>
    </row>
    <row r="7" spans="1:49" x14ac:dyDescent="0.25">
      <c r="Q7">
        <v>0</v>
      </c>
      <c r="R7" s="73">
        <f t="shared" ref="R7:R70" si="0">VOUT</f>
        <v>53.5</v>
      </c>
      <c r="S7" s="71">
        <f t="shared" ref="S7:S38" si="1">Q7*$O$12</f>
        <v>0</v>
      </c>
      <c r="T7" s="71">
        <f t="shared" ref="T7:T70" si="2">VIN_var</f>
        <v>11</v>
      </c>
      <c r="U7" s="74">
        <f t="shared" ref="U7:U38" si="3">(R7*S7)/(T7*EFF_est)</f>
        <v>0</v>
      </c>
      <c r="V7" s="73">
        <f>IF(Variable_Management!$B$20=3,2,IF((S7*R7/T7)&lt;((T7*(1-(T7/R7)))/(2*Lm*Fsw)),1,2))</f>
        <v>2</v>
      </c>
      <c r="W7" s="71">
        <f>CHOOSE(V7,SQRT((2*S7*Lm*Fsw*(R7-T7))/((T7)^2)),1-(T7/R7))</f>
        <v>0.79439252336448596</v>
      </c>
      <c r="X7" s="74">
        <f t="shared" ref="X7:X38" si="4">CHOOSE(V7,(Lm*Z7*Fsw)/(R7-T7),1-W7)</f>
        <v>0.20560747663551404</v>
      </c>
      <c r="Y7" s="73">
        <f t="shared" ref="Y7:Y38" si="5">(T7*W7)/(Lm*Fsw)</f>
        <v>5.3282425347617979</v>
      </c>
      <c r="Z7" s="71">
        <f>CHOOSE(V7,Y7,U7+(0.5*Y7))</f>
        <v>2.6641212673808989</v>
      </c>
      <c r="AA7" s="71">
        <f>CHOOSE(V7,Z7*SQRT((W7+X7)/3),SQRT((U7^2)+((Y7^2)/12)))</f>
        <v>1.5381311308761689</v>
      </c>
      <c r="AB7" s="71">
        <v>0</v>
      </c>
      <c r="AC7" s="71">
        <f t="shared" ref="AC7:AC38" si="6">(AA7^2)*Rdcr</f>
        <v>5.4414489642719251E-3</v>
      </c>
      <c r="AD7" s="74">
        <f>AB7+AC7</f>
        <v>5.4414489642719251E-3</v>
      </c>
      <c r="AE7" s="73">
        <f>U7*W7</f>
        <v>0</v>
      </c>
      <c r="AF7" s="71">
        <f>CHOOSE(V7,Z7*SQRT(W7/3),SQRT(W7*((Z7^2)+((Y7^2)/3)-(Z7*Y7))))</f>
        <v>1.3709162872814282</v>
      </c>
      <c r="AG7" s="71">
        <f t="shared" ref="AG7:AG38" si="7">(AF7^2)*RDS_on</f>
        <v>6.0141166935471857E-3</v>
      </c>
      <c r="AH7" s="71">
        <f>((R7*U7)/2)*Fsw*(tr_sw+tf_sw)</f>
        <v>0</v>
      </c>
      <c r="AI7" s="74">
        <f>AG7+AH7</f>
        <v>6.0141166935471857E-3</v>
      </c>
      <c r="AJ7" s="73">
        <f>X7*U7</f>
        <v>0</v>
      </c>
      <c r="AK7" s="71">
        <f>CHOOSE(V7,Z7*SQRT(X7/3),SQRT(X7*((Z7^2)+((Y7^2)/3)-(Y7*Z7))))</f>
        <v>0.69744957454779821</v>
      </c>
      <c r="AL7" s="71">
        <f t="shared" ref="AL7:AL38" si="8">(AK7^2)*RDS_on_HS</f>
        <v>1.5565949089180952E-3</v>
      </c>
      <c r="AM7" s="71">
        <f>CHOOSE(V7,0,(R7+Vd_rect)*Qrr*Fsw)</f>
        <v>0</v>
      </c>
      <c r="AN7" s="188">
        <f>Vd_rect*t_dead*Fsw*Z7</f>
        <v>5.3282425347617977E-2</v>
      </c>
      <c r="AO7" s="74">
        <f>AL7+AM7+AN7</f>
        <v>5.4839020256536072E-2</v>
      </c>
      <c r="AP7" s="73">
        <f>(AA7^2)*R_cs</f>
        <v>2.8390168509244825E-3</v>
      </c>
      <c r="AQ7" s="206">
        <f t="shared" ref="AQ7:AQ38" si="9">Rdcr*AA7^2</f>
        <v>5.4414489642719251E-3</v>
      </c>
      <c r="AR7" s="206">
        <f t="shared" ref="AR7:AR38" si="10">ABS(7.759*10^-3*Fsw^0.9458*(0.00787*Y7)^2.304)</f>
        <v>4.7390927326794205</v>
      </c>
      <c r="AS7" s="71">
        <f t="shared" ref="AS7:AS38" si="11">(Qg_tot+Qg_tot_HS)*Vcc*Fsw</f>
        <v>0.24000000000000002</v>
      </c>
      <c r="AT7" s="74">
        <f t="shared" ref="AT7:AT38" si="12">IQ*T7</f>
        <v>3.6299999999999995E-5</v>
      </c>
      <c r="AU7" s="73">
        <f>AP7+AO7+AI7+AD7+AS7+AT7+AQ7+AR7</f>
        <v>5.053704084408972</v>
      </c>
      <c r="AV7" s="71">
        <f>R7*S7</f>
        <v>0</v>
      </c>
      <c r="AW7" s="74">
        <f>(AV7/(AV7+AU7))*100</f>
        <v>0</v>
      </c>
    </row>
    <row r="8" spans="1:49" x14ac:dyDescent="0.25">
      <c r="M8">
        <f>Fsw</f>
        <v>2000000</v>
      </c>
      <c r="Q8">
        <v>1</v>
      </c>
      <c r="R8" s="73">
        <f t="shared" si="0"/>
        <v>53.5</v>
      </c>
      <c r="S8" s="71">
        <f t="shared" si="1"/>
        <v>0.04</v>
      </c>
      <c r="T8" s="71">
        <f t="shared" si="2"/>
        <v>11</v>
      </c>
      <c r="U8" s="74">
        <f t="shared" si="3"/>
        <v>0.19454545454545455</v>
      </c>
      <c r="V8" s="73">
        <f>IF(Variable_Management!$B$20=3,2,IF((S8*R8/T8)&lt;((T8*(1-(T8/R8)))/(2*Lm*Fsw)),1,2))</f>
        <v>2</v>
      </c>
      <c r="W8" s="71">
        <f t="shared" ref="W8:W38" si="13">CHOOSE(V8,SQRT((2*S8*Lm*Fsw*(R8-T8))/((T8)^2)),1-(T8/R8))</f>
        <v>0.79439252336448596</v>
      </c>
      <c r="X8" s="74">
        <f t="shared" si="4"/>
        <v>0.20560747663551404</v>
      </c>
      <c r="Y8" s="73">
        <f t="shared" si="5"/>
        <v>5.3282425347617979</v>
      </c>
      <c r="Z8" s="71">
        <f t="shared" ref="Z8:Z15" si="14">CHOOSE(V8,Y8,U8+(0.5*Y8))</f>
        <v>2.8586667219263533</v>
      </c>
      <c r="AA8" s="71">
        <f t="shared" ref="AA8:AA15" si="15">CHOOSE(V8,Z8*SQRT((W8+X8)/3),SQRT((U8^2)+((Y8^2)/12)))</f>
        <v>1.5503855358118832</v>
      </c>
      <c r="AB8" s="71">
        <v>0</v>
      </c>
      <c r="AC8" s="71">
        <f t="shared" si="6"/>
        <v>5.5284992122058103E-3</v>
      </c>
      <c r="AD8" s="74">
        <f t="shared" ref="AD8:AD71" si="16">AB8+AC8</f>
        <v>5.5284992122058103E-3</v>
      </c>
      <c r="AE8" s="73">
        <f>U8*W8</f>
        <v>0.15454545454545454</v>
      </c>
      <c r="AF8" s="71">
        <f t="shared" ref="AF8:AF71" si="17">CHOOSE(V8,Z8*SQRT(W8/3),SQRT(W8*((Z8^2)+((Y8^2)/3)-(Z8*Y8))))</f>
        <v>1.3818384791414569</v>
      </c>
      <c r="AG8" s="71">
        <f t="shared" si="7"/>
        <v>6.1103282637951185E-3</v>
      </c>
      <c r="AH8" s="71">
        <f t="shared" ref="AH8:AH38" si="18">((R8*U8)/2)*Fsw*(tr_sw+tf_sw)</f>
        <v>0.17783318354268501</v>
      </c>
      <c r="AI8" s="74">
        <f t="shared" ref="AI8:AI71" si="19">AG8+AH8</f>
        <v>0.18394351180648014</v>
      </c>
      <c r="AJ8" s="73">
        <f t="shared" ref="AJ8:AJ71" si="20">X8*U8</f>
        <v>4.0000000000000008E-2</v>
      </c>
      <c r="AK8" s="71">
        <f t="shared" ref="AK8:AK38" si="21">CHOOSE(V8,Z8*SQRT(X8/3),SQRT(X8*((Z8^2)+((Y8^2)/3)-(Y8*Z8))))</f>
        <v>0.70300620709828932</v>
      </c>
      <c r="AL8" s="71">
        <f t="shared" si="8"/>
        <v>1.5814967270999132E-3</v>
      </c>
      <c r="AM8" s="71">
        <f t="shared" ref="AM8:AM39" si="22">CHOOSE(V8,(R8+Vd_rect)*Qrr*Fsw,(R8+Vd_rect)*Qrr*Fsw)</f>
        <v>0</v>
      </c>
      <c r="AN8" s="188">
        <f t="shared" ref="AN8:AN38" si="23">Vd_rect*t_dead*Fsw*Z8</f>
        <v>5.7173334438527068E-2</v>
      </c>
      <c r="AO8" s="74">
        <f t="shared" ref="AO8:AO71" si="24">AL8+AM8+AN8</f>
        <v>5.8754831165626978E-2</v>
      </c>
      <c r="AP8" s="73">
        <f t="shared" ref="AP8:AP38" si="25">(AA8^2)*R_cs</f>
        <v>2.8844343715856398E-3</v>
      </c>
      <c r="AQ8" s="206">
        <f t="shared" si="9"/>
        <v>5.5284992122058103E-3</v>
      </c>
      <c r="AR8" s="206">
        <f t="shared" si="10"/>
        <v>4.7390927326794205</v>
      </c>
      <c r="AS8" s="71">
        <f t="shared" si="11"/>
        <v>0.24000000000000002</v>
      </c>
      <c r="AT8" s="74">
        <f t="shared" si="12"/>
        <v>3.6299999999999995E-5</v>
      </c>
      <c r="AU8" s="73">
        <f t="shared" ref="AU8:AU71" si="26">AP8+AO8+AI8+AD8+AS8+AT8+AQ8+AR8</f>
        <v>5.2357688084475251</v>
      </c>
      <c r="AV8" s="71">
        <f t="shared" ref="AV8:AV71" si="27">R8*S8</f>
        <v>2.14</v>
      </c>
      <c r="AW8" s="74">
        <f t="shared" ref="AW8:AW71" si="28">(AV8/(AV8+AU8))*100</f>
        <v>29.013924589787056</v>
      </c>
    </row>
    <row r="9" spans="1:49" x14ac:dyDescent="0.25">
      <c r="N9" s="71" t="s">
        <v>198</v>
      </c>
      <c r="O9" s="71">
        <f>VIN_var</f>
        <v>11</v>
      </c>
      <c r="P9" t="s">
        <v>10</v>
      </c>
      <c r="Q9">
        <v>2</v>
      </c>
      <c r="R9" s="73">
        <f t="shared" si="0"/>
        <v>53.5</v>
      </c>
      <c r="S9" s="71">
        <f t="shared" si="1"/>
        <v>0.08</v>
      </c>
      <c r="T9" s="71">
        <f t="shared" si="2"/>
        <v>11</v>
      </c>
      <c r="U9" s="74">
        <f t="shared" si="3"/>
        <v>0.3890909090909091</v>
      </c>
      <c r="V9" s="73">
        <f>IF(Variable_Management!$B$20=3,2,IF((S9*R9/T9)&lt;((T9*(1-(T9/R9)))/(2*Lm*Fsw)),1,2))</f>
        <v>2</v>
      </c>
      <c r="W9" s="71">
        <f t="shared" si="13"/>
        <v>0.79439252336448596</v>
      </c>
      <c r="X9" s="74">
        <f t="shared" si="4"/>
        <v>0.20560747663551404</v>
      </c>
      <c r="Y9" s="73">
        <f t="shared" si="5"/>
        <v>5.3282425347617979</v>
      </c>
      <c r="Z9" s="71">
        <f t="shared" si="14"/>
        <v>3.0532121764718081</v>
      </c>
      <c r="AA9" s="71">
        <f t="shared" si="15"/>
        <v>1.5865809501275352</v>
      </c>
      <c r="AB9" s="71">
        <v>0</v>
      </c>
      <c r="AC9" s="71">
        <f t="shared" si="6"/>
        <v>5.7896499560074624E-3</v>
      </c>
      <c r="AD9" s="74">
        <f t="shared" si="16"/>
        <v>5.7896499560074624E-3</v>
      </c>
      <c r="AE9" s="73">
        <f t="shared" ref="AE9:AE72" si="29">U9*W9</f>
        <v>0.30909090909090908</v>
      </c>
      <c r="AF9" s="71">
        <f t="shared" si="17"/>
        <v>1.4140989815226566</v>
      </c>
      <c r="AG9" s="71">
        <f t="shared" si="7"/>
        <v>6.3989629745389272E-3</v>
      </c>
      <c r="AH9" s="71">
        <f t="shared" si="18"/>
        <v>0.35566636708537003</v>
      </c>
      <c r="AI9" s="74">
        <f t="shared" si="19"/>
        <v>0.36206533005990893</v>
      </c>
      <c r="AJ9" s="73">
        <f t="shared" si="20"/>
        <v>8.0000000000000016E-2</v>
      </c>
      <c r="AK9" s="71">
        <f t="shared" si="21"/>
        <v>0.71941864151839852</v>
      </c>
      <c r="AL9" s="71">
        <f t="shared" si="8"/>
        <v>1.6562021816453698E-3</v>
      </c>
      <c r="AM9" s="71">
        <f t="shared" si="22"/>
        <v>0</v>
      </c>
      <c r="AN9" s="188">
        <f t="shared" si="23"/>
        <v>6.1064243529436166E-2</v>
      </c>
      <c r="AO9" s="74">
        <f t="shared" si="24"/>
        <v>6.2720445711081541E-2</v>
      </c>
      <c r="AP9" s="73">
        <f t="shared" si="25"/>
        <v>3.0206869335691108E-3</v>
      </c>
      <c r="AQ9" s="206">
        <f t="shared" si="9"/>
        <v>5.7896499560074624E-3</v>
      </c>
      <c r="AR9" s="206">
        <f t="shared" si="10"/>
        <v>4.7390927326794205</v>
      </c>
      <c r="AS9" s="71">
        <f t="shared" si="11"/>
        <v>0.24000000000000002</v>
      </c>
      <c r="AT9" s="74">
        <f t="shared" si="12"/>
        <v>3.6299999999999995E-5</v>
      </c>
      <c r="AU9" s="73">
        <f t="shared" si="26"/>
        <v>5.4185147952959953</v>
      </c>
      <c r="AV9" s="71">
        <f t="shared" si="27"/>
        <v>4.28</v>
      </c>
      <c r="AW9" s="74">
        <f t="shared" si="28"/>
        <v>44.130468327747458</v>
      </c>
    </row>
    <row r="10" spans="1:49" x14ac:dyDescent="0.25">
      <c r="N10" s="71"/>
      <c r="O10" s="71"/>
      <c r="Q10">
        <v>3</v>
      </c>
      <c r="R10" s="73">
        <f t="shared" si="0"/>
        <v>53.5</v>
      </c>
      <c r="S10" s="71">
        <f t="shared" si="1"/>
        <v>0.12</v>
      </c>
      <c r="T10" s="71">
        <f t="shared" si="2"/>
        <v>11</v>
      </c>
      <c r="U10" s="74">
        <f t="shared" si="3"/>
        <v>0.58363636363636362</v>
      </c>
      <c r="V10" s="73">
        <f>IF(Variable_Management!$B$20=3,2,IF((S10*R10/T10)&lt;((T10*(1-(T10/R10)))/(2*Lm*Fsw)),1,2))</f>
        <v>2</v>
      </c>
      <c r="W10" s="71">
        <f t="shared" si="13"/>
        <v>0.79439252336448596</v>
      </c>
      <c r="X10" s="74">
        <f t="shared" si="4"/>
        <v>0.20560747663551404</v>
      </c>
      <c r="Y10" s="73">
        <f t="shared" si="5"/>
        <v>5.3282425347617979</v>
      </c>
      <c r="Z10" s="71">
        <f t="shared" si="14"/>
        <v>3.2477576310172624</v>
      </c>
      <c r="AA10" s="71">
        <f t="shared" si="15"/>
        <v>1.645137921491411</v>
      </c>
      <c r="AB10" s="71">
        <v>0</v>
      </c>
      <c r="AC10" s="71">
        <f t="shared" si="6"/>
        <v>6.2249011956768841E-3</v>
      </c>
      <c r="AD10" s="74">
        <f t="shared" si="16"/>
        <v>6.2249011956768841E-3</v>
      </c>
      <c r="AE10" s="73">
        <f t="shared" si="29"/>
        <v>0.46363636363636362</v>
      </c>
      <c r="AF10" s="71">
        <f t="shared" si="17"/>
        <v>1.4662900490884503</v>
      </c>
      <c r="AG10" s="71">
        <f t="shared" si="7"/>
        <v>6.8800208257785928E-3</v>
      </c>
      <c r="AH10" s="71">
        <f t="shared" si="18"/>
        <v>0.53349955062805499</v>
      </c>
      <c r="AI10" s="74">
        <f t="shared" si="19"/>
        <v>0.54037957145383353</v>
      </c>
      <c r="AJ10" s="73">
        <f t="shared" si="20"/>
        <v>0.12000000000000001</v>
      </c>
      <c r="AK10" s="71">
        <f t="shared" si="21"/>
        <v>0.74597069156453355</v>
      </c>
      <c r="AL10" s="71">
        <f t="shared" si="8"/>
        <v>1.7807112725544592E-3</v>
      </c>
      <c r="AM10" s="71">
        <f t="shared" si="22"/>
        <v>0</v>
      </c>
      <c r="AN10" s="188">
        <f t="shared" si="23"/>
        <v>6.495515262034525E-2</v>
      </c>
      <c r="AO10" s="74">
        <f t="shared" si="24"/>
        <v>6.6735863892899705E-2</v>
      </c>
      <c r="AP10" s="73">
        <f t="shared" si="25"/>
        <v>3.2477745368748958E-3</v>
      </c>
      <c r="AQ10" s="206">
        <f t="shared" si="9"/>
        <v>6.2249011956768841E-3</v>
      </c>
      <c r="AR10" s="206">
        <f t="shared" si="10"/>
        <v>4.7390927326794205</v>
      </c>
      <c r="AS10" s="71">
        <f t="shared" si="11"/>
        <v>0.24000000000000002</v>
      </c>
      <c r="AT10" s="74">
        <f t="shared" si="12"/>
        <v>3.6299999999999995E-5</v>
      </c>
      <c r="AU10" s="73">
        <f t="shared" si="26"/>
        <v>5.6019420449543826</v>
      </c>
      <c r="AV10" s="71">
        <f t="shared" si="27"/>
        <v>6.42</v>
      </c>
      <c r="AW10" s="74">
        <f t="shared" si="28"/>
        <v>53.402353596393169</v>
      </c>
    </row>
    <row r="11" spans="1:49" x14ac:dyDescent="0.25">
      <c r="N11" s="71" t="s">
        <v>268</v>
      </c>
      <c r="O11" s="71">
        <v>150</v>
      </c>
      <c r="Q11">
        <v>4</v>
      </c>
      <c r="R11" s="73">
        <f t="shared" si="0"/>
        <v>53.5</v>
      </c>
      <c r="S11" s="71">
        <f t="shared" si="1"/>
        <v>0.16</v>
      </c>
      <c r="T11" s="71">
        <f t="shared" si="2"/>
        <v>11</v>
      </c>
      <c r="U11" s="74">
        <f t="shared" si="3"/>
        <v>0.7781818181818182</v>
      </c>
      <c r="V11" s="73">
        <f>IF(Variable_Management!$B$20=3,2,IF((S11*R11/T11)&lt;((T11*(1-(T11/R11)))/(2*Lm*Fsw)),1,2))</f>
        <v>2</v>
      </c>
      <c r="W11" s="71">
        <f t="shared" si="13"/>
        <v>0.79439252336448596</v>
      </c>
      <c r="X11" s="74">
        <f t="shared" si="4"/>
        <v>0.20560747663551404</v>
      </c>
      <c r="Y11" s="73">
        <f t="shared" si="5"/>
        <v>5.3282425347617979</v>
      </c>
      <c r="Z11" s="71">
        <f t="shared" si="14"/>
        <v>3.4423030855627172</v>
      </c>
      <c r="AA11" s="71">
        <f t="shared" si="15"/>
        <v>1.7237790803693966</v>
      </c>
      <c r="AB11" s="71">
        <v>0</v>
      </c>
      <c r="AC11" s="71">
        <f t="shared" si="6"/>
        <v>6.8342529312140745E-3</v>
      </c>
      <c r="AD11" s="74">
        <f t="shared" si="16"/>
        <v>6.8342529312140745E-3</v>
      </c>
      <c r="AE11" s="73">
        <f t="shared" si="29"/>
        <v>0.61818181818181817</v>
      </c>
      <c r="AF11" s="71">
        <f t="shared" si="17"/>
        <v>1.536381891969951</v>
      </c>
      <c r="AG11" s="71">
        <f t="shared" si="7"/>
        <v>7.5535018175141317E-3</v>
      </c>
      <c r="AH11" s="71">
        <f t="shared" si="18"/>
        <v>0.71133273417074006</v>
      </c>
      <c r="AI11" s="74">
        <f t="shared" si="19"/>
        <v>0.71888623598825419</v>
      </c>
      <c r="AJ11" s="73">
        <f t="shared" si="20"/>
        <v>0.16000000000000003</v>
      </c>
      <c r="AK11" s="71">
        <f t="shared" si="21"/>
        <v>0.78162970769156159</v>
      </c>
      <c r="AL11" s="71">
        <f t="shared" si="8"/>
        <v>1.9550239998271874E-3</v>
      </c>
      <c r="AM11" s="71">
        <f t="shared" si="22"/>
        <v>0</v>
      </c>
      <c r="AN11" s="188">
        <f t="shared" si="23"/>
        <v>6.8846061711254347E-2</v>
      </c>
      <c r="AO11" s="74">
        <f t="shared" si="24"/>
        <v>7.0801085711081541E-2</v>
      </c>
      <c r="AP11" s="73">
        <f t="shared" si="25"/>
        <v>3.565697181502995E-3</v>
      </c>
      <c r="AQ11" s="206">
        <f t="shared" si="9"/>
        <v>6.8342529312140745E-3</v>
      </c>
      <c r="AR11" s="206">
        <f t="shared" si="10"/>
        <v>4.7390927326794205</v>
      </c>
      <c r="AS11" s="71">
        <f t="shared" si="11"/>
        <v>0.24000000000000002</v>
      </c>
      <c r="AT11" s="74">
        <f t="shared" si="12"/>
        <v>3.6299999999999995E-5</v>
      </c>
      <c r="AU11" s="73">
        <f t="shared" si="26"/>
        <v>5.786050557422687</v>
      </c>
      <c r="AV11" s="71">
        <f t="shared" si="27"/>
        <v>8.56</v>
      </c>
      <c r="AW11" s="74">
        <f t="shared" si="28"/>
        <v>59.667989916367837</v>
      </c>
    </row>
    <row r="12" spans="1:49" x14ac:dyDescent="0.25">
      <c r="N12" s="71" t="s">
        <v>269</v>
      </c>
      <c r="O12" s="71">
        <f>IOUT/(O11)</f>
        <v>0.04</v>
      </c>
      <c r="Q12">
        <v>5</v>
      </c>
      <c r="R12" s="73">
        <f t="shared" si="0"/>
        <v>53.5</v>
      </c>
      <c r="S12" s="71">
        <f t="shared" si="1"/>
        <v>0.2</v>
      </c>
      <c r="T12" s="71">
        <f t="shared" si="2"/>
        <v>11</v>
      </c>
      <c r="U12" s="74">
        <f t="shared" si="3"/>
        <v>0.97272727272727277</v>
      </c>
      <c r="V12" s="73">
        <f>IF(Variable_Management!$B$20=3,2,IF((S12*R12/T12)&lt;((T12*(1-(T12/R12)))/(2*Lm*Fsw)),1,2))</f>
        <v>2</v>
      </c>
      <c r="W12" s="71">
        <f t="shared" si="13"/>
        <v>0.79439252336448596</v>
      </c>
      <c r="X12" s="74">
        <f t="shared" si="4"/>
        <v>0.20560747663551404</v>
      </c>
      <c r="Y12" s="73">
        <f t="shared" si="5"/>
        <v>5.3282425347617979</v>
      </c>
      <c r="Z12" s="71">
        <f t="shared" si="14"/>
        <v>3.6368485401081716</v>
      </c>
      <c r="AA12" s="71">
        <f t="shared" si="15"/>
        <v>1.8199026685176987</v>
      </c>
      <c r="AB12" s="71">
        <v>0</v>
      </c>
      <c r="AC12" s="71">
        <f t="shared" si="6"/>
        <v>7.6177051626190335E-3</v>
      </c>
      <c r="AD12" s="74">
        <f t="shared" si="16"/>
        <v>7.6177051626190335E-3</v>
      </c>
      <c r="AE12" s="73">
        <f t="shared" si="29"/>
        <v>0.77272727272727271</v>
      </c>
      <c r="AF12" s="71">
        <f t="shared" si="17"/>
        <v>1.6220555968571118</v>
      </c>
      <c r="AG12" s="71">
        <f t="shared" si="7"/>
        <v>8.4194059497455405E-3</v>
      </c>
      <c r="AH12" s="71">
        <f t="shared" si="18"/>
        <v>0.88916591771342512</v>
      </c>
      <c r="AI12" s="74">
        <f t="shared" si="19"/>
        <v>0.89758532366317068</v>
      </c>
      <c r="AJ12" s="73">
        <f t="shared" si="20"/>
        <v>0.20000000000000004</v>
      </c>
      <c r="AK12" s="71">
        <f t="shared" si="21"/>
        <v>0.82521594966551626</v>
      </c>
      <c r="AL12" s="71">
        <f t="shared" si="8"/>
        <v>2.1791403634635518E-3</v>
      </c>
      <c r="AM12" s="71">
        <f t="shared" si="22"/>
        <v>0</v>
      </c>
      <c r="AN12" s="188">
        <f t="shared" si="23"/>
        <v>7.2736970802163431E-2</v>
      </c>
      <c r="AO12" s="74">
        <f t="shared" si="24"/>
        <v>7.4916111165626978E-2</v>
      </c>
      <c r="AP12" s="73">
        <f t="shared" si="25"/>
        <v>3.9744548674534082E-3</v>
      </c>
      <c r="AQ12" s="206">
        <f t="shared" si="9"/>
        <v>7.6177051626190335E-3</v>
      </c>
      <c r="AR12" s="206">
        <f t="shared" si="10"/>
        <v>4.7390927326794205</v>
      </c>
      <c r="AS12" s="71">
        <f t="shared" si="11"/>
        <v>0.24000000000000002</v>
      </c>
      <c r="AT12" s="74">
        <f t="shared" si="12"/>
        <v>3.6299999999999995E-5</v>
      </c>
      <c r="AU12" s="73">
        <f t="shared" si="26"/>
        <v>5.9708403327009094</v>
      </c>
      <c r="AV12" s="71">
        <f t="shared" si="27"/>
        <v>10.700000000000001</v>
      </c>
      <c r="AW12" s="74">
        <f t="shared" si="28"/>
        <v>64.183927063420271</v>
      </c>
    </row>
    <row r="13" spans="1:49" x14ac:dyDescent="0.25">
      <c r="Q13">
        <v>6</v>
      </c>
      <c r="R13" s="73">
        <f t="shared" si="0"/>
        <v>53.5</v>
      </c>
      <c r="S13" s="71">
        <f t="shared" si="1"/>
        <v>0.24</v>
      </c>
      <c r="T13" s="71">
        <f t="shared" si="2"/>
        <v>11</v>
      </c>
      <c r="U13" s="74">
        <f t="shared" si="3"/>
        <v>1.1672727272727272</v>
      </c>
      <c r="V13" s="73">
        <f>IF(Variable_Management!$B$20=3,2,IF((S13*R13/T13)&lt;((T13*(1-(T13/R13)))/(2*Lm*Fsw)),1,2))</f>
        <v>2</v>
      </c>
      <c r="W13" s="71">
        <f t="shared" si="13"/>
        <v>0.79439252336448596</v>
      </c>
      <c r="X13" s="74">
        <f t="shared" si="4"/>
        <v>0.20560747663551404</v>
      </c>
      <c r="Y13" s="73">
        <f t="shared" si="5"/>
        <v>5.3282425347617979</v>
      </c>
      <c r="Z13" s="71">
        <f t="shared" si="14"/>
        <v>3.8313939946536264</v>
      </c>
      <c r="AA13" s="71">
        <f t="shared" si="15"/>
        <v>1.9308995301685463</v>
      </c>
      <c r="AB13" s="71">
        <v>0</v>
      </c>
      <c r="AC13" s="71">
        <f t="shared" si="6"/>
        <v>8.5752578898917586E-3</v>
      </c>
      <c r="AD13" s="74">
        <f t="shared" si="16"/>
        <v>8.5752578898917586E-3</v>
      </c>
      <c r="AE13" s="73">
        <f t="shared" si="29"/>
        <v>0.92727272727272725</v>
      </c>
      <c r="AF13" s="71">
        <f t="shared" si="17"/>
        <v>1.7209856571229039</v>
      </c>
      <c r="AG13" s="71">
        <f t="shared" si="7"/>
        <v>9.4777332224728096E-3</v>
      </c>
      <c r="AH13" s="71">
        <f t="shared" si="18"/>
        <v>1.06699910125611</v>
      </c>
      <c r="AI13" s="74">
        <f t="shared" si="19"/>
        <v>1.0764768344785829</v>
      </c>
      <c r="AJ13" s="73">
        <f t="shared" si="20"/>
        <v>0.24000000000000002</v>
      </c>
      <c r="AK13" s="71">
        <f t="shared" si="21"/>
        <v>0.87554632292207124</v>
      </c>
      <c r="AL13" s="71">
        <f t="shared" si="8"/>
        <v>2.4530603634635518E-3</v>
      </c>
      <c r="AM13" s="71">
        <f t="shared" si="22"/>
        <v>0</v>
      </c>
      <c r="AN13" s="188">
        <f t="shared" si="23"/>
        <v>7.6627879893072529E-2</v>
      </c>
      <c r="AO13" s="74">
        <f t="shared" si="24"/>
        <v>7.9080940256536086E-2</v>
      </c>
      <c r="AP13" s="73">
        <f t="shared" si="25"/>
        <v>4.4740475947261348E-3</v>
      </c>
      <c r="AQ13" s="206">
        <f t="shared" si="9"/>
        <v>8.5752578898917586E-3</v>
      </c>
      <c r="AR13" s="206">
        <f t="shared" si="10"/>
        <v>4.7390927326794205</v>
      </c>
      <c r="AS13" s="71">
        <f t="shared" si="11"/>
        <v>0.24000000000000002</v>
      </c>
      <c r="AT13" s="74">
        <f t="shared" si="12"/>
        <v>3.6299999999999995E-5</v>
      </c>
      <c r="AU13" s="73">
        <f t="shared" si="26"/>
        <v>6.1563113707890489</v>
      </c>
      <c r="AV13" s="71">
        <f t="shared" si="27"/>
        <v>12.84</v>
      </c>
      <c r="AW13" s="74">
        <f t="shared" si="28"/>
        <v>67.592069583278615</v>
      </c>
    </row>
    <row r="14" spans="1:49" x14ac:dyDescent="0.25">
      <c r="Q14">
        <v>7</v>
      </c>
      <c r="R14" s="73">
        <f t="shared" si="0"/>
        <v>53.5</v>
      </c>
      <c r="S14" s="71">
        <f t="shared" si="1"/>
        <v>0.28000000000000003</v>
      </c>
      <c r="T14" s="71">
        <f t="shared" si="2"/>
        <v>11</v>
      </c>
      <c r="U14" s="74">
        <f t="shared" si="3"/>
        <v>1.361818181818182</v>
      </c>
      <c r="V14" s="73">
        <f>IF(Variable_Management!$B$20=3,2,IF((S14*R14/T14)&lt;((T14*(1-(T14/R14)))/(2*Lm*Fsw)),1,2))</f>
        <v>2</v>
      </c>
      <c r="W14" s="71">
        <f t="shared" si="13"/>
        <v>0.79439252336448596</v>
      </c>
      <c r="X14" s="74">
        <f t="shared" si="4"/>
        <v>0.20560747663551404</v>
      </c>
      <c r="Y14" s="73">
        <f t="shared" si="5"/>
        <v>5.3282425347617979</v>
      </c>
      <c r="Z14" s="71">
        <f t="shared" si="14"/>
        <v>4.0259394491990808</v>
      </c>
      <c r="AA14" s="71">
        <f t="shared" si="15"/>
        <v>2.0543602741731988</v>
      </c>
      <c r="AB14" s="71">
        <v>0</v>
      </c>
      <c r="AC14" s="71">
        <f t="shared" si="6"/>
        <v>9.7069111130322541E-3</v>
      </c>
      <c r="AD14" s="74">
        <f t="shared" si="16"/>
        <v>9.7069111130322541E-3</v>
      </c>
      <c r="AE14" s="73">
        <f t="shared" si="29"/>
        <v>1.081818181818182</v>
      </c>
      <c r="AF14" s="71">
        <f t="shared" si="17"/>
        <v>1.8310246137490847</v>
      </c>
      <c r="AG14" s="71">
        <f t="shared" si="7"/>
        <v>1.0728483635695951E-2</v>
      </c>
      <c r="AH14" s="71">
        <f t="shared" si="18"/>
        <v>1.2448322847987956</v>
      </c>
      <c r="AI14" s="74">
        <f t="shared" si="19"/>
        <v>1.2555607684344916</v>
      </c>
      <c r="AJ14" s="73">
        <f t="shared" si="20"/>
        <v>0.28000000000000008</v>
      </c>
      <c r="AK14" s="71">
        <f t="shared" si="21"/>
        <v>0.93152831408712211</v>
      </c>
      <c r="AL14" s="71">
        <f t="shared" si="8"/>
        <v>2.7767839998271877E-3</v>
      </c>
      <c r="AM14" s="71">
        <f t="shared" si="22"/>
        <v>0</v>
      </c>
      <c r="AN14" s="188">
        <f t="shared" si="23"/>
        <v>8.0518788983981612E-2</v>
      </c>
      <c r="AO14" s="74">
        <f t="shared" si="24"/>
        <v>8.3295572983808797E-2</v>
      </c>
      <c r="AP14" s="73">
        <f t="shared" si="25"/>
        <v>5.0644753633211758E-3</v>
      </c>
      <c r="AQ14" s="206">
        <f t="shared" si="9"/>
        <v>9.7069111130322541E-3</v>
      </c>
      <c r="AR14" s="206">
        <f t="shared" si="10"/>
        <v>4.7390927326794205</v>
      </c>
      <c r="AS14" s="71">
        <f t="shared" si="11"/>
        <v>0.24000000000000002</v>
      </c>
      <c r="AT14" s="74">
        <f t="shared" si="12"/>
        <v>3.6299999999999995E-5</v>
      </c>
      <c r="AU14" s="73">
        <f t="shared" si="26"/>
        <v>6.3424636716871072</v>
      </c>
      <c r="AV14" s="71">
        <f t="shared" si="27"/>
        <v>14.980000000000002</v>
      </c>
      <c r="AW14" s="74">
        <f t="shared" si="28"/>
        <v>70.254545772265018</v>
      </c>
    </row>
    <row r="15" spans="1:49" x14ac:dyDescent="0.25">
      <c r="O15">
        <f>0.205*2.5/(Lm*Fsw)</f>
        <v>0.31250000000000006</v>
      </c>
      <c r="Q15">
        <v>8</v>
      </c>
      <c r="R15" s="73">
        <f t="shared" si="0"/>
        <v>53.5</v>
      </c>
      <c r="S15" s="71">
        <f t="shared" si="1"/>
        <v>0.32</v>
      </c>
      <c r="T15" s="71">
        <f t="shared" si="2"/>
        <v>11</v>
      </c>
      <c r="U15" s="74">
        <f t="shared" si="3"/>
        <v>1.5563636363636364</v>
      </c>
      <c r="V15" s="73">
        <f>IF(Variable_Management!$B$20=3,2,IF((S15*R15/T15)&lt;((T15*(1-(T15/R15)))/(2*Lm*Fsw)),1,2))</f>
        <v>2</v>
      </c>
      <c r="W15" s="71">
        <f t="shared" si="13"/>
        <v>0.79439252336448596</v>
      </c>
      <c r="X15" s="74">
        <f t="shared" si="4"/>
        <v>0.20560747663551404</v>
      </c>
      <c r="Y15" s="73">
        <f t="shared" si="5"/>
        <v>5.3282425347617979</v>
      </c>
      <c r="Z15" s="71">
        <f t="shared" si="14"/>
        <v>4.2204849037445351</v>
      </c>
      <c r="AA15" s="71">
        <f t="shared" si="15"/>
        <v>2.1881762141942418</v>
      </c>
      <c r="AB15" s="71">
        <v>0</v>
      </c>
      <c r="AC15" s="71">
        <f t="shared" si="6"/>
        <v>1.1012664832040522E-2</v>
      </c>
      <c r="AD15" s="74">
        <f t="shared" si="16"/>
        <v>1.1012664832040522E-2</v>
      </c>
      <c r="AE15" s="73">
        <f t="shared" si="29"/>
        <v>1.2363636363636363</v>
      </c>
      <c r="AF15" s="71">
        <f t="shared" si="17"/>
        <v>1.9502930220077639</v>
      </c>
      <c r="AG15" s="71">
        <f t="shared" si="7"/>
        <v>1.2171657189414964E-2</v>
      </c>
      <c r="AH15" s="71">
        <f t="shared" si="18"/>
        <v>1.4226654683414801</v>
      </c>
      <c r="AI15" s="74">
        <f t="shared" si="19"/>
        <v>1.4348371255308952</v>
      </c>
      <c r="AJ15" s="73">
        <f t="shared" si="20"/>
        <v>0.32000000000000006</v>
      </c>
      <c r="AK15" s="71">
        <f t="shared" si="21"/>
        <v>0.99220576125784976</v>
      </c>
      <c r="AL15" s="71">
        <f t="shared" si="8"/>
        <v>3.1503112725544615E-3</v>
      </c>
      <c r="AM15" s="71">
        <f t="shared" si="22"/>
        <v>0</v>
      </c>
      <c r="AN15" s="188">
        <f t="shared" si="23"/>
        <v>8.440969807489071E-2</v>
      </c>
      <c r="AO15" s="74">
        <f t="shared" si="24"/>
        <v>8.7560009347445178E-2</v>
      </c>
      <c r="AP15" s="73">
        <f t="shared" si="25"/>
        <v>5.7457381732385331E-3</v>
      </c>
      <c r="AQ15" s="206">
        <f t="shared" si="9"/>
        <v>1.1012664832040522E-2</v>
      </c>
      <c r="AR15" s="206">
        <f t="shared" si="10"/>
        <v>4.7390927326794205</v>
      </c>
      <c r="AS15" s="71">
        <f t="shared" si="11"/>
        <v>0.24000000000000002</v>
      </c>
      <c r="AT15" s="74">
        <f t="shared" si="12"/>
        <v>3.6299999999999995E-5</v>
      </c>
      <c r="AU15" s="73">
        <f t="shared" si="26"/>
        <v>6.5292972353950809</v>
      </c>
      <c r="AV15" s="71">
        <f t="shared" si="27"/>
        <v>17.12</v>
      </c>
      <c r="AW15" s="74">
        <f t="shared" si="28"/>
        <v>72.39115746059926</v>
      </c>
    </row>
    <row r="16" spans="1:49" x14ac:dyDescent="0.25">
      <c r="Q16">
        <v>9</v>
      </c>
      <c r="R16" s="73">
        <f t="shared" si="0"/>
        <v>53.5</v>
      </c>
      <c r="S16" s="71">
        <f t="shared" si="1"/>
        <v>0.36</v>
      </c>
      <c r="T16" s="71">
        <f t="shared" si="2"/>
        <v>11</v>
      </c>
      <c r="U16" s="74">
        <f t="shared" si="3"/>
        <v>1.7509090909090907</v>
      </c>
      <c r="V16" s="73">
        <f>IF(Variable_Management!$B$20=3,2,IF((S16*R16/T16)&lt;((T16*(1-(T16/R16)))/(2*Lm*Fsw)),1,2))</f>
        <v>2</v>
      </c>
      <c r="W16" s="71">
        <f t="shared" si="13"/>
        <v>0.79439252336448596</v>
      </c>
      <c r="X16" s="74">
        <f t="shared" si="4"/>
        <v>0.20560747663551404</v>
      </c>
      <c r="Y16" s="73">
        <f t="shared" si="5"/>
        <v>5.3282425347617979</v>
      </c>
      <c r="Z16" s="71">
        <f t="shared" ref="Z16:Z79" si="30">CHOOSE(V16,Y16,U16+(0.5*Y16))</f>
        <v>4.4150303582899895</v>
      </c>
      <c r="AA16" s="71">
        <f t="shared" ref="AA16:AA79" si="31">CHOOSE(V16,Z16*SQRT((W16+X16)/3),SQRT((U16^2)+((Y16^2)/12)))</f>
        <v>2.3305643137228591</v>
      </c>
      <c r="AB16" s="71">
        <v>0</v>
      </c>
      <c r="AC16" s="71">
        <f t="shared" si="6"/>
        <v>1.2492519046916553E-2</v>
      </c>
      <c r="AD16" s="74">
        <f t="shared" si="16"/>
        <v>1.2492519046916553E-2</v>
      </c>
      <c r="AE16" s="73">
        <f t="shared" si="29"/>
        <v>1.3909090909090907</v>
      </c>
      <c r="AF16" s="71">
        <f t="shared" si="17"/>
        <v>2.077201684631111</v>
      </c>
      <c r="AG16" s="71">
        <f t="shared" si="7"/>
        <v>1.3807253883629841E-2</v>
      </c>
      <c r="AH16" s="71">
        <f t="shared" si="18"/>
        <v>1.6004986518841651</v>
      </c>
      <c r="AI16" s="74">
        <f t="shared" si="19"/>
        <v>1.6143059057677949</v>
      </c>
      <c r="AJ16" s="73">
        <f t="shared" si="20"/>
        <v>0.36</v>
      </c>
      <c r="AK16" s="71">
        <f t="shared" si="21"/>
        <v>1.0567701650615324</v>
      </c>
      <c r="AL16" s="71">
        <f t="shared" si="8"/>
        <v>3.5736421816453716E-3</v>
      </c>
      <c r="AM16" s="71">
        <f t="shared" si="22"/>
        <v>0</v>
      </c>
      <c r="AN16" s="188">
        <f t="shared" si="23"/>
        <v>8.8300607165799794E-2</v>
      </c>
      <c r="AO16" s="74">
        <f t="shared" si="24"/>
        <v>9.1874249347445161E-2</v>
      </c>
      <c r="AP16" s="73">
        <f t="shared" si="25"/>
        <v>6.5178360244782007E-3</v>
      </c>
      <c r="AQ16" s="206">
        <f t="shared" si="9"/>
        <v>1.2492519046916553E-2</v>
      </c>
      <c r="AR16" s="206">
        <f t="shared" si="10"/>
        <v>4.7390927326794205</v>
      </c>
      <c r="AS16" s="71">
        <f t="shared" si="11"/>
        <v>0.24000000000000002</v>
      </c>
      <c r="AT16" s="74">
        <f t="shared" si="12"/>
        <v>3.6299999999999995E-5</v>
      </c>
      <c r="AU16" s="73">
        <f t="shared" si="26"/>
        <v>6.7168120619129716</v>
      </c>
      <c r="AV16" s="71">
        <f t="shared" si="27"/>
        <v>19.259999999999998</v>
      </c>
      <c r="AW16" s="74">
        <f t="shared" si="28"/>
        <v>74.143047091751811</v>
      </c>
    </row>
    <row r="17" spans="17:49" x14ac:dyDescent="0.25">
      <c r="Q17">
        <v>10</v>
      </c>
      <c r="R17" s="73">
        <f t="shared" si="0"/>
        <v>53.5</v>
      </c>
      <c r="S17" s="71">
        <f t="shared" si="1"/>
        <v>0.4</v>
      </c>
      <c r="T17" s="71">
        <f t="shared" si="2"/>
        <v>11</v>
      </c>
      <c r="U17" s="74">
        <f t="shared" si="3"/>
        <v>1.9454545454545455</v>
      </c>
      <c r="V17" s="73">
        <f>IF(Variable_Management!$B$20=3,2,IF((S17*R17/T17)&lt;((T17*(1-(T17/R17)))/(2*Lm*Fsw)),1,2))</f>
        <v>2</v>
      </c>
      <c r="W17" s="71">
        <f t="shared" si="13"/>
        <v>0.79439252336448596</v>
      </c>
      <c r="X17" s="74">
        <f t="shared" si="4"/>
        <v>0.20560747663551404</v>
      </c>
      <c r="Y17" s="73">
        <f t="shared" si="5"/>
        <v>5.3282425347617979</v>
      </c>
      <c r="Z17" s="71">
        <f t="shared" si="30"/>
        <v>4.6095758128354447</v>
      </c>
      <c r="AA17" s="71">
        <f t="shared" si="31"/>
        <v>2.4800485406943458</v>
      </c>
      <c r="AB17" s="71">
        <v>0</v>
      </c>
      <c r="AC17" s="71">
        <f t="shared" si="6"/>
        <v>1.4146473757660354E-2</v>
      </c>
      <c r="AD17" s="74">
        <f t="shared" si="16"/>
        <v>1.4146473757660354E-2</v>
      </c>
      <c r="AE17" s="73">
        <f t="shared" si="29"/>
        <v>1.5454545454545454</v>
      </c>
      <c r="AF17" s="71">
        <f t="shared" si="17"/>
        <v>2.2104350334224785</v>
      </c>
      <c r="AG17" s="71">
        <f t="shared" si="7"/>
        <v>1.563527371834059E-2</v>
      </c>
      <c r="AH17" s="71">
        <f t="shared" si="18"/>
        <v>1.7783318354268502</v>
      </c>
      <c r="AI17" s="74">
        <f t="shared" si="19"/>
        <v>1.7939671091451908</v>
      </c>
      <c r="AJ17" s="73">
        <f t="shared" si="20"/>
        <v>0.40000000000000008</v>
      </c>
      <c r="AK17" s="71">
        <f t="shared" si="21"/>
        <v>1.1245522340997434</v>
      </c>
      <c r="AL17" s="71">
        <f t="shared" si="8"/>
        <v>4.0467767270999169E-3</v>
      </c>
      <c r="AM17" s="71">
        <f t="shared" si="22"/>
        <v>0</v>
      </c>
      <c r="AN17" s="188">
        <f t="shared" si="23"/>
        <v>9.2191516256708891E-2</v>
      </c>
      <c r="AO17" s="74">
        <f t="shared" si="24"/>
        <v>9.6238292983808815E-2</v>
      </c>
      <c r="AP17" s="73">
        <f t="shared" si="25"/>
        <v>7.3807689170401845E-3</v>
      </c>
      <c r="AQ17" s="206">
        <f t="shared" si="9"/>
        <v>1.4146473757660354E-2</v>
      </c>
      <c r="AR17" s="206">
        <f t="shared" si="10"/>
        <v>4.7390927326794205</v>
      </c>
      <c r="AS17" s="71">
        <f t="shared" si="11"/>
        <v>0.24000000000000002</v>
      </c>
      <c r="AT17" s="74">
        <f t="shared" si="12"/>
        <v>3.6299999999999995E-5</v>
      </c>
      <c r="AU17" s="73">
        <f t="shared" si="26"/>
        <v>6.9050081512407813</v>
      </c>
      <c r="AV17" s="71">
        <f t="shared" si="27"/>
        <v>21.400000000000002</v>
      </c>
      <c r="AW17" s="74">
        <f t="shared" si="28"/>
        <v>75.604995008849372</v>
      </c>
    </row>
    <row r="18" spans="17:49" x14ac:dyDescent="0.25">
      <c r="Q18">
        <v>11</v>
      </c>
      <c r="R18" s="73">
        <f t="shared" si="0"/>
        <v>53.5</v>
      </c>
      <c r="S18" s="71">
        <f t="shared" si="1"/>
        <v>0.44</v>
      </c>
      <c r="T18" s="71">
        <f t="shared" si="2"/>
        <v>11</v>
      </c>
      <c r="U18" s="74">
        <f t="shared" si="3"/>
        <v>2.14</v>
      </c>
      <c r="V18" s="73">
        <f>IF(Variable_Management!$B$20=3,2,IF((S18*R18/T18)&lt;((T18*(1-(T18/R18)))/(2*Lm*Fsw)),1,2))</f>
        <v>2</v>
      </c>
      <c r="W18" s="71">
        <f t="shared" si="13"/>
        <v>0.79439252336448596</v>
      </c>
      <c r="X18" s="74">
        <f t="shared" si="4"/>
        <v>0.20560747663551404</v>
      </c>
      <c r="Y18" s="73">
        <f t="shared" si="5"/>
        <v>5.3282425347617979</v>
      </c>
      <c r="Z18" s="71">
        <f t="shared" si="30"/>
        <v>4.8041212673808991</v>
      </c>
      <c r="AA18" s="71">
        <f t="shared" si="31"/>
        <v>2.6354216694431276</v>
      </c>
      <c r="AB18" s="71">
        <v>0</v>
      </c>
      <c r="AC18" s="71">
        <f t="shared" si="6"/>
        <v>1.5974528964271924E-2</v>
      </c>
      <c r="AD18" s="74">
        <f t="shared" si="16"/>
        <v>1.5974528964271924E-2</v>
      </c>
      <c r="AE18" s="73">
        <f t="shared" si="29"/>
        <v>1.7</v>
      </c>
      <c r="AF18" s="71">
        <f t="shared" si="17"/>
        <v>2.3489170838353353</v>
      </c>
      <c r="AG18" s="71">
        <f t="shared" si="7"/>
        <v>1.7655716693547187E-2</v>
      </c>
      <c r="AH18" s="71">
        <f t="shared" si="18"/>
        <v>1.9561650189695354</v>
      </c>
      <c r="AI18" s="74">
        <f t="shared" si="19"/>
        <v>1.9738207356630826</v>
      </c>
      <c r="AJ18" s="73">
        <f t="shared" si="20"/>
        <v>0.44000000000000006</v>
      </c>
      <c r="AK18" s="71">
        <f t="shared" si="21"/>
        <v>1.1950045644418705</v>
      </c>
      <c r="AL18" s="71">
        <f t="shared" si="8"/>
        <v>4.5697149089180952E-3</v>
      </c>
      <c r="AM18" s="71">
        <f t="shared" si="22"/>
        <v>0</v>
      </c>
      <c r="AN18" s="188">
        <f t="shared" si="23"/>
        <v>9.6082425347617989E-2</v>
      </c>
      <c r="AO18" s="74">
        <f t="shared" si="24"/>
        <v>0.10065214025653609</v>
      </c>
      <c r="AP18" s="73">
        <f t="shared" si="25"/>
        <v>8.3345368509244819E-3</v>
      </c>
      <c r="AQ18" s="206">
        <f t="shared" si="9"/>
        <v>1.5974528964271924E-2</v>
      </c>
      <c r="AR18" s="206">
        <f t="shared" si="10"/>
        <v>4.7390927326794205</v>
      </c>
      <c r="AS18" s="71">
        <f t="shared" si="11"/>
        <v>0.24000000000000002</v>
      </c>
      <c r="AT18" s="74">
        <f t="shared" si="12"/>
        <v>3.6299999999999995E-5</v>
      </c>
      <c r="AU18" s="73">
        <f t="shared" si="26"/>
        <v>7.0938855033785071</v>
      </c>
      <c r="AV18" s="71">
        <f t="shared" si="27"/>
        <v>23.54</v>
      </c>
      <c r="AW18" s="74">
        <f t="shared" si="28"/>
        <v>76.843010976860413</v>
      </c>
    </row>
    <row r="19" spans="17:49" x14ac:dyDescent="0.25">
      <c r="Q19">
        <v>12</v>
      </c>
      <c r="R19" s="73">
        <f t="shared" si="0"/>
        <v>53.5</v>
      </c>
      <c r="S19" s="71">
        <f t="shared" si="1"/>
        <v>0.48</v>
      </c>
      <c r="T19" s="71">
        <f t="shared" si="2"/>
        <v>11</v>
      </c>
      <c r="U19" s="74">
        <f t="shared" si="3"/>
        <v>2.3345454545454545</v>
      </c>
      <c r="V19" s="73">
        <f>IF(Variable_Management!$B$20=3,2,IF((S19*R19/T19)&lt;((T19*(1-(T19/R19)))/(2*Lm*Fsw)),1,2))</f>
        <v>2</v>
      </c>
      <c r="W19" s="71">
        <f t="shared" si="13"/>
        <v>0.79439252336448596</v>
      </c>
      <c r="X19" s="74">
        <f t="shared" si="4"/>
        <v>0.20560747663551404</v>
      </c>
      <c r="Y19" s="73">
        <f t="shared" si="5"/>
        <v>5.3282425347617979</v>
      </c>
      <c r="Z19" s="71">
        <f t="shared" si="30"/>
        <v>4.9986667219263534</v>
      </c>
      <c r="AA19" s="71">
        <f t="shared" si="31"/>
        <v>2.7957020326045559</v>
      </c>
      <c r="AB19" s="71">
        <v>0</v>
      </c>
      <c r="AC19" s="71">
        <f t="shared" si="6"/>
        <v>1.7976684666751265E-2</v>
      </c>
      <c r="AD19" s="74">
        <f t="shared" si="16"/>
        <v>1.7976684666751265E-2</v>
      </c>
      <c r="AE19" s="73">
        <f t="shared" si="29"/>
        <v>1.8545454545454545</v>
      </c>
      <c r="AF19" s="71">
        <f t="shared" si="17"/>
        <v>2.491772888505396</v>
      </c>
      <c r="AG19" s="71">
        <f t="shared" si="7"/>
        <v>1.986858280924968E-2</v>
      </c>
      <c r="AH19" s="71">
        <f t="shared" si="18"/>
        <v>2.1339982025122199</v>
      </c>
      <c r="AI19" s="74">
        <f t="shared" si="19"/>
        <v>2.1538667853214695</v>
      </c>
      <c r="AJ19" s="73">
        <f t="shared" si="20"/>
        <v>0.48000000000000004</v>
      </c>
      <c r="AK19" s="71">
        <f t="shared" si="21"/>
        <v>1.2676820292244915</v>
      </c>
      <c r="AL19" s="71">
        <f t="shared" si="8"/>
        <v>5.1424567270999186E-3</v>
      </c>
      <c r="AM19" s="71">
        <f t="shared" si="22"/>
        <v>0</v>
      </c>
      <c r="AN19" s="188">
        <f t="shared" si="23"/>
        <v>9.9973334438527073E-2</v>
      </c>
      <c r="AO19" s="74">
        <f t="shared" si="24"/>
        <v>0.105115791165627</v>
      </c>
      <c r="AP19" s="73">
        <f t="shared" si="25"/>
        <v>9.379139826131094E-3</v>
      </c>
      <c r="AQ19" s="206">
        <f t="shared" si="9"/>
        <v>1.7976684666751265E-2</v>
      </c>
      <c r="AR19" s="206">
        <f t="shared" si="10"/>
        <v>4.7390927326794205</v>
      </c>
      <c r="AS19" s="71">
        <f t="shared" si="11"/>
        <v>0.24000000000000002</v>
      </c>
      <c r="AT19" s="74">
        <f t="shared" si="12"/>
        <v>3.6299999999999995E-5</v>
      </c>
      <c r="AU19" s="73">
        <f t="shared" si="26"/>
        <v>7.2834441183261509</v>
      </c>
      <c r="AV19" s="71">
        <f t="shared" si="27"/>
        <v>25.68</v>
      </c>
      <c r="AW19" s="74">
        <f t="shared" si="28"/>
        <v>77.904480817655539</v>
      </c>
    </row>
    <row r="20" spans="17:49" x14ac:dyDescent="0.25">
      <c r="Q20">
        <v>13</v>
      </c>
      <c r="R20" s="73">
        <f t="shared" si="0"/>
        <v>53.5</v>
      </c>
      <c r="S20" s="71">
        <f t="shared" si="1"/>
        <v>0.52</v>
      </c>
      <c r="T20" s="71">
        <f t="shared" si="2"/>
        <v>11</v>
      </c>
      <c r="U20" s="74">
        <f t="shared" si="3"/>
        <v>2.5290909090909093</v>
      </c>
      <c r="V20" s="73">
        <f>IF(Variable_Management!$B$20=3,2,IF((S20*R20/T20)&lt;((T20*(1-(T20/R20)))/(2*Lm*Fsw)),1,2))</f>
        <v>2</v>
      </c>
      <c r="W20" s="71">
        <f t="shared" si="13"/>
        <v>0.79439252336448596</v>
      </c>
      <c r="X20" s="74">
        <f t="shared" si="4"/>
        <v>0.20560747663551404</v>
      </c>
      <c r="Y20" s="73">
        <f t="shared" si="5"/>
        <v>5.3282425347617979</v>
      </c>
      <c r="Z20" s="71">
        <f t="shared" si="30"/>
        <v>5.1932121764718087</v>
      </c>
      <c r="AA20" s="71">
        <f t="shared" si="31"/>
        <v>2.9600926002773433</v>
      </c>
      <c r="AB20" s="71">
        <v>0</v>
      </c>
      <c r="AC20" s="71">
        <f t="shared" si="6"/>
        <v>2.0152940865098373E-2</v>
      </c>
      <c r="AD20" s="74">
        <f t="shared" si="16"/>
        <v>2.0152940865098373E-2</v>
      </c>
      <c r="AE20" s="73">
        <f t="shared" si="29"/>
        <v>2.0090909090909093</v>
      </c>
      <c r="AF20" s="71">
        <f t="shared" si="17"/>
        <v>2.6382920650399013</v>
      </c>
      <c r="AG20" s="71">
        <f t="shared" si="7"/>
        <v>2.2273872065448026E-2</v>
      </c>
      <c r="AH20" s="71">
        <f t="shared" si="18"/>
        <v>2.3118313860549056</v>
      </c>
      <c r="AI20" s="74">
        <f t="shared" si="19"/>
        <v>2.3341052581203536</v>
      </c>
      <c r="AJ20" s="73">
        <f t="shared" si="20"/>
        <v>0.52000000000000013</v>
      </c>
      <c r="AK20" s="71">
        <f t="shared" si="21"/>
        <v>1.3422232235228904</v>
      </c>
      <c r="AL20" s="71">
        <f t="shared" si="8"/>
        <v>5.7650021816453723E-3</v>
      </c>
      <c r="AM20" s="71">
        <f t="shared" si="22"/>
        <v>0</v>
      </c>
      <c r="AN20" s="188">
        <f t="shared" si="23"/>
        <v>0.10386424352943617</v>
      </c>
      <c r="AO20" s="74">
        <f t="shared" si="24"/>
        <v>0.10962924571108154</v>
      </c>
      <c r="AP20" s="73">
        <f t="shared" si="25"/>
        <v>1.0514577842660021E-2</v>
      </c>
      <c r="AQ20" s="206">
        <f t="shared" si="9"/>
        <v>2.0152940865098373E-2</v>
      </c>
      <c r="AR20" s="206">
        <f t="shared" si="10"/>
        <v>4.7390927326794205</v>
      </c>
      <c r="AS20" s="71">
        <f t="shared" si="11"/>
        <v>0.24000000000000002</v>
      </c>
      <c r="AT20" s="74">
        <f t="shared" si="12"/>
        <v>3.6299999999999995E-5</v>
      </c>
      <c r="AU20" s="73">
        <f t="shared" si="26"/>
        <v>7.4736839960837127</v>
      </c>
      <c r="AV20" s="71">
        <f t="shared" si="27"/>
        <v>27.82</v>
      </c>
      <c r="AW20" s="74">
        <f t="shared" si="28"/>
        <v>78.824301830001602</v>
      </c>
    </row>
    <row r="21" spans="17:49" x14ac:dyDescent="0.25">
      <c r="Q21">
        <v>14</v>
      </c>
      <c r="R21" s="73">
        <f t="shared" si="0"/>
        <v>53.5</v>
      </c>
      <c r="S21" s="71">
        <f t="shared" si="1"/>
        <v>0.56000000000000005</v>
      </c>
      <c r="T21" s="71">
        <f t="shared" si="2"/>
        <v>11</v>
      </c>
      <c r="U21" s="74">
        <f t="shared" si="3"/>
        <v>2.7236363636363641</v>
      </c>
      <c r="V21" s="73">
        <f>IF(Variable_Management!$B$20=3,2,IF((S21*R21/T21)&lt;((T21*(1-(T21/R21)))/(2*Lm*Fsw)),1,2))</f>
        <v>2</v>
      </c>
      <c r="W21" s="71">
        <f t="shared" si="13"/>
        <v>0.79439252336448596</v>
      </c>
      <c r="X21" s="74">
        <f t="shared" si="4"/>
        <v>0.20560747663551404</v>
      </c>
      <c r="Y21" s="73">
        <f t="shared" si="5"/>
        <v>5.3282425347617979</v>
      </c>
      <c r="Z21" s="71">
        <f t="shared" si="30"/>
        <v>5.387757631017263</v>
      </c>
      <c r="AA21" s="71">
        <f t="shared" si="31"/>
        <v>3.1279453986750982</v>
      </c>
      <c r="AB21" s="71">
        <v>0</v>
      </c>
      <c r="AC21" s="71">
        <f t="shared" si="6"/>
        <v>2.2503297559313254E-2</v>
      </c>
      <c r="AD21" s="74">
        <f t="shared" si="16"/>
        <v>2.2503297559313254E-2</v>
      </c>
      <c r="AE21" s="73">
        <f t="shared" si="29"/>
        <v>2.163636363636364</v>
      </c>
      <c r="AF21" s="71">
        <f t="shared" si="17"/>
        <v>2.7878970828241578</v>
      </c>
      <c r="AG21" s="71">
        <f t="shared" si="7"/>
        <v>2.487158446214224E-2</v>
      </c>
      <c r="AH21" s="71">
        <f t="shared" si="18"/>
        <v>2.4896645695975912</v>
      </c>
      <c r="AI21" s="74">
        <f t="shared" si="19"/>
        <v>2.5145361540597335</v>
      </c>
      <c r="AJ21" s="73">
        <f t="shared" si="20"/>
        <v>0.56000000000000016</v>
      </c>
      <c r="AK21" s="71">
        <f t="shared" si="21"/>
        <v>1.4183343303584206</v>
      </c>
      <c r="AL21" s="71">
        <f t="shared" si="8"/>
        <v>6.4373512725544616E-3</v>
      </c>
      <c r="AM21" s="71">
        <f t="shared" si="22"/>
        <v>0</v>
      </c>
      <c r="AN21" s="188">
        <f t="shared" si="23"/>
        <v>0.10775515262034527</v>
      </c>
      <c r="AO21" s="74">
        <f t="shared" si="24"/>
        <v>0.11419250389289973</v>
      </c>
      <c r="AP21" s="73">
        <f t="shared" si="25"/>
        <v>1.1740850900511262E-2</v>
      </c>
      <c r="AQ21" s="206">
        <f t="shared" si="9"/>
        <v>2.2503297559313254E-2</v>
      </c>
      <c r="AR21" s="206">
        <f t="shared" si="10"/>
        <v>4.7390927326794205</v>
      </c>
      <c r="AS21" s="71">
        <f t="shared" si="11"/>
        <v>0.24000000000000002</v>
      </c>
      <c r="AT21" s="74">
        <f t="shared" si="12"/>
        <v>3.6299999999999995E-5</v>
      </c>
      <c r="AU21" s="73">
        <f t="shared" si="26"/>
        <v>7.6646051366511916</v>
      </c>
      <c r="AV21" s="71">
        <f t="shared" si="27"/>
        <v>29.960000000000004</v>
      </c>
      <c r="AW21" s="74">
        <f t="shared" si="28"/>
        <v>79.628742657062773</v>
      </c>
    </row>
    <row r="22" spans="17:49" x14ac:dyDescent="0.25">
      <c r="Q22">
        <v>15</v>
      </c>
      <c r="R22" s="73">
        <f t="shared" si="0"/>
        <v>53.5</v>
      </c>
      <c r="S22" s="71">
        <f t="shared" si="1"/>
        <v>0.6</v>
      </c>
      <c r="T22" s="71">
        <f t="shared" si="2"/>
        <v>11</v>
      </c>
      <c r="U22" s="74">
        <f t="shared" si="3"/>
        <v>2.9181818181818184</v>
      </c>
      <c r="V22" s="73">
        <f>IF(Variable_Management!$B$20=3,2,IF((S22*R22/T22)&lt;((T22*(1-(T22/R22)))/(2*Lm*Fsw)),1,2))</f>
        <v>2</v>
      </c>
      <c r="W22" s="71">
        <f t="shared" si="13"/>
        <v>0.79439252336448596</v>
      </c>
      <c r="X22" s="74">
        <f t="shared" si="4"/>
        <v>0.20560747663551404</v>
      </c>
      <c r="Y22" s="73">
        <f t="shared" si="5"/>
        <v>5.3282425347617979</v>
      </c>
      <c r="Z22" s="71">
        <f t="shared" si="30"/>
        <v>5.5823030855627174</v>
      </c>
      <c r="AA22" s="71">
        <f t="shared" si="31"/>
        <v>3.2987319533022603</v>
      </c>
      <c r="AB22" s="71">
        <v>0</v>
      </c>
      <c r="AC22" s="71">
        <f t="shared" si="6"/>
        <v>2.5027754749395895E-2</v>
      </c>
      <c r="AD22" s="74">
        <f t="shared" si="16"/>
        <v>2.5027754749395895E-2</v>
      </c>
      <c r="AE22" s="73">
        <f t="shared" si="29"/>
        <v>2.3181818181818183</v>
      </c>
      <c r="AF22" s="71">
        <f t="shared" si="17"/>
        <v>2.9401169194083669</v>
      </c>
      <c r="AG22" s="71">
        <f t="shared" si="7"/>
        <v>2.7661719999332309E-2</v>
      </c>
      <c r="AH22" s="71">
        <f t="shared" si="18"/>
        <v>2.6674977531402755</v>
      </c>
      <c r="AI22" s="74">
        <f t="shared" si="19"/>
        <v>2.6951594731396078</v>
      </c>
      <c r="AJ22" s="73">
        <f t="shared" si="20"/>
        <v>0.60000000000000009</v>
      </c>
      <c r="AK22" s="71">
        <f t="shared" si="21"/>
        <v>1.4957757184638332</v>
      </c>
      <c r="AL22" s="71">
        <f t="shared" si="8"/>
        <v>7.1595039998271891E-3</v>
      </c>
      <c r="AM22" s="71">
        <f t="shared" si="22"/>
        <v>0</v>
      </c>
      <c r="AN22" s="188">
        <f t="shared" si="23"/>
        <v>0.11164606171125435</v>
      </c>
      <c r="AO22" s="74">
        <f t="shared" si="24"/>
        <v>0.11880556571108154</v>
      </c>
      <c r="AP22" s="73">
        <f t="shared" si="25"/>
        <v>1.3057958999684814E-2</v>
      </c>
      <c r="AQ22" s="206">
        <f t="shared" si="9"/>
        <v>2.5027754749395895E-2</v>
      </c>
      <c r="AR22" s="206">
        <f t="shared" si="10"/>
        <v>4.7390927326794205</v>
      </c>
      <c r="AS22" s="71">
        <f t="shared" si="11"/>
        <v>0.24000000000000002</v>
      </c>
      <c r="AT22" s="74">
        <f t="shared" si="12"/>
        <v>3.6299999999999995E-5</v>
      </c>
      <c r="AU22" s="73">
        <f t="shared" si="26"/>
        <v>7.8562075400285867</v>
      </c>
      <c r="AV22" s="71">
        <f t="shared" si="27"/>
        <v>32.1</v>
      </c>
      <c r="AW22" s="74">
        <f t="shared" si="28"/>
        <v>80.337954916872064</v>
      </c>
    </row>
    <row r="23" spans="17:49" x14ac:dyDescent="0.25">
      <c r="Q23">
        <v>16</v>
      </c>
      <c r="R23" s="73">
        <f t="shared" si="0"/>
        <v>53.5</v>
      </c>
      <c r="S23" s="71">
        <f t="shared" si="1"/>
        <v>0.64</v>
      </c>
      <c r="T23" s="71">
        <f t="shared" si="2"/>
        <v>11</v>
      </c>
      <c r="U23" s="74">
        <f t="shared" si="3"/>
        <v>3.1127272727272728</v>
      </c>
      <c r="V23" s="73">
        <f>IF(Variable_Management!$B$20=3,2,IF((S23*R23/T23)&lt;((T23*(1-(T23/R23)))/(2*Lm*Fsw)),1,2))</f>
        <v>2</v>
      </c>
      <c r="W23" s="71">
        <f t="shared" si="13"/>
        <v>0.79439252336448596</v>
      </c>
      <c r="X23" s="74">
        <f t="shared" si="4"/>
        <v>0.20560747663551404</v>
      </c>
      <c r="Y23" s="73">
        <f t="shared" si="5"/>
        <v>5.3282425347617979</v>
      </c>
      <c r="Z23" s="71">
        <f t="shared" si="30"/>
        <v>5.7768485401081717</v>
      </c>
      <c r="AA23" s="71">
        <f t="shared" si="31"/>
        <v>3.4720193620068667</v>
      </c>
      <c r="AB23" s="71">
        <v>0</v>
      </c>
      <c r="AC23" s="71">
        <f t="shared" si="6"/>
        <v>2.7726312435346311E-2</v>
      </c>
      <c r="AD23" s="74">
        <f t="shared" si="16"/>
        <v>2.7726312435346311E-2</v>
      </c>
      <c r="AE23" s="73">
        <f t="shared" si="29"/>
        <v>2.4727272727272727</v>
      </c>
      <c r="AF23" s="71">
        <f t="shared" si="17"/>
        <v>3.0945657347305144</v>
      </c>
      <c r="AG23" s="71">
        <f t="shared" si="7"/>
        <v>3.0644278677018272E-2</v>
      </c>
      <c r="AH23" s="71">
        <f t="shared" si="18"/>
        <v>2.8453309366829602</v>
      </c>
      <c r="AI23" s="74">
        <f t="shared" si="19"/>
        <v>2.8759752153599787</v>
      </c>
      <c r="AJ23" s="73">
        <f t="shared" si="20"/>
        <v>0.64000000000000012</v>
      </c>
      <c r="AK23" s="71">
        <f t="shared" si="21"/>
        <v>1.57435109285774</v>
      </c>
      <c r="AL23" s="71">
        <f t="shared" si="8"/>
        <v>7.9314603634635539E-3</v>
      </c>
      <c r="AM23" s="71">
        <f t="shared" si="22"/>
        <v>0</v>
      </c>
      <c r="AN23" s="188">
        <f t="shared" si="23"/>
        <v>0.11553697080216344</v>
      </c>
      <c r="AO23" s="74">
        <f t="shared" si="24"/>
        <v>0.12346843116562699</v>
      </c>
      <c r="AP23" s="73">
        <f t="shared" si="25"/>
        <v>1.4465902140180682E-2</v>
      </c>
      <c r="AQ23" s="206">
        <f t="shared" si="9"/>
        <v>2.7726312435346311E-2</v>
      </c>
      <c r="AR23" s="206">
        <f t="shared" si="10"/>
        <v>4.7390927326794205</v>
      </c>
      <c r="AS23" s="71">
        <f t="shared" si="11"/>
        <v>0.24000000000000002</v>
      </c>
      <c r="AT23" s="74">
        <f t="shared" si="12"/>
        <v>3.6299999999999995E-5</v>
      </c>
      <c r="AU23" s="73">
        <f t="shared" si="26"/>
        <v>8.0484912062158998</v>
      </c>
      <c r="AV23" s="71">
        <f t="shared" si="27"/>
        <v>34.24</v>
      </c>
      <c r="AW23" s="74">
        <f t="shared" si="28"/>
        <v>80.967655793231827</v>
      </c>
    </row>
    <row r="24" spans="17:49" x14ac:dyDescent="0.25">
      <c r="Q24">
        <v>17</v>
      </c>
      <c r="R24" s="73">
        <f t="shared" si="0"/>
        <v>53.5</v>
      </c>
      <c r="S24" s="71">
        <f t="shared" si="1"/>
        <v>0.68</v>
      </c>
      <c r="T24" s="71">
        <f t="shared" si="2"/>
        <v>11</v>
      </c>
      <c r="U24" s="74">
        <f t="shared" si="3"/>
        <v>3.3072727272727276</v>
      </c>
      <c r="V24" s="73">
        <f>IF(Variable_Management!$B$20=3,2,IF((S24*R24/T24)&lt;((T24*(1-(T24/R24)))/(2*Lm*Fsw)),1,2))</f>
        <v>2</v>
      </c>
      <c r="W24" s="71">
        <f t="shared" si="13"/>
        <v>0.79439252336448596</v>
      </c>
      <c r="X24" s="74">
        <f t="shared" si="4"/>
        <v>0.20560747663551404</v>
      </c>
      <c r="Y24" s="73">
        <f t="shared" si="5"/>
        <v>5.3282425347617979</v>
      </c>
      <c r="Z24" s="71">
        <f t="shared" si="30"/>
        <v>5.9713939946536261</v>
      </c>
      <c r="AA24" s="71">
        <f t="shared" si="31"/>
        <v>3.6474512016382601</v>
      </c>
      <c r="AB24" s="71">
        <v>0</v>
      </c>
      <c r="AC24" s="71">
        <f t="shared" si="6"/>
        <v>3.0598970617164493E-2</v>
      </c>
      <c r="AD24" s="74">
        <f t="shared" si="16"/>
        <v>3.0598970617164493E-2</v>
      </c>
      <c r="AE24" s="73">
        <f t="shared" si="29"/>
        <v>2.6272727272727274</v>
      </c>
      <c r="AF24" s="71">
        <f t="shared" si="17"/>
        <v>3.2509258534685199</v>
      </c>
      <c r="AG24" s="71">
        <f t="shared" si="7"/>
        <v>3.3819260495200079E-2</v>
      </c>
      <c r="AH24" s="71">
        <f t="shared" si="18"/>
        <v>3.0231641202256458</v>
      </c>
      <c r="AI24" s="74">
        <f t="shared" si="19"/>
        <v>3.0569833807208457</v>
      </c>
      <c r="AJ24" s="73">
        <f t="shared" si="20"/>
        <v>0.68000000000000016</v>
      </c>
      <c r="AK24" s="71">
        <f t="shared" si="21"/>
        <v>1.6538988371670014</v>
      </c>
      <c r="AL24" s="71">
        <f t="shared" si="8"/>
        <v>8.75322036346355E-3</v>
      </c>
      <c r="AM24" s="71">
        <f t="shared" si="22"/>
        <v>0</v>
      </c>
      <c r="AN24" s="188">
        <f t="shared" si="23"/>
        <v>0.11942787989307252</v>
      </c>
      <c r="AO24" s="74">
        <f t="shared" si="24"/>
        <v>0.12818110025653606</v>
      </c>
      <c r="AP24" s="73">
        <f t="shared" si="25"/>
        <v>1.5964680321998864E-2</v>
      </c>
      <c r="AQ24" s="206">
        <f t="shared" si="9"/>
        <v>3.0598970617164493E-2</v>
      </c>
      <c r="AR24" s="206">
        <f t="shared" si="10"/>
        <v>4.7390927326794205</v>
      </c>
      <c r="AS24" s="71">
        <f t="shared" si="11"/>
        <v>0.24000000000000002</v>
      </c>
      <c r="AT24" s="74">
        <f t="shared" si="12"/>
        <v>3.6299999999999995E-5</v>
      </c>
      <c r="AU24" s="73">
        <f t="shared" si="26"/>
        <v>8.2414561352131308</v>
      </c>
      <c r="AV24" s="71">
        <f t="shared" si="27"/>
        <v>36.380000000000003</v>
      </c>
      <c r="AW24" s="74">
        <f t="shared" si="28"/>
        <v>81.530284197271257</v>
      </c>
    </row>
    <row r="25" spans="17:49" x14ac:dyDescent="0.25">
      <c r="Q25">
        <v>18</v>
      </c>
      <c r="R25" s="73">
        <f t="shared" si="0"/>
        <v>53.5</v>
      </c>
      <c r="S25" s="71">
        <f t="shared" si="1"/>
        <v>0.72</v>
      </c>
      <c r="T25" s="71">
        <f t="shared" si="2"/>
        <v>11</v>
      </c>
      <c r="U25" s="74">
        <f t="shared" si="3"/>
        <v>3.5018181818181815</v>
      </c>
      <c r="V25" s="73">
        <f>IF(Variable_Management!$B$20=3,2,IF((S25*R25/T25)&lt;((T25*(1-(T25/R25)))/(2*Lm*Fsw)),1,2))</f>
        <v>2</v>
      </c>
      <c r="W25" s="71">
        <f t="shared" si="13"/>
        <v>0.79439252336448596</v>
      </c>
      <c r="X25" s="74">
        <f t="shared" si="4"/>
        <v>0.20560747663551404</v>
      </c>
      <c r="Y25" s="73">
        <f t="shared" si="5"/>
        <v>5.3282425347617979</v>
      </c>
      <c r="Z25" s="71">
        <f t="shared" si="30"/>
        <v>6.1659394491990804</v>
      </c>
      <c r="AA25" s="71">
        <f t="shared" si="31"/>
        <v>3.8247324029640031</v>
      </c>
      <c r="AB25" s="71">
        <v>0</v>
      </c>
      <c r="AC25" s="71">
        <f t="shared" si="6"/>
        <v>3.3645729294850435E-2</v>
      </c>
      <c r="AD25" s="74">
        <f t="shared" si="16"/>
        <v>3.3645729294850435E-2</v>
      </c>
      <c r="AE25" s="73">
        <f t="shared" si="29"/>
        <v>2.7818181818181813</v>
      </c>
      <c r="AF25" s="71">
        <f t="shared" si="17"/>
        <v>3.4089342842502557</v>
      </c>
      <c r="AG25" s="71">
        <f t="shared" si="7"/>
        <v>3.7186665453877769E-2</v>
      </c>
      <c r="AH25" s="71">
        <f t="shared" si="18"/>
        <v>3.2009973037683301</v>
      </c>
      <c r="AI25" s="74">
        <f t="shared" si="19"/>
        <v>3.2381839692222081</v>
      </c>
      <c r="AJ25" s="73">
        <f t="shared" si="20"/>
        <v>0.72</v>
      </c>
      <c r="AK25" s="71">
        <f t="shared" si="21"/>
        <v>1.7342851553150065</v>
      </c>
      <c r="AL25" s="71">
        <f t="shared" si="8"/>
        <v>9.6247839998271877E-3</v>
      </c>
      <c r="AM25" s="71">
        <f t="shared" si="22"/>
        <v>0</v>
      </c>
      <c r="AN25" s="188">
        <f t="shared" si="23"/>
        <v>0.12331878898398162</v>
      </c>
      <c r="AO25" s="74">
        <f t="shared" si="24"/>
        <v>0.13294357298380879</v>
      </c>
      <c r="AP25" s="73">
        <f t="shared" si="25"/>
        <v>1.7554293545139356E-2</v>
      </c>
      <c r="AQ25" s="206">
        <f t="shared" si="9"/>
        <v>3.3645729294850435E-2</v>
      </c>
      <c r="AR25" s="206">
        <f t="shared" si="10"/>
        <v>4.7390927326794205</v>
      </c>
      <c r="AS25" s="71">
        <f t="shared" si="11"/>
        <v>0.24000000000000002</v>
      </c>
      <c r="AT25" s="74">
        <f t="shared" si="12"/>
        <v>3.6299999999999995E-5</v>
      </c>
      <c r="AU25" s="73">
        <f t="shared" si="26"/>
        <v>8.4351023270202781</v>
      </c>
      <c r="AV25" s="71">
        <f t="shared" si="27"/>
        <v>38.519999999999996</v>
      </c>
      <c r="AW25" s="74">
        <f t="shared" si="28"/>
        <v>82.03581313001142</v>
      </c>
    </row>
    <row r="26" spans="17:49" x14ac:dyDescent="0.25">
      <c r="Q26">
        <v>19</v>
      </c>
      <c r="R26" s="73">
        <f t="shared" si="0"/>
        <v>53.5</v>
      </c>
      <c r="S26" s="71">
        <f t="shared" si="1"/>
        <v>0.76</v>
      </c>
      <c r="T26" s="71">
        <f t="shared" si="2"/>
        <v>11</v>
      </c>
      <c r="U26" s="74">
        <f t="shared" si="3"/>
        <v>3.6963636363636367</v>
      </c>
      <c r="V26" s="73">
        <f>IF(Variable_Management!$B$20=3,2,IF((S26*R26/T26)&lt;((T26*(1-(T26/R26)))/(2*Lm*Fsw)),1,2))</f>
        <v>2</v>
      </c>
      <c r="W26" s="71">
        <f t="shared" si="13"/>
        <v>0.79439252336448596</v>
      </c>
      <c r="X26" s="74">
        <f t="shared" si="4"/>
        <v>0.20560747663551404</v>
      </c>
      <c r="Y26" s="73">
        <f t="shared" si="5"/>
        <v>5.3282425347617979</v>
      </c>
      <c r="Z26" s="71">
        <f t="shared" si="30"/>
        <v>6.3604849037445357</v>
      </c>
      <c r="AA26" s="71">
        <f t="shared" si="31"/>
        <v>4.0036173028902011</v>
      </c>
      <c r="AB26" s="71">
        <v>0</v>
      </c>
      <c r="AC26" s="71">
        <f t="shared" si="6"/>
        <v>3.6866588468404154E-2</v>
      </c>
      <c r="AD26" s="74">
        <f t="shared" si="16"/>
        <v>3.6866588468404154E-2</v>
      </c>
      <c r="AE26" s="73">
        <f t="shared" si="29"/>
        <v>2.9363636363636365</v>
      </c>
      <c r="AF26" s="71">
        <f t="shared" si="17"/>
        <v>3.5683720707527882</v>
      </c>
      <c r="AG26" s="71">
        <f t="shared" si="7"/>
        <v>4.0746493553051336E-2</v>
      </c>
      <c r="AH26" s="71">
        <f t="shared" si="18"/>
        <v>3.3788304873110158</v>
      </c>
      <c r="AI26" s="74">
        <f t="shared" si="19"/>
        <v>3.419576980864067</v>
      </c>
      <c r="AJ26" s="73">
        <f t="shared" si="20"/>
        <v>0.76000000000000012</v>
      </c>
      <c r="AK26" s="71">
        <f t="shared" si="21"/>
        <v>1.8153986539251565</v>
      </c>
      <c r="AL26" s="71">
        <f t="shared" si="8"/>
        <v>1.0546151272554465E-2</v>
      </c>
      <c r="AM26" s="71">
        <f t="shared" si="22"/>
        <v>0</v>
      </c>
      <c r="AN26" s="188">
        <f t="shared" si="23"/>
        <v>0.12720969807489071</v>
      </c>
      <c r="AO26" s="74">
        <f t="shared" si="24"/>
        <v>0.13775584934744517</v>
      </c>
      <c r="AP26" s="73">
        <f t="shared" si="25"/>
        <v>1.9234741809602166E-2</v>
      </c>
      <c r="AQ26" s="206">
        <f t="shared" si="9"/>
        <v>3.6866588468404154E-2</v>
      </c>
      <c r="AR26" s="206">
        <f t="shared" si="10"/>
        <v>4.7390927326794205</v>
      </c>
      <c r="AS26" s="71">
        <f t="shared" si="11"/>
        <v>0.24000000000000002</v>
      </c>
      <c r="AT26" s="74">
        <f t="shared" si="12"/>
        <v>3.6299999999999995E-5</v>
      </c>
      <c r="AU26" s="73">
        <f t="shared" si="26"/>
        <v>8.6294297816373433</v>
      </c>
      <c r="AV26" s="71">
        <f t="shared" si="27"/>
        <v>40.660000000000004</v>
      </c>
      <c r="AW26" s="74">
        <f t="shared" si="28"/>
        <v>82.492331885624253</v>
      </c>
    </row>
    <row r="27" spans="17:49" x14ac:dyDescent="0.25">
      <c r="Q27">
        <v>20</v>
      </c>
      <c r="R27" s="73">
        <f t="shared" si="0"/>
        <v>53.5</v>
      </c>
      <c r="S27" s="71">
        <f t="shared" si="1"/>
        <v>0.8</v>
      </c>
      <c r="T27" s="71">
        <f t="shared" si="2"/>
        <v>11</v>
      </c>
      <c r="U27" s="74">
        <f t="shared" si="3"/>
        <v>3.8909090909090911</v>
      </c>
      <c r="V27" s="73">
        <f>IF(Variable_Management!$B$20=3,2,IF((S27*R27/T27)&lt;((T27*(1-(T27/R27)))/(2*Lm*Fsw)),1,2))</f>
        <v>2</v>
      </c>
      <c r="W27" s="71">
        <f t="shared" si="13"/>
        <v>0.79439252336448596</v>
      </c>
      <c r="X27" s="74">
        <f t="shared" si="4"/>
        <v>0.20560747663551404</v>
      </c>
      <c r="Y27" s="73">
        <f t="shared" si="5"/>
        <v>5.3282425347617979</v>
      </c>
      <c r="Z27" s="71">
        <f t="shared" si="30"/>
        <v>6.55503035828999</v>
      </c>
      <c r="AA27" s="71">
        <f t="shared" si="31"/>
        <v>4.1839002054888228</v>
      </c>
      <c r="AB27" s="71">
        <v>0</v>
      </c>
      <c r="AC27" s="71">
        <f t="shared" si="6"/>
        <v>4.0261548137825655E-2</v>
      </c>
      <c r="AD27" s="74">
        <f t="shared" si="16"/>
        <v>4.0261548137825655E-2</v>
      </c>
      <c r="AE27" s="73">
        <f t="shared" si="29"/>
        <v>3.0909090909090908</v>
      </c>
      <c r="AF27" s="71">
        <f t="shared" si="17"/>
        <v>3.729055878868702</v>
      </c>
      <c r="AG27" s="71">
        <f t="shared" si="7"/>
        <v>4.4498744792720736E-2</v>
      </c>
      <c r="AH27" s="71">
        <f t="shared" si="18"/>
        <v>3.5566636708537005</v>
      </c>
      <c r="AI27" s="74">
        <f t="shared" si="19"/>
        <v>3.6011624156464213</v>
      </c>
      <c r="AJ27" s="73">
        <f t="shared" si="20"/>
        <v>0.80000000000000016</v>
      </c>
      <c r="AK27" s="71">
        <f t="shared" si="21"/>
        <v>1.8971460623168099</v>
      </c>
      <c r="AL27" s="71">
        <f t="shared" si="8"/>
        <v>1.1517322181645369E-2</v>
      </c>
      <c r="AM27" s="71">
        <f t="shared" si="22"/>
        <v>0</v>
      </c>
      <c r="AN27" s="188">
        <f t="shared" si="23"/>
        <v>0.1311006071657998</v>
      </c>
      <c r="AO27" s="74">
        <f t="shared" si="24"/>
        <v>0.14261792934744516</v>
      </c>
      <c r="AP27" s="73">
        <f t="shared" si="25"/>
        <v>2.1006025115387298E-2</v>
      </c>
      <c r="AQ27" s="206">
        <f t="shared" si="9"/>
        <v>4.0261548137825655E-2</v>
      </c>
      <c r="AR27" s="206">
        <f t="shared" si="10"/>
        <v>4.7390927326794205</v>
      </c>
      <c r="AS27" s="71">
        <f t="shared" si="11"/>
        <v>0.24000000000000002</v>
      </c>
      <c r="AT27" s="74">
        <f t="shared" si="12"/>
        <v>3.6299999999999995E-5</v>
      </c>
      <c r="AU27" s="73">
        <f t="shared" si="26"/>
        <v>8.8244384990643248</v>
      </c>
      <c r="AV27" s="71">
        <f t="shared" si="27"/>
        <v>42.800000000000004</v>
      </c>
      <c r="AW27" s="74">
        <f t="shared" si="28"/>
        <v>82.906470742099671</v>
      </c>
    </row>
    <row r="28" spans="17:49" x14ac:dyDescent="0.25">
      <c r="Q28">
        <v>21</v>
      </c>
      <c r="R28" s="73">
        <f t="shared" si="0"/>
        <v>53.5</v>
      </c>
      <c r="S28" s="71">
        <f t="shared" si="1"/>
        <v>0.84</v>
      </c>
      <c r="T28" s="71">
        <f t="shared" si="2"/>
        <v>11</v>
      </c>
      <c r="U28" s="74">
        <f t="shared" si="3"/>
        <v>4.085454545454545</v>
      </c>
      <c r="V28" s="73">
        <f>IF(Variable_Management!$B$20=3,2,IF((S28*R28/T28)&lt;((T28*(1-(T28/R28)))/(2*Lm*Fsw)),1,2))</f>
        <v>2</v>
      </c>
      <c r="W28" s="71">
        <f t="shared" si="13"/>
        <v>0.79439252336448596</v>
      </c>
      <c r="X28" s="74">
        <f t="shared" si="4"/>
        <v>0.20560747663551404</v>
      </c>
      <c r="Y28" s="73">
        <f t="shared" si="5"/>
        <v>5.3282425347617979</v>
      </c>
      <c r="Z28" s="71">
        <f t="shared" si="30"/>
        <v>6.7495758128354435</v>
      </c>
      <c r="AA28" s="71">
        <f t="shared" si="31"/>
        <v>4.3654079097772307</v>
      </c>
      <c r="AB28" s="71">
        <v>0</v>
      </c>
      <c r="AC28" s="71">
        <f t="shared" si="6"/>
        <v>4.3830608303114901E-2</v>
      </c>
      <c r="AD28" s="74">
        <f t="shared" si="16"/>
        <v>4.3830608303114901E-2</v>
      </c>
      <c r="AE28" s="73">
        <f t="shared" si="29"/>
        <v>3.2454545454545451</v>
      </c>
      <c r="AF28" s="71">
        <f t="shared" si="17"/>
        <v>3.8908313368131076</v>
      </c>
      <c r="AG28" s="71">
        <f t="shared" si="7"/>
        <v>4.8443419172885999E-2</v>
      </c>
      <c r="AH28" s="71">
        <f t="shared" si="18"/>
        <v>3.7344968543963848</v>
      </c>
      <c r="AI28" s="74">
        <f t="shared" si="19"/>
        <v>3.7829402735692708</v>
      </c>
      <c r="AJ28" s="73">
        <f t="shared" si="20"/>
        <v>0.84</v>
      </c>
      <c r="AK28" s="71">
        <f t="shared" si="21"/>
        <v>1.9794488443045757</v>
      </c>
      <c r="AL28" s="71">
        <f t="shared" si="8"/>
        <v>1.2538296727099905E-2</v>
      </c>
      <c r="AM28" s="71">
        <f t="shared" si="22"/>
        <v>0</v>
      </c>
      <c r="AN28" s="188">
        <f t="shared" si="23"/>
        <v>0.13499151625670888</v>
      </c>
      <c r="AO28" s="74">
        <f t="shared" si="24"/>
        <v>0.14752981298380879</v>
      </c>
      <c r="AP28" s="73">
        <f t="shared" si="25"/>
        <v>2.2868143462494731E-2</v>
      </c>
      <c r="AQ28" s="206">
        <f t="shared" si="9"/>
        <v>4.3830608303114901E-2</v>
      </c>
      <c r="AR28" s="206">
        <f t="shared" si="10"/>
        <v>4.7390927326794205</v>
      </c>
      <c r="AS28" s="71">
        <f t="shared" si="11"/>
        <v>0.24000000000000002</v>
      </c>
      <c r="AT28" s="74">
        <f t="shared" si="12"/>
        <v>3.6299999999999995E-5</v>
      </c>
      <c r="AU28" s="73">
        <f t="shared" si="26"/>
        <v>9.0201284793012242</v>
      </c>
      <c r="AV28" s="71">
        <f t="shared" si="27"/>
        <v>44.94</v>
      </c>
      <c r="AW28" s="74">
        <f t="shared" si="28"/>
        <v>83.283715711015617</v>
      </c>
    </row>
    <row r="29" spans="17:49" x14ac:dyDescent="0.25">
      <c r="Q29">
        <v>22</v>
      </c>
      <c r="R29" s="73">
        <f t="shared" si="0"/>
        <v>53.5</v>
      </c>
      <c r="S29" s="71">
        <f t="shared" si="1"/>
        <v>0.88</v>
      </c>
      <c r="T29" s="71">
        <f t="shared" si="2"/>
        <v>11</v>
      </c>
      <c r="U29" s="74">
        <f t="shared" si="3"/>
        <v>4.28</v>
      </c>
      <c r="V29" s="73">
        <f>IF(Variable_Management!$B$20=3,2,IF((S29*R29/T29)&lt;((T29*(1-(T29/R29)))/(2*Lm*Fsw)),1,2))</f>
        <v>2</v>
      </c>
      <c r="W29" s="71">
        <f t="shared" si="13"/>
        <v>0.79439252336448596</v>
      </c>
      <c r="X29" s="74">
        <f t="shared" si="4"/>
        <v>0.20560747663551404</v>
      </c>
      <c r="Y29" s="73">
        <f t="shared" si="5"/>
        <v>5.3282425347617979</v>
      </c>
      <c r="Z29" s="71">
        <f t="shared" si="30"/>
        <v>6.9441212673808987</v>
      </c>
      <c r="AA29" s="71">
        <f t="shared" si="31"/>
        <v>4.5479937748165842</v>
      </c>
      <c r="AB29" s="71">
        <v>0</v>
      </c>
      <c r="AC29" s="71">
        <f t="shared" si="6"/>
        <v>4.7573768964271929E-2</v>
      </c>
      <c r="AD29" s="74">
        <f t="shared" si="16"/>
        <v>4.7573768964271929E-2</v>
      </c>
      <c r="AE29" s="73">
        <f t="shared" si="29"/>
        <v>3.4</v>
      </c>
      <c r="AF29" s="71">
        <f t="shared" si="17"/>
        <v>4.0535677454229742</v>
      </c>
      <c r="AG29" s="71">
        <f t="shared" si="7"/>
        <v>5.2580516693547179E-2</v>
      </c>
      <c r="AH29" s="71">
        <f t="shared" si="18"/>
        <v>3.9123300379390709</v>
      </c>
      <c r="AI29" s="74">
        <f t="shared" si="19"/>
        <v>3.9649105546326182</v>
      </c>
      <c r="AJ29" s="73">
        <f t="shared" si="20"/>
        <v>0.88000000000000012</v>
      </c>
      <c r="AK29" s="71">
        <f t="shared" si="21"/>
        <v>2.0622405070788674</v>
      </c>
      <c r="AL29" s="71">
        <f t="shared" si="8"/>
        <v>1.3609074908918096E-2</v>
      </c>
      <c r="AM29" s="71">
        <f t="shared" si="22"/>
        <v>0</v>
      </c>
      <c r="AN29" s="188">
        <f t="shared" si="23"/>
        <v>0.13888242534761797</v>
      </c>
      <c r="AO29" s="74">
        <f t="shared" si="24"/>
        <v>0.15249150025653607</v>
      </c>
      <c r="AP29" s="73">
        <f t="shared" si="25"/>
        <v>2.4821096850924484E-2</v>
      </c>
      <c r="AQ29" s="206">
        <f t="shared" si="9"/>
        <v>4.7573768964271929E-2</v>
      </c>
      <c r="AR29" s="206">
        <f t="shared" si="10"/>
        <v>4.7390927326794205</v>
      </c>
      <c r="AS29" s="71">
        <f t="shared" si="11"/>
        <v>0.24000000000000002</v>
      </c>
      <c r="AT29" s="74">
        <f t="shared" si="12"/>
        <v>3.6299999999999995E-5</v>
      </c>
      <c r="AU29" s="73">
        <f t="shared" si="26"/>
        <v>9.2164997223480434</v>
      </c>
      <c r="AV29" s="71">
        <f t="shared" si="27"/>
        <v>47.08</v>
      </c>
      <c r="AW29" s="74">
        <f t="shared" si="28"/>
        <v>83.628645177225167</v>
      </c>
    </row>
    <row r="30" spans="17:49" x14ac:dyDescent="0.25">
      <c r="Q30">
        <v>23</v>
      </c>
      <c r="R30" s="73">
        <f t="shared" si="0"/>
        <v>53.5</v>
      </c>
      <c r="S30" s="71">
        <f t="shared" si="1"/>
        <v>0.92</v>
      </c>
      <c r="T30" s="71">
        <f t="shared" si="2"/>
        <v>11</v>
      </c>
      <c r="U30" s="74">
        <f t="shared" si="3"/>
        <v>4.4745454545454546</v>
      </c>
      <c r="V30" s="73">
        <f>IF(Variable_Management!$B$20=3,2,IF((S30*R30/T30)&lt;((T30*(1-(T30/R30)))/(2*Lm*Fsw)),1,2))</f>
        <v>2</v>
      </c>
      <c r="W30" s="71">
        <f t="shared" si="13"/>
        <v>0.79439252336448596</v>
      </c>
      <c r="X30" s="74">
        <f t="shared" si="4"/>
        <v>0.20560747663551404</v>
      </c>
      <c r="Y30" s="73">
        <f t="shared" si="5"/>
        <v>5.3282425347617979</v>
      </c>
      <c r="Z30" s="71">
        <f t="shared" si="30"/>
        <v>7.138666721926354</v>
      </c>
      <c r="AA30" s="71">
        <f t="shared" si="31"/>
        <v>4.7315329863125539</v>
      </c>
      <c r="AB30" s="71">
        <v>0</v>
      </c>
      <c r="AC30" s="71">
        <f t="shared" si="6"/>
        <v>5.149103012129673E-2</v>
      </c>
      <c r="AD30" s="74">
        <f t="shared" si="16"/>
        <v>5.149103012129673E-2</v>
      </c>
      <c r="AE30" s="73">
        <f t="shared" si="29"/>
        <v>3.5545454545454547</v>
      </c>
      <c r="AF30" s="71">
        <f t="shared" si="17"/>
        <v>4.2171538593398594</v>
      </c>
      <c r="AG30" s="71">
        <f t="shared" si="7"/>
        <v>5.6910037354704235E-2</v>
      </c>
      <c r="AH30" s="71">
        <f t="shared" si="18"/>
        <v>4.090163221481756</v>
      </c>
      <c r="AI30" s="74">
        <f t="shared" si="19"/>
        <v>4.1470732588364605</v>
      </c>
      <c r="AJ30" s="73">
        <f t="shared" si="20"/>
        <v>0.92000000000000015</v>
      </c>
      <c r="AK30" s="71">
        <f t="shared" si="21"/>
        <v>2.1454644548951922</v>
      </c>
      <c r="AL30" s="71">
        <f t="shared" si="8"/>
        <v>1.4729656727099919E-2</v>
      </c>
      <c r="AM30" s="71">
        <f t="shared" si="22"/>
        <v>0</v>
      </c>
      <c r="AN30" s="188">
        <f t="shared" si="23"/>
        <v>0.14277333443852708</v>
      </c>
      <c r="AO30" s="74">
        <f t="shared" si="24"/>
        <v>0.15750299116562699</v>
      </c>
      <c r="AP30" s="73">
        <f t="shared" si="25"/>
        <v>2.6864885280676553E-2</v>
      </c>
      <c r="AQ30" s="206">
        <f t="shared" si="9"/>
        <v>5.149103012129673E-2</v>
      </c>
      <c r="AR30" s="206">
        <f t="shared" si="10"/>
        <v>4.7390927326794205</v>
      </c>
      <c r="AS30" s="71">
        <f t="shared" si="11"/>
        <v>0.24000000000000002</v>
      </c>
      <c r="AT30" s="74">
        <f t="shared" si="12"/>
        <v>3.6299999999999995E-5</v>
      </c>
      <c r="AU30" s="73">
        <f t="shared" si="26"/>
        <v>9.4135522282047788</v>
      </c>
      <c r="AV30" s="71">
        <f t="shared" si="27"/>
        <v>49.22</v>
      </c>
      <c r="AW30" s="74">
        <f t="shared" si="28"/>
        <v>83.945110145183165</v>
      </c>
    </row>
    <row r="31" spans="17:49" x14ac:dyDescent="0.25">
      <c r="Q31">
        <v>24</v>
      </c>
      <c r="R31" s="73">
        <f t="shared" si="0"/>
        <v>53.5</v>
      </c>
      <c r="S31" s="71">
        <f t="shared" si="1"/>
        <v>0.96</v>
      </c>
      <c r="T31" s="71">
        <f t="shared" si="2"/>
        <v>11</v>
      </c>
      <c r="U31" s="74">
        <f t="shared" si="3"/>
        <v>4.669090909090909</v>
      </c>
      <c r="V31" s="73">
        <f>IF(Variable_Management!$B$20=3,2,IF((S31*R31/T31)&lt;((T31*(1-(T31/R31)))/(2*Lm*Fsw)),1,2))</f>
        <v>2</v>
      </c>
      <c r="W31" s="71">
        <f t="shared" si="13"/>
        <v>0.79439252336448596</v>
      </c>
      <c r="X31" s="74">
        <f t="shared" si="4"/>
        <v>0.20560747663551404</v>
      </c>
      <c r="Y31" s="73">
        <f t="shared" si="5"/>
        <v>5.3282425347617979</v>
      </c>
      <c r="Z31" s="71">
        <f t="shared" si="30"/>
        <v>7.3332121764718075</v>
      </c>
      <c r="AA31" s="71">
        <f t="shared" si="31"/>
        <v>4.9159187638859301</v>
      </c>
      <c r="AB31" s="71">
        <v>0</v>
      </c>
      <c r="AC31" s="71">
        <f t="shared" si="6"/>
        <v>5.558239177418927E-2</v>
      </c>
      <c r="AD31" s="74">
        <f t="shared" si="16"/>
        <v>5.558239177418927E-2</v>
      </c>
      <c r="AE31" s="73">
        <f t="shared" si="29"/>
        <v>3.709090909090909</v>
      </c>
      <c r="AF31" s="71">
        <f t="shared" si="17"/>
        <v>4.3814945065994992</v>
      </c>
      <c r="AG31" s="71">
        <f t="shared" si="7"/>
        <v>6.1431981156357091E-2</v>
      </c>
      <c r="AH31" s="71">
        <f t="shared" si="18"/>
        <v>4.2679964050244399</v>
      </c>
      <c r="AI31" s="74">
        <f t="shared" si="19"/>
        <v>4.3294283861807967</v>
      </c>
      <c r="AJ31" s="73">
        <f t="shared" si="20"/>
        <v>0.96000000000000008</v>
      </c>
      <c r="AK31" s="71">
        <f t="shared" si="21"/>
        <v>2.2290722693004317</v>
      </c>
      <c r="AL31" s="71">
        <f t="shared" si="8"/>
        <v>1.5900042181645365E-2</v>
      </c>
      <c r="AM31" s="71">
        <f t="shared" si="22"/>
        <v>0</v>
      </c>
      <c r="AN31" s="188">
        <f t="shared" si="23"/>
        <v>0.14666424352943616</v>
      </c>
      <c r="AO31" s="74">
        <f t="shared" si="24"/>
        <v>0.16256428571108153</v>
      </c>
      <c r="AP31" s="73">
        <f t="shared" si="25"/>
        <v>2.8999508751750922E-2</v>
      </c>
      <c r="AQ31" s="206">
        <f t="shared" si="9"/>
        <v>5.558239177418927E-2</v>
      </c>
      <c r="AR31" s="206">
        <f t="shared" si="10"/>
        <v>4.7390927326794205</v>
      </c>
      <c r="AS31" s="71">
        <f t="shared" si="11"/>
        <v>0.24000000000000002</v>
      </c>
      <c r="AT31" s="74">
        <f t="shared" si="12"/>
        <v>3.6299999999999995E-5</v>
      </c>
      <c r="AU31" s="73">
        <f t="shared" si="26"/>
        <v>9.6112859968714286</v>
      </c>
      <c r="AV31" s="71">
        <f t="shared" si="27"/>
        <v>51.36</v>
      </c>
      <c r="AW31" s="74">
        <f t="shared" si="28"/>
        <v>84.23637317184911</v>
      </c>
    </row>
    <row r="32" spans="17:49" x14ac:dyDescent="0.25">
      <c r="Q32">
        <v>25</v>
      </c>
      <c r="R32" s="73">
        <f t="shared" si="0"/>
        <v>53.5</v>
      </c>
      <c r="S32" s="71">
        <f t="shared" si="1"/>
        <v>1</v>
      </c>
      <c r="T32" s="71">
        <f t="shared" si="2"/>
        <v>11</v>
      </c>
      <c r="U32" s="74">
        <f t="shared" si="3"/>
        <v>4.8636363636363633</v>
      </c>
      <c r="V32" s="73">
        <f>IF(Variable_Management!$B$20=3,2,IF((S32*R32/T32)&lt;((T32*(1-(T32/R32)))/(2*Lm*Fsw)),1,2))</f>
        <v>2</v>
      </c>
      <c r="W32" s="71">
        <f t="shared" si="13"/>
        <v>0.79439252336448596</v>
      </c>
      <c r="X32" s="74">
        <f t="shared" si="4"/>
        <v>0.20560747663551404</v>
      </c>
      <c r="Y32" s="73">
        <f t="shared" si="5"/>
        <v>5.3282425347617979</v>
      </c>
      <c r="Z32" s="71">
        <f t="shared" si="30"/>
        <v>7.5277576310172627</v>
      </c>
      <c r="AA32" s="71">
        <f t="shared" si="31"/>
        <v>5.101059306992652</v>
      </c>
      <c r="AB32" s="71">
        <v>0</v>
      </c>
      <c r="AC32" s="71">
        <f t="shared" si="6"/>
        <v>5.9847853922949612E-2</v>
      </c>
      <c r="AD32" s="74">
        <f t="shared" si="16"/>
        <v>5.9847853922949612E-2</v>
      </c>
      <c r="AE32" s="73">
        <f t="shared" si="29"/>
        <v>3.8636363636363633</v>
      </c>
      <c r="AF32" s="71">
        <f t="shared" si="17"/>
        <v>4.5465078665700212</v>
      </c>
      <c r="AG32" s="71">
        <f t="shared" si="7"/>
        <v>6.6146348098505878E-2</v>
      </c>
      <c r="AH32" s="71">
        <f t="shared" si="18"/>
        <v>4.4458295885671255</v>
      </c>
      <c r="AI32" s="74">
        <f t="shared" si="19"/>
        <v>4.5119759366656318</v>
      </c>
      <c r="AJ32" s="73">
        <f t="shared" si="20"/>
        <v>1</v>
      </c>
      <c r="AK32" s="71">
        <f t="shared" si="21"/>
        <v>2.3130223242920223</v>
      </c>
      <c r="AL32" s="71">
        <f t="shared" si="8"/>
        <v>1.7120231272554461E-2</v>
      </c>
      <c r="AM32" s="71">
        <f t="shared" si="22"/>
        <v>0</v>
      </c>
      <c r="AN32" s="188">
        <f t="shared" si="23"/>
        <v>0.15055515262034525</v>
      </c>
      <c r="AO32" s="74">
        <f t="shared" si="24"/>
        <v>0.16767538389289971</v>
      </c>
      <c r="AP32" s="73">
        <f t="shared" si="25"/>
        <v>3.1224967264147623E-2</v>
      </c>
      <c r="AQ32" s="206">
        <f t="shared" si="9"/>
        <v>5.9847853922949612E-2</v>
      </c>
      <c r="AR32" s="206">
        <f t="shared" si="10"/>
        <v>4.7390927326794205</v>
      </c>
      <c r="AS32" s="71">
        <f t="shared" si="11"/>
        <v>0.24000000000000002</v>
      </c>
      <c r="AT32" s="74">
        <f t="shared" si="12"/>
        <v>3.6299999999999995E-5</v>
      </c>
      <c r="AU32" s="73">
        <f t="shared" si="26"/>
        <v>9.8097010283479982</v>
      </c>
      <c r="AV32" s="71">
        <f t="shared" si="27"/>
        <v>53.5</v>
      </c>
      <c r="AW32" s="74">
        <f t="shared" si="28"/>
        <v>84.505216627139745</v>
      </c>
    </row>
    <row r="33" spans="17:49" x14ac:dyDescent="0.25">
      <c r="Q33">
        <v>26</v>
      </c>
      <c r="R33" s="73">
        <f t="shared" si="0"/>
        <v>53.5</v>
      </c>
      <c r="S33" s="71">
        <f t="shared" si="1"/>
        <v>1.04</v>
      </c>
      <c r="T33" s="71">
        <f t="shared" si="2"/>
        <v>11</v>
      </c>
      <c r="U33" s="74">
        <f t="shared" si="3"/>
        <v>5.0581818181818186</v>
      </c>
      <c r="V33" s="73">
        <f>IF(Variable_Management!$B$20=3,2,IF((S33*R33/T33)&lt;((T33*(1-(T33/R33)))/(2*Lm*Fsw)),1,2))</f>
        <v>2</v>
      </c>
      <c r="W33" s="71">
        <f t="shared" si="13"/>
        <v>0.79439252336448596</v>
      </c>
      <c r="X33" s="74">
        <f t="shared" si="4"/>
        <v>0.20560747663551404</v>
      </c>
      <c r="Y33" s="73">
        <f t="shared" si="5"/>
        <v>5.3282425347617979</v>
      </c>
      <c r="Z33" s="71">
        <f t="shared" si="30"/>
        <v>7.7223030855627179</v>
      </c>
      <c r="AA33" s="71">
        <f t="shared" si="31"/>
        <v>5.286875323057612</v>
      </c>
      <c r="AB33" s="71">
        <v>0</v>
      </c>
      <c r="AC33" s="71">
        <f t="shared" si="6"/>
        <v>6.4287416567577721E-2</v>
      </c>
      <c r="AD33" s="74">
        <f t="shared" si="16"/>
        <v>6.4287416567577721E-2</v>
      </c>
      <c r="AE33" s="73">
        <f t="shared" si="29"/>
        <v>4.0181818181818185</v>
      </c>
      <c r="AF33" s="71">
        <f t="shared" si="17"/>
        <v>4.7121232668097228</v>
      </c>
      <c r="AG33" s="71">
        <f t="shared" si="7"/>
        <v>7.1053138181150513E-2</v>
      </c>
      <c r="AH33" s="71">
        <f t="shared" si="18"/>
        <v>4.6236627721098111</v>
      </c>
      <c r="AI33" s="74">
        <f t="shared" si="19"/>
        <v>4.6947159102909612</v>
      </c>
      <c r="AJ33" s="73">
        <f t="shared" si="20"/>
        <v>1.0400000000000003</v>
      </c>
      <c r="AK33" s="71">
        <f t="shared" si="21"/>
        <v>2.3972786654759179</v>
      </c>
      <c r="AL33" s="71">
        <f t="shared" si="8"/>
        <v>1.8390223999827194E-2</v>
      </c>
      <c r="AM33" s="71">
        <f t="shared" si="22"/>
        <v>0</v>
      </c>
      <c r="AN33" s="188">
        <f t="shared" si="23"/>
        <v>0.15444606171125436</v>
      </c>
      <c r="AO33" s="74">
        <f t="shared" si="24"/>
        <v>0.17283628571108156</v>
      </c>
      <c r="AP33" s="73">
        <f t="shared" si="25"/>
        <v>3.3541260817866632E-2</v>
      </c>
      <c r="AQ33" s="206">
        <f t="shared" si="9"/>
        <v>6.4287416567577721E-2</v>
      </c>
      <c r="AR33" s="206">
        <f t="shared" si="10"/>
        <v>4.7390927326794205</v>
      </c>
      <c r="AS33" s="71">
        <f t="shared" si="11"/>
        <v>0.24000000000000002</v>
      </c>
      <c r="AT33" s="74">
        <f t="shared" si="12"/>
        <v>3.6299999999999995E-5</v>
      </c>
      <c r="AU33" s="73">
        <f t="shared" si="26"/>
        <v>10.008797322634486</v>
      </c>
      <c r="AV33" s="71">
        <f t="shared" si="27"/>
        <v>55.64</v>
      </c>
      <c r="AW33" s="74">
        <f t="shared" si="28"/>
        <v>84.754027901766833</v>
      </c>
    </row>
    <row r="34" spans="17:49" x14ac:dyDescent="0.25">
      <c r="Q34">
        <v>27</v>
      </c>
      <c r="R34" s="73">
        <f t="shared" si="0"/>
        <v>53.5</v>
      </c>
      <c r="S34" s="71">
        <f t="shared" si="1"/>
        <v>1.08</v>
      </c>
      <c r="T34" s="71">
        <f t="shared" si="2"/>
        <v>11</v>
      </c>
      <c r="U34" s="74">
        <f t="shared" si="3"/>
        <v>5.2527272727272729</v>
      </c>
      <c r="V34" s="73">
        <f>IF(Variable_Management!$B$20=3,2,IF((S34*R34/T34)&lt;((T34*(1-(T34/R34)))/(2*Lm*Fsw)),1,2))</f>
        <v>2</v>
      </c>
      <c r="W34" s="71">
        <f t="shared" si="13"/>
        <v>0.79439252336448596</v>
      </c>
      <c r="X34" s="74">
        <f t="shared" si="4"/>
        <v>0.20560747663551404</v>
      </c>
      <c r="Y34" s="73">
        <f t="shared" si="5"/>
        <v>5.3282425347617979</v>
      </c>
      <c r="Z34" s="71">
        <f t="shared" si="30"/>
        <v>7.9168485401081714</v>
      </c>
      <c r="AA34" s="71">
        <f t="shared" si="31"/>
        <v>5.473298016500042</v>
      </c>
      <c r="AB34" s="71">
        <v>0</v>
      </c>
      <c r="AC34" s="71">
        <f t="shared" si="6"/>
        <v>6.8901079708073576E-2</v>
      </c>
      <c r="AD34" s="74">
        <f t="shared" si="16"/>
        <v>6.8901079708073576E-2</v>
      </c>
      <c r="AE34" s="73">
        <f t="shared" si="29"/>
        <v>4.1727272727272728</v>
      </c>
      <c r="AF34" s="71">
        <f t="shared" si="17"/>
        <v>4.8782793907115378</v>
      </c>
      <c r="AG34" s="71">
        <f t="shared" si="7"/>
        <v>7.6152351404290983E-2</v>
      </c>
      <c r="AH34" s="71">
        <f t="shared" si="18"/>
        <v>4.8014959556524959</v>
      </c>
      <c r="AI34" s="74">
        <f t="shared" si="19"/>
        <v>4.8776483070567869</v>
      </c>
      <c r="AJ34" s="73">
        <f t="shared" si="20"/>
        <v>1.08</v>
      </c>
      <c r="AK34" s="71">
        <f t="shared" si="21"/>
        <v>2.4818100982110538</v>
      </c>
      <c r="AL34" s="71">
        <f t="shared" si="8"/>
        <v>1.9710020363463553E-2</v>
      </c>
      <c r="AM34" s="71">
        <f t="shared" si="22"/>
        <v>0</v>
      </c>
      <c r="AN34" s="188">
        <f t="shared" si="23"/>
        <v>0.15833697080216344</v>
      </c>
      <c r="AO34" s="74">
        <f t="shared" si="24"/>
        <v>0.178046991165627</v>
      </c>
      <c r="AP34" s="73">
        <f t="shared" si="25"/>
        <v>3.5948389412907948E-2</v>
      </c>
      <c r="AQ34" s="206">
        <f t="shared" si="9"/>
        <v>6.8901079708073576E-2</v>
      </c>
      <c r="AR34" s="206">
        <f t="shared" si="10"/>
        <v>4.7390927326794205</v>
      </c>
      <c r="AS34" s="71">
        <f t="shared" si="11"/>
        <v>0.24000000000000002</v>
      </c>
      <c r="AT34" s="74">
        <f t="shared" si="12"/>
        <v>3.6299999999999995E-5</v>
      </c>
      <c r="AU34" s="73">
        <f t="shared" si="26"/>
        <v>10.20857487973089</v>
      </c>
      <c r="AV34" s="71">
        <f t="shared" si="27"/>
        <v>57.78</v>
      </c>
      <c r="AW34" s="74">
        <f t="shared" si="28"/>
        <v>84.984867093052827</v>
      </c>
    </row>
    <row r="35" spans="17:49" x14ac:dyDescent="0.25">
      <c r="Q35">
        <v>28</v>
      </c>
      <c r="R35" s="73">
        <f t="shared" si="0"/>
        <v>53.5</v>
      </c>
      <c r="S35" s="71">
        <f t="shared" si="1"/>
        <v>1.1200000000000001</v>
      </c>
      <c r="T35" s="71">
        <f t="shared" si="2"/>
        <v>11</v>
      </c>
      <c r="U35" s="74">
        <f t="shared" si="3"/>
        <v>5.4472727272727282</v>
      </c>
      <c r="V35" s="73">
        <f>IF(Variable_Management!$B$20=3,2,IF((S35*R35/T35)&lt;((T35*(1-(T35/R35)))/(2*Lm*Fsw)),1,2))</f>
        <v>2</v>
      </c>
      <c r="W35" s="71">
        <f t="shared" si="13"/>
        <v>0.79439252336448596</v>
      </c>
      <c r="X35" s="74">
        <f t="shared" si="4"/>
        <v>0.20560747663551404</v>
      </c>
      <c r="Y35" s="73">
        <f t="shared" si="5"/>
        <v>5.3282425347617979</v>
      </c>
      <c r="Z35" s="71">
        <f t="shared" si="30"/>
        <v>8.1113939946536266</v>
      </c>
      <c r="AA35" s="71">
        <f t="shared" si="31"/>
        <v>5.6602674443050542</v>
      </c>
      <c r="AB35" s="71">
        <v>0</v>
      </c>
      <c r="AC35" s="71">
        <f t="shared" si="6"/>
        <v>7.3688843344437233E-2</v>
      </c>
      <c r="AD35" s="74">
        <f t="shared" si="16"/>
        <v>7.3688843344437233E-2</v>
      </c>
      <c r="AE35" s="73">
        <f t="shared" si="29"/>
        <v>4.327272727272728</v>
      </c>
      <c r="AF35" s="71">
        <f t="shared" si="17"/>
        <v>5.0449228118453213</v>
      </c>
      <c r="AG35" s="71">
        <f t="shared" si="7"/>
        <v>8.1443987767927384E-2</v>
      </c>
      <c r="AH35" s="71">
        <f t="shared" si="18"/>
        <v>4.9793291391951824</v>
      </c>
      <c r="AI35" s="74">
        <f t="shared" si="19"/>
        <v>5.0607731269631095</v>
      </c>
      <c r="AJ35" s="73">
        <f t="shared" si="20"/>
        <v>1.1200000000000003</v>
      </c>
      <c r="AK35" s="71">
        <f t="shared" si="21"/>
        <v>2.5665894419603541</v>
      </c>
      <c r="AL35" s="71">
        <f t="shared" si="8"/>
        <v>2.1079620363463558E-2</v>
      </c>
      <c r="AM35" s="71">
        <f t="shared" si="22"/>
        <v>0</v>
      </c>
      <c r="AN35" s="188">
        <f t="shared" si="23"/>
        <v>0.16222787989307252</v>
      </c>
      <c r="AO35" s="74">
        <f t="shared" si="24"/>
        <v>0.18330750025653608</v>
      </c>
      <c r="AP35" s="73">
        <f t="shared" si="25"/>
        <v>3.8446353049271596E-2</v>
      </c>
      <c r="AQ35" s="206">
        <f t="shared" si="9"/>
        <v>7.3688843344437233E-2</v>
      </c>
      <c r="AR35" s="206">
        <f t="shared" si="10"/>
        <v>4.7390927326794205</v>
      </c>
      <c r="AS35" s="71">
        <f t="shared" si="11"/>
        <v>0.24000000000000002</v>
      </c>
      <c r="AT35" s="74">
        <f t="shared" si="12"/>
        <v>3.6299999999999995E-5</v>
      </c>
      <c r="AU35" s="73">
        <f t="shared" si="26"/>
        <v>10.409033699637213</v>
      </c>
      <c r="AV35" s="71">
        <f t="shared" si="27"/>
        <v>59.920000000000009</v>
      </c>
      <c r="AW35" s="74">
        <f t="shared" si="28"/>
        <v>85.199521233161917</v>
      </c>
    </row>
    <row r="36" spans="17:49" x14ac:dyDescent="0.25">
      <c r="Q36">
        <v>29</v>
      </c>
      <c r="R36" s="73">
        <f t="shared" si="0"/>
        <v>53.5</v>
      </c>
      <c r="S36" s="71">
        <f t="shared" si="1"/>
        <v>1.1599999999999999</v>
      </c>
      <c r="T36" s="71">
        <f t="shared" si="2"/>
        <v>11</v>
      </c>
      <c r="U36" s="74">
        <f t="shared" si="3"/>
        <v>5.6418181818181816</v>
      </c>
      <c r="V36" s="73">
        <f>IF(Variable_Management!$B$20=3,2,IF((S36*R36/T36)&lt;((T36*(1-(T36/R36)))/(2*Lm*Fsw)),1,2))</f>
        <v>2</v>
      </c>
      <c r="W36" s="71">
        <f t="shared" si="13"/>
        <v>0.79439252336448596</v>
      </c>
      <c r="X36" s="74">
        <f t="shared" si="4"/>
        <v>0.20560747663551404</v>
      </c>
      <c r="Y36" s="73">
        <f t="shared" si="5"/>
        <v>5.3282425347617979</v>
      </c>
      <c r="Z36" s="71">
        <f t="shared" si="30"/>
        <v>8.3059394491990801</v>
      </c>
      <c r="AA36" s="71">
        <f t="shared" si="31"/>
        <v>5.8477311645171079</v>
      </c>
      <c r="AB36" s="71">
        <v>0</v>
      </c>
      <c r="AC36" s="71">
        <f t="shared" si="6"/>
        <v>7.8650707476668608E-2</v>
      </c>
      <c r="AD36" s="74">
        <f t="shared" si="16"/>
        <v>7.8650707476668608E-2</v>
      </c>
      <c r="AE36" s="73">
        <f t="shared" si="29"/>
        <v>4.4818181818181815</v>
      </c>
      <c r="AF36" s="71">
        <f t="shared" si="17"/>
        <v>5.2120067893776403</v>
      </c>
      <c r="AG36" s="71">
        <f t="shared" si="7"/>
        <v>8.6928047272059578E-2</v>
      </c>
      <c r="AH36" s="71">
        <f t="shared" si="18"/>
        <v>5.1571623227378653</v>
      </c>
      <c r="AI36" s="74">
        <f t="shared" si="19"/>
        <v>5.2440903700099248</v>
      </c>
      <c r="AJ36" s="73">
        <f t="shared" si="20"/>
        <v>1.1600000000000001</v>
      </c>
      <c r="AK36" s="71">
        <f t="shared" si="21"/>
        <v>2.6515929174641411</v>
      </c>
      <c r="AL36" s="71">
        <f t="shared" si="8"/>
        <v>2.2499023999827186E-2</v>
      </c>
      <c r="AM36" s="71">
        <f t="shared" si="22"/>
        <v>0</v>
      </c>
      <c r="AN36" s="188">
        <f t="shared" si="23"/>
        <v>0.16611878898398161</v>
      </c>
      <c r="AO36" s="74">
        <f t="shared" si="24"/>
        <v>0.18861781298380881</v>
      </c>
      <c r="AP36" s="73">
        <f t="shared" si="25"/>
        <v>4.1035151726957528E-2</v>
      </c>
      <c r="AQ36" s="206">
        <f t="shared" si="9"/>
        <v>7.8650707476668608E-2</v>
      </c>
      <c r="AR36" s="206">
        <f t="shared" si="10"/>
        <v>4.7390927326794205</v>
      </c>
      <c r="AS36" s="71">
        <f t="shared" si="11"/>
        <v>0.24000000000000002</v>
      </c>
      <c r="AT36" s="74">
        <f t="shared" si="12"/>
        <v>3.6299999999999995E-5</v>
      </c>
      <c r="AU36" s="73">
        <f t="shared" si="26"/>
        <v>10.610173782353449</v>
      </c>
      <c r="AV36" s="71">
        <f t="shared" si="27"/>
        <v>62.059999999999995</v>
      </c>
      <c r="AW36" s="74">
        <f t="shared" si="28"/>
        <v>85.399548081265323</v>
      </c>
    </row>
    <row r="37" spans="17:49" x14ac:dyDescent="0.25">
      <c r="Q37">
        <v>30</v>
      </c>
      <c r="R37" s="73">
        <f t="shared" si="0"/>
        <v>53.5</v>
      </c>
      <c r="S37" s="71">
        <f t="shared" si="1"/>
        <v>1.2</v>
      </c>
      <c r="T37" s="71">
        <f t="shared" si="2"/>
        <v>11</v>
      </c>
      <c r="U37" s="74">
        <f t="shared" si="3"/>
        <v>5.8363636363636369</v>
      </c>
      <c r="V37" s="73">
        <f>IF(Variable_Management!$B$20=3,2,IF((S37*R37/T37)&lt;((T37*(1-(T37/R37)))/(2*Lm*Fsw)),1,2))</f>
        <v>2</v>
      </c>
      <c r="W37" s="71">
        <f t="shared" si="13"/>
        <v>0.79439252336448596</v>
      </c>
      <c r="X37" s="74">
        <f t="shared" si="4"/>
        <v>0.20560747663551404</v>
      </c>
      <c r="Y37" s="73">
        <f t="shared" si="5"/>
        <v>5.3282425347617979</v>
      </c>
      <c r="Z37" s="71">
        <f t="shared" si="30"/>
        <v>8.5004849037445354</v>
      </c>
      <c r="AA37" s="71">
        <f t="shared" si="31"/>
        <v>6.03564311996975</v>
      </c>
      <c r="AB37" s="71">
        <v>0</v>
      </c>
      <c r="AC37" s="71">
        <f t="shared" si="6"/>
        <v>8.3786672104767812E-2</v>
      </c>
      <c r="AD37" s="74">
        <f t="shared" si="16"/>
        <v>8.3786672104767812E-2</v>
      </c>
      <c r="AE37" s="73">
        <f t="shared" si="29"/>
        <v>4.6363636363636367</v>
      </c>
      <c r="AF37" s="71">
        <f t="shared" si="17"/>
        <v>5.3794902731545955</v>
      </c>
      <c r="AG37" s="71">
        <f t="shared" si="7"/>
        <v>9.2604529916687703E-2</v>
      </c>
      <c r="AH37" s="71">
        <f t="shared" si="18"/>
        <v>5.334995506280551</v>
      </c>
      <c r="AI37" s="74">
        <f t="shared" si="19"/>
        <v>5.427600036197239</v>
      </c>
      <c r="AJ37" s="73">
        <f t="shared" si="20"/>
        <v>1.2000000000000002</v>
      </c>
      <c r="AK37" s="71">
        <f t="shared" si="21"/>
        <v>2.7367996405789863</v>
      </c>
      <c r="AL37" s="71">
        <f t="shared" si="8"/>
        <v>2.3968231272554461E-2</v>
      </c>
      <c r="AM37" s="71">
        <f t="shared" si="22"/>
        <v>0</v>
      </c>
      <c r="AN37" s="188">
        <f t="shared" si="23"/>
        <v>0.17000969807489072</v>
      </c>
      <c r="AO37" s="74">
        <f t="shared" si="24"/>
        <v>0.19397792934744518</v>
      </c>
      <c r="AP37" s="73">
        <f t="shared" si="25"/>
        <v>4.3714785445965812E-2</v>
      </c>
      <c r="AQ37" s="206">
        <f t="shared" si="9"/>
        <v>8.3786672104767812E-2</v>
      </c>
      <c r="AR37" s="206">
        <f t="shared" si="10"/>
        <v>4.7390927326794205</v>
      </c>
      <c r="AS37" s="71">
        <f t="shared" si="11"/>
        <v>0.24000000000000002</v>
      </c>
      <c r="AT37" s="74">
        <f t="shared" si="12"/>
        <v>3.6299999999999995E-5</v>
      </c>
      <c r="AU37" s="73">
        <f t="shared" si="26"/>
        <v>10.811995127879607</v>
      </c>
      <c r="AV37" s="71">
        <f t="shared" si="27"/>
        <v>64.2</v>
      </c>
      <c r="AW37" s="74">
        <f t="shared" si="28"/>
        <v>85.586311749944201</v>
      </c>
    </row>
    <row r="38" spans="17:49" x14ac:dyDescent="0.25">
      <c r="Q38">
        <v>31</v>
      </c>
      <c r="R38" s="73">
        <f t="shared" si="0"/>
        <v>53.5</v>
      </c>
      <c r="S38" s="71">
        <f t="shared" si="1"/>
        <v>1.24</v>
      </c>
      <c r="T38" s="71">
        <f t="shared" si="2"/>
        <v>11</v>
      </c>
      <c r="U38" s="74">
        <f t="shared" si="3"/>
        <v>6.0309090909090912</v>
      </c>
      <c r="V38" s="73">
        <f>IF(Variable_Management!$B$20=3,2,IF((S38*R38/T38)&lt;((T38*(1-(T38/R38)))/(2*Lm*Fsw)),1,2))</f>
        <v>2</v>
      </c>
      <c r="W38" s="71">
        <f t="shared" si="13"/>
        <v>0.79439252336448596</v>
      </c>
      <c r="X38" s="74">
        <f t="shared" si="4"/>
        <v>0.20560747663551404</v>
      </c>
      <c r="Y38" s="73">
        <f t="shared" si="5"/>
        <v>5.3282425347617979</v>
      </c>
      <c r="Z38" s="71">
        <f t="shared" si="30"/>
        <v>8.6950303582899906</v>
      </c>
      <c r="AA38" s="71">
        <f t="shared" si="31"/>
        <v>6.2239627118565162</v>
      </c>
      <c r="AB38" s="71">
        <v>0</v>
      </c>
      <c r="AC38" s="71">
        <f t="shared" si="6"/>
        <v>8.9096737228734735E-2</v>
      </c>
      <c r="AD38" s="74">
        <f t="shared" si="16"/>
        <v>8.9096737228734735E-2</v>
      </c>
      <c r="AE38" s="73">
        <f t="shared" si="29"/>
        <v>4.790909090909091</v>
      </c>
      <c r="AF38" s="71">
        <f t="shared" si="17"/>
        <v>5.5473370779876134</v>
      </c>
      <c r="AG38" s="71">
        <f t="shared" si="7"/>
        <v>9.8473435701811704E-2</v>
      </c>
      <c r="AH38" s="71">
        <f t="shared" si="18"/>
        <v>5.5128286898232357</v>
      </c>
      <c r="AI38" s="74">
        <f t="shared" si="19"/>
        <v>5.6113021255250475</v>
      </c>
      <c r="AJ38" s="73">
        <f t="shared" si="20"/>
        <v>1.2400000000000002</v>
      </c>
      <c r="AK38" s="71">
        <f t="shared" si="21"/>
        <v>2.8221912021980686</v>
      </c>
      <c r="AL38" s="71">
        <f t="shared" si="8"/>
        <v>2.548724218164538E-2</v>
      </c>
      <c r="AM38" s="71">
        <f t="shared" si="22"/>
        <v>0</v>
      </c>
      <c r="AN38" s="188">
        <f t="shared" si="23"/>
        <v>0.1739006071657998</v>
      </c>
      <c r="AO38" s="74">
        <f t="shared" si="24"/>
        <v>0.19938784934744519</v>
      </c>
      <c r="AP38" s="73">
        <f t="shared" si="25"/>
        <v>4.6485254206296379E-2</v>
      </c>
      <c r="AQ38" s="206">
        <f t="shared" si="9"/>
        <v>8.9096737228734735E-2</v>
      </c>
      <c r="AR38" s="206">
        <f t="shared" si="10"/>
        <v>4.7390927326794205</v>
      </c>
      <c r="AS38" s="71">
        <f t="shared" si="11"/>
        <v>0.24000000000000002</v>
      </c>
      <c r="AT38" s="74">
        <f t="shared" si="12"/>
        <v>3.6299999999999995E-5</v>
      </c>
      <c r="AU38" s="73">
        <f t="shared" si="26"/>
        <v>11.014497736215677</v>
      </c>
      <c r="AV38" s="71">
        <f t="shared" si="27"/>
        <v>66.34</v>
      </c>
      <c r="AW38" s="74">
        <f t="shared" si="28"/>
        <v>85.761011888699883</v>
      </c>
    </row>
    <row r="39" spans="17:49" x14ac:dyDescent="0.25">
      <c r="Q39">
        <v>32</v>
      </c>
      <c r="R39" s="73">
        <f t="shared" si="0"/>
        <v>53.5</v>
      </c>
      <c r="S39" s="71">
        <f t="shared" ref="S39:S70" si="32">Q39*$O$12</f>
        <v>1.28</v>
      </c>
      <c r="T39" s="71">
        <f t="shared" si="2"/>
        <v>11</v>
      </c>
      <c r="U39" s="74">
        <f t="shared" ref="U39:U70" si="33">(R39*S39)/(T39*EFF_est)</f>
        <v>6.2254545454545456</v>
      </c>
      <c r="V39" s="73">
        <f>IF(Variable_Management!$B$20=3,2,IF((S39*R39/T39)&lt;((T39*(1-(T39/R39)))/(2*Lm*Fsw)),1,2))</f>
        <v>2</v>
      </c>
      <c r="W39" s="71">
        <f t="shared" ref="W39:W70" si="34">CHOOSE(V39,SQRT((2*S39*Lm*Fsw*(R39-T39))/((T39)^2)),1-(T39/R39))</f>
        <v>0.79439252336448596</v>
      </c>
      <c r="X39" s="74">
        <f t="shared" ref="X39:X70" si="35">CHOOSE(V39,(Lm*Z39*Fsw)/(R39-T39),1-W39)</f>
        <v>0.20560747663551404</v>
      </c>
      <c r="Y39" s="73">
        <f t="shared" ref="Y39:Y70" si="36">(T39*W39)/(Lm*Fsw)</f>
        <v>5.3282425347617979</v>
      </c>
      <c r="Z39" s="71">
        <f t="shared" si="30"/>
        <v>8.8895758128354441</v>
      </c>
      <c r="AA39" s="71">
        <f t="shared" si="31"/>
        <v>6.4126540272566608</v>
      </c>
      <c r="AB39" s="71">
        <v>0</v>
      </c>
      <c r="AC39" s="71">
        <f t="shared" ref="AC39:AC70" si="37">(AA39^2)*Rdcr</f>
        <v>9.4580902848569459E-2</v>
      </c>
      <c r="AD39" s="74">
        <f t="shared" si="16"/>
        <v>9.4580902848569459E-2</v>
      </c>
      <c r="AE39" s="73">
        <f t="shared" si="29"/>
        <v>4.9454545454545453</v>
      </c>
      <c r="AF39" s="71">
        <f t="shared" si="17"/>
        <v>5.7155151951571552</v>
      </c>
      <c r="AG39" s="71">
        <f t="shared" ref="AG39:AG70" si="38">(AF39^2)*RDS_on</f>
        <v>0.10453476462743147</v>
      </c>
      <c r="AH39" s="71">
        <f t="shared" ref="AH39:AH70" si="39">((R39*U39)/2)*Fsw*(tr_sw+tf_sw)</f>
        <v>5.6906618733659204</v>
      </c>
      <c r="AI39" s="74">
        <f t="shared" si="19"/>
        <v>5.7951966379933522</v>
      </c>
      <c r="AJ39" s="73">
        <f t="shared" si="20"/>
        <v>1.2800000000000002</v>
      </c>
      <c r="AK39" s="71">
        <f t="shared" ref="AK39:AK70" si="40">CHOOSE(V39,Z39*SQRT(X39/3),SQRT(X39*((Z39^2)+((Y39^2)/3)-(Y39*Z39))))</f>
        <v>2.9077513179807384</v>
      </c>
      <c r="AL39" s="71">
        <f t="shared" ref="AL39:AL70" si="41">(AK39^2)*RDS_on_HS</f>
        <v>2.7056056727099907E-2</v>
      </c>
      <c r="AM39" s="71">
        <f t="shared" si="22"/>
        <v>0</v>
      </c>
      <c r="AN39" s="188">
        <f t="shared" ref="AN39:AN70" si="42">Vd_rect*t_dead*Fsw*Z39</f>
        <v>0.17779151625670889</v>
      </c>
      <c r="AO39" s="74">
        <f t="shared" si="24"/>
        <v>0.20484757298380879</v>
      </c>
      <c r="AP39" s="73">
        <f t="shared" ref="AP39:AP70" si="43">(AA39^2)*R_cs</f>
        <v>4.9346558007949286E-2</v>
      </c>
      <c r="AQ39" s="206">
        <f t="shared" ref="AQ39:AQ70" si="44">Rdcr*AA39^2</f>
        <v>9.4580902848569459E-2</v>
      </c>
      <c r="AR39" s="206">
        <f t="shared" ref="AR39:AR70" si="45">ABS(7.759*10^-3*Fsw^0.9458*(0.00787*Y39)^2.304)</f>
        <v>4.7390927326794205</v>
      </c>
      <c r="AS39" s="71">
        <f t="shared" ref="AS39:AS70" si="46">(Qg_tot+Qg_tot_HS)*Vcc*Fsw</f>
        <v>0.24000000000000002</v>
      </c>
      <c r="AT39" s="74">
        <f t="shared" ref="AT39:AT70" si="47">IQ*T39</f>
        <v>3.6299999999999995E-5</v>
      </c>
      <c r="AU39" s="73">
        <f t="shared" si="26"/>
        <v>11.217681607361669</v>
      </c>
      <c r="AV39" s="71">
        <f t="shared" si="27"/>
        <v>68.48</v>
      </c>
      <c r="AW39" s="74">
        <f t="shared" si="28"/>
        <v>85.924707744164181</v>
      </c>
    </row>
    <row r="40" spans="17:49" x14ac:dyDescent="0.25">
      <c r="Q40">
        <v>33</v>
      </c>
      <c r="R40" s="73">
        <f t="shared" si="0"/>
        <v>53.5</v>
      </c>
      <c r="S40" s="71">
        <f t="shared" si="32"/>
        <v>1.32</v>
      </c>
      <c r="T40" s="71">
        <f t="shared" si="2"/>
        <v>11</v>
      </c>
      <c r="U40" s="74">
        <f t="shared" si="33"/>
        <v>6.4200000000000008</v>
      </c>
      <c r="V40" s="73">
        <f>IF(Variable_Management!$B$20=3,2,IF((S40*R40/T40)&lt;((T40*(1-(T40/R40)))/(2*Lm*Fsw)),1,2))</f>
        <v>2</v>
      </c>
      <c r="W40" s="71">
        <f t="shared" si="34"/>
        <v>0.79439252336448596</v>
      </c>
      <c r="X40" s="74">
        <f t="shared" si="35"/>
        <v>0.20560747663551404</v>
      </c>
      <c r="Y40" s="73">
        <f t="shared" si="36"/>
        <v>5.3282425347617979</v>
      </c>
      <c r="Z40" s="71">
        <f t="shared" si="30"/>
        <v>9.0841212673808993</v>
      </c>
      <c r="AA40" s="71">
        <f t="shared" si="31"/>
        <v>6.6016851921134805</v>
      </c>
      <c r="AB40" s="71">
        <v>0</v>
      </c>
      <c r="AC40" s="71">
        <f t="shared" si="37"/>
        <v>0.10023916896427192</v>
      </c>
      <c r="AD40" s="74">
        <f t="shared" si="16"/>
        <v>0.10023916896427192</v>
      </c>
      <c r="AE40" s="73">
        <f t="shared" si="29"/>
        <v>5.1000000000000005</v>
      </c>
      <c r="AF40" s="71">
        <f t="shared" si="17"/>
        <v>5.8839962157307255</v>
      </c>
      <c r="AG40" s="71">
        <f t="shared" si="38"/>
        <v>0.1107885166935472</v>
      </c>
      <c r="AH40" s="71">
        <f t="shared" si="39"/>
        <v>5.8684950569086061</v>
      </c>
      <c r="AI40" s="74">
        <f t="shared" si="19"/>
        <v>5.979283573602153</v>
      </c>
      <c r="AJ40" s="73">
        <f t="shared" si="20"/>
        <v>1.3200000000000003</v>
      </c>
      <c r="AK40" s="71">
        <f t="shared" si="40"/>
        <v>2.9934655349672741</v>
      </c>
      <c r="AL40" s="71">
        <f t="shared" si="41"/>
        <v>2.8674674908918112E-2</v>
      </c>
      <c r="AM40" s="71">
        <f t="shared" ref="AM40:AM71" si="48">CHOOSE(V40,(R40+Vd_rect)*Qrr*Fsw,(R40+Vd_rect)*Qrr*Fsw)</f>
        <v>0</v>
      </c>
      <c r="AN40" s="188">
        <f t="shared" si="42"/>
        <v>0.181682425347618</v>
      </c>
      <c r="AO40" s="74">
        <f t="shared" si="24"/>
        <v>0.21035710025653612</v>
      </c>
      <c r="AP40" s="73">
        <f t="shared" si="43"/>
        <v>5.2298696850924475E-2</v>
      </c>
      <c r="AQ40" s="206">
        <f t="shared" si="44"/>
        <v>0.10023916896427192</v>
      </c>
      <c r="AR40" s="206">
        <f t="shared" si="45"/>
        <v>4.7390927326794205</v>
      </c>
      <c r="AS40" s="71">
        <f t="shared" si="46"/>
        <v>0.24000000000000002</v>
      </c>
      <c r="AT40" s="74">
        <f t="shared" si="47"/>
        <v>3.6299999999999995E-5</v>
      </c>
      <c r="AU40" s="73">
        <f t="shared" si="26"/>
        <v>11.421546741317577</v>
      </c>
      <c r="AV40" s="71">
        <f t="shared" si="27"/>
        <v>70.62</v>
      </c>
      <c r="AW40" s="74">
        <f t="shared" si="28"/>
        <v>86.078338116502778</v>
      </c>
    </row>
    <row r="41" spans="17:49" x14ac:dyDescent="0.25">
      <c r="Q41">
        <v>34</v>
      </c>
      <c r="R41" s="73">
        <f t="shared" si="0"/>
        <v>53.5</v>
      </c>
      <c r="S41" s="71">
        <f t="shared" si="32"/>
        <v>1.36</v>
      </c>
      <c r="T41" s="71">
        <f t="shared" si="2"/>
        <v>11</v>
      </c>
      <c r="U41" s="74">
        <f t="shared" si="33"/>
        <v>6.6145454545454552</v>
      </c>
      <c r="V41" s="73">
        <f>IF(Variable_Management!$B$20=3,2,IF((S41*R41/T41)&lt;((T41*(1-(T41/R41)))/(2*Lm*Fsw)),1,2))</f>
        <v>2</v>
      </c>
      <c r="W41" s="71">
        <f t="shared" si="34"/>
        <v>0.79439252336448596</v>
      </c>
      <c r="X41" s="74">
        <f t="shared" si="35"/>
        <v>0.20560747663551404</v>
      </c>
      <c r="Y41" s="73">
        <f t="shared" si="36"/>
        <v>5.3282425347617979</v>
      </c>
      <c r="Z41" s="71">
        <f t="shared" si="30"/>
        <v>9.2786667219263546</v>
      </c>
      <c r="AA41" s="71">
        <f t="shared" si="31"/>
        <v>6.7910278269212201</v>
      </c>
      <c r="AB41" s="71">
        <v>0</v>
      </c>
      <c r="AC41" s="71">
        <f t="shared" si="37"/>
        <v>0.1060715355758422</v>
      </c>
      <c r="AD41" s="74">
        <f t="shared" si="16"/>
        <v>0.1060715355758422</v>
      </c>
      <c r="AE41" s="73">
        <f t="shared" si="29"/>
        <v>5.2545454545454549</v>
      </c>
      <c r="AF41" s="71">
        <f t="shared" si="17"/>
        <v>6.0527548454236628</v>
      </c>
      <c r="AG41" s="71">
        <f t="shared" si="38"/>
        <v>0.11723469190015881</v>
      </c>
      <c r="AH41" s="71">
        <f t="shared" si="39"/>
        <v>6.0463282404512917</v>
      </c>
      <c r="AI41" s="74">
        <f t="shared" si="19"/>
        <v>6.1635629323514509</v>
      </c>
      <c r="AJ41" s="73">
        <f t="shared" si="20"/>
        <v>1.3600000000000003</v>
      </c>
      <c r="AK41" s="71">
        <f t="shared" si="40"/>
        <v>3.0793209847657534</v>
      </c>
      <c r="AL41" s="71">
        <f t="shared" si="41"/>
        <v>3.0343096727099939E-2</v>
      </c>
      <c r="AM41" s="71">
        <f t="shared" si="48"/>
        <v>0</v>
      </c>
      <c r="AN41" s="188">
        <f t="shared" si="42"/>
        <v>0.18557333443852708</v>
      </c>
      <c r="AO41" s="74">
        <f t="shared" si="24"/>
        <v>0.21591643116562703</v>
      </c>
      <c r="AP41" s="73">
        <f t="shared" si="43"/>
        <v>5.5341670735222018E-2</v>
      </c>
      <c r="AQ41" s="206">
        <f t="shared" si="44"/>
        <v>0.1060715355758422</v>
      </c>
      <c r="AR41" s="206">
        <f t="shared" si="45"/>
        <v>4.7390927326794205</v>
      </c>
      <c r="AS41" s="71">
        <f t="shared" si="46"/>
        <v>0.24000000000000002</v>
      </c>
      <c r="AT41" s="74">
        <f t="shared" si="47"/>
        <v>3.6299999999999995E-5</v>
      </c>
      <c r="AU41" s="73">
        <f t="shared" si="26"/>
        <v>11.626093138083405</v>
      </c>
      <c r="AV41" s="71">
        <f t="shared" si="27"/>
        <v>72.760000000000005</v>
      </c>
      <c r="AW41" s="74">
        <f t="shared" si="28"/>
        <v>86.222738006060666</v>
      </c>
    </row>
    <row r="42" spans="17:49" x14ac:dyDescent="0.25">
      <c r="Q42">
        <v>35</v>
      </c>
      <c r="R42" s="73">
        <f t="shared" si="0"/>
        <v>53.5</v>
      </c>
      <c r="S42" s="71">
        <f t="shared" si="32"/>
        <v>1.4000000000000001</v>
      </c>
      <c r="T42" s="71">
        <f t="shared" si="2"/>
        <v>11</v>
      </c>
      <c r="U42" s="74">
        <f t="shared" si="33"/>
        <v>6.8090909090909095</v>
      </c>
      <c r="V42" s="73">
        <f>IF(Variable_Management!$B$20=3,2,IF((S42*R42/T42)&lt;((T42*(1-(T42/R42)))/(2*Lm*Fsw)),1,2))</f>
        <v>2</v>
      </c>
      <c r="W42" s="71">
        <f t="shared" si="34"/>
        <v>0.79439252336448596</v>
      </c>
      <c r="X42" s="74">
        <f t="shared" si="35"/>
        <v>0.20560747663551404</v>
      </c>
      <c r="Y42" s="73">
        <f t="shared" si="36"/>
        <v>5.3282425347617979</v>
      </c>
      <c r="Z42" s="71">
        <f t="shared" si="30"/>
        <v>9.473212176471808</v>
      </c>
      <c r="AA42" s="71">
        <f t="shared" si="31"/>
        <v>6.9806565868859982</v>
      </c>
      <c r="AB42" s="71">
        <v>0</v>
      </c>
      <c r="AC42" s="71">
        <f t="shared" si="37"/>
        <v>0.11207800268328021</v>
      </c>
      <c r="AD42" s="74">
        <f t="shared" si="16"/>
        <v>0.11207800268328021</v>
      </c>
      <c r="AE42" s="73">
        <f t="shared" si="29"/>
        <v>5.4090909090909092</v>
      </c>
      <c r="AF42" s="71">
        <f t="shared" si="17"/>
        <v>6.221768494750564</v>
      </c>
      <c r="AG42" s="71">
        <f t="shared" si="38"/>
        <v>0.12387329024726623</v>
      </c>
      <c r="AH42" s="71">
        <f t="shared" si="39"/>
        <v>6.2241614239939764</v>
      </c>
      <c r="AI42" s="74">
        <f t="shared" si="19"/>
        <v>6.3480347142412423</v>
      </c>
      <c r="AJ42" s="73">
        <f t="shared" si="20"/>
        <v>1.4000000000000004</v>
      </c>
      <c r="AK42" s="71">
        <f t="shared" si="40"/>
        <v>3.165306175042816</v>
      </c>
      <c r="AL42" s="71">
        <f t="shared" si="41"/>
        <v>3.2061322181645383E-2</v>
      </c>
      <c r="AM42" s="71">
        <f t="shared" si="48"/>
        <v>0</v>
      </c>
      <c r="AN42" s="188">
        <f t="shared" si="42"/>
        <v>0.18946424352943617</v>
      </c>
      <c r="AO42" s="74">
        <f t="shared" si="24"/>
        <v>0.22152556571108156</v>
      </c>
      <c r="AP42" s="73">
        <f t="shared" si="43"/>
        <v>5.8475479660841843E-2</v>
      </c>
      <c r="AQ42" s="206">
        <f t="shared" si="44"/>
        <v>0.11207800268328021</v>
      </c>
      <c r="AR42" s="206">
        <f t="shared" si="45"/>
        <v>4.7390927326794205</v>
      </c>
      <c r="AS42" s="71">
        <f t="shared" si="46"/>
        <v>0.24000000000000002</v>
      </c>
      <c r="AT42" s="74">
        <f t="shared" si="47"/>
        <v>3.6299999999999995E-5</v>
      </c>
      <c r="AU42" s="73">
        <f t="shared" si="26"/>
        <v>11.831320797659147</v>
      </c>
      <c r="AV42" s="71">
        <f t="shared" si="27"/>
        <v>74.900000000000006</v>
      </c>
      <c r="AW42" s="74">
        <f t="shared" si="28"/>
        <v>86.358652573432877</v>
      </c>
    </row>
    <row r="43" spans="17:49" x14ac:dyDescent="0.25">
      <c r="Q43">
        <v>36</v>
      </c>
      <c r="R43" s="73">
        <f t="shared" si="0"/>
        <v>53.5</v>
      </c>
      <c r="S43" s="71">
        <f t="shared" si="32"/>
        <v>1.44</v>
      </c>
      <c r="T43" s="71">
        <f t="shared" si="2"/>
        <v>11</v>
      </c>
      <c r="U43" s="74">
        <f t="shared" si="33"/>
        <v>7.003636363636363</v>
      </c>
      <c r="V43" s="73">
        <f>IF(Variable_Management!$B$20=3,2,IF((S43*R43/T43)&lt;((T43*(1-(T43/R43)))/(2*Lm*Fsw)),1,2))</f>
        <v>2</v>
      </c>
      <c r="W43" s="71">
        <f t="shared" si="34"/>
        <v>0.79439252336448596</v>
      </c>
      <c r="X43" s="74">
        <f t="shared" si="35"/>
        <v>0.20560747663551404</v>
      </c>
      <c r="Y43" s="73">
        <f t="shared" si="36"/>
        <v>5.3282425347617979</v>
      </c>
      <c r="Z43" s="71">
        <f t="shared" si="30"/>
        <v>9.6677576310172615</v>
      </c>
      <c r="AA43" s="71">
        <f t="shared" si="31"/>
        <v>7.1705487718737384</v>
      </c>
      <c r="AB43" s="71">
        <v>0</v>
      </c>
      <c r="AC43" s="71">
        <f t="shared" si="37"/>
        <v>0.11825857028658596</v>
      </c>
      <c r="AD43" s="74">
        <f t="shared" si="16"/>
        <v>0.11825857028658596</v>
      </c>
      <c r="AE43" s="73">
        <f t="shared" si="29"/>
        <v>5.5636363636363626</v>
      </c>
      <c r="AF43" s="71">
        <f t="shared" si="17"/>
        <v>6.3910169313769396</v>
      </c>
      <c r="AG43" s="71">
        <f t="shared" si="38"/>
        <v>0.13070431173486949</v>
      </c>
      <c r="AH43" s="71">
        <f t="shared" si="39"/>
        <v>6.4019946075366603</v>
      </c>
      <c r="AI43" s="74">
        <f t="shared" si="19"/>
        <v>6.5326989192715299</v>
      </c>
      <c r="AJ43" s="73">
        <f t="shared" si="20"/>
        <v>1.44</v>
      </c>
      <c r="AK43" s="71">
        <f t="shared" si="40"/>
        <v>3.2514108126586017</v>
      </c>
      <c r="AL43" s="71">
        <f t="shared" si="41"/>
        <v>3.3829351272554459E-2</v>
      </c>
      <c r="AM43" s="71">
        <f t="shared" si="48"/>
        <v>0</v>
      </c>
      <c r="AN43" s="188">
        <f t="shared" si="42"/>
        <v>0.19335515262034522</v>
      </c>
      <c r="AO43" s="74">
        <f t="shared" si="24"/>
        <v>0.22718450389289968</v>
      </c>
      <c r="AP43" s="73">
        <f t="shared" si="43"/>
        <v>6.1700123627783973E-2</v>
      </c>
      <c r="AQ43" s="206">
        <f t="shared" si="44"/>
        <v>0.11825857028658596</v>
      </c>
      <c r="AR43" s="206">
        <f t="shared" si="45"/>
        <v>4.7390927326794205</v>
      </c>
      <c r="AS43" s="71">
        <f t="shared" si="46"/>
        <v>0.24000000000000002</v>
      </c>
      <c r="AT43" s="74">
        <f t="shared" si="47"/>
        <v>3.6299999999999995E-5</v>
      </c>
      <c r="AU43" s="73">
        <f t="shared" si="26"/>
        <v>12.037229720044806</v>
      </c>
      <c r="AV43" s="71">
        <f t="shared" si="27"/>
        <v>77.039999999999992</v>
      </c>
      <c r="AW43" s="74">
        <f t="shared" si="28"/>
        <v>86.486748905555487</v>
      </c>
    </row>
    <row r="44" spans="17:49" x14ac:dyDescent="0.25">
      <c r="Q44">
        <v>37</v>
      </c>
      <c r="R44" s="73">
        <f t="shared" si="0"/>
        <v>53.5</v>
      </c>
      <c r="S44" s="71">
        <f t="shared" si="32"/>
        <v>1.48</v>
      </c>
      <c r="T44" s="71">
        <f t="shared" si="2"/>
        <v>11</v>
      </c>
      <c r="U44" s="74">
        <f t="shared" si="33"/>
        <v>7.1981818181818173</v>
      </c>
      <c r="V44" s="73">
        <f>IF(Variable_Management!$B$20=3,2,IF((S44*R44/T44)&lt;((T44*(1-(T44/R44)))/(2*Lm*Fsw)),1,2))</f>
        <v>2</v>
      </c>
      <c r="W44" s="71">
        <f t="shared" si="34"/>
        <v>0.79439252336448596</v>
      </c>
      <c r="X44" s="74">
        <f t="shared" si="35"/>
        <v>0.20560747663551404</v>
      </c>
      <c r="Y44" s="73">
        <f t="shared" si="36"/>
        <v>5.3282425347617979</v>
      </c>
      <c r="Z44" s="71">
        <f t="shared" si="30"/>
        <v>9.8623030855627167</v>
      </c>
      <c r="AA44" s="71">
        <f t="shared" si="31"/>
        <v>7.3606839942612465</v>
      </c>
      <c r="AB44" s="71">
        <v>0</v>
      </c>
      <c r="AC44" s="71">
        <f t="shared" si="37"/>
        <v>0.12461323838575951</v>
      </c>
      <c r="AD44" s="74">
        <f t="shared" si="16"/>
        <v>0.12461323838575951</v>
      </c>
      <c r="AE44" s="73">
        <f t="shared" si="29"/>
        <v>5.7181818181818169</v>
      </c>
      <c r="AF44" s="71">
        <f t="shared" si="17"/>
        <v>6.5604819840791961</v>
      </c>
      <c r="AG44" s="71">
        <f t="shared" si="38"/>
        <v>0.13772775636296866</v>
      </c>
      <c r="AH44" s="71">
        <f t="shared" si="39"/>
        <v>6.579827791079345</v>
      </c>
      <c r="AI44" s="74">
        <f t="shared" si="19"/>
        <v>6.7175555474423136</v>
      </c>
      <c r="AJ44" s="73">
        <f t="shared" si="20"/>
        <v>1.48</v>
      </c>
      <c r="AK44" s="71">
        <f t="shared" si="40"/>
        <v>3.3376256530572741</v>
      </c>
      <c r="AL44" s="71">
        <f t="shared" si="41"/>
        <v>3.5647183999827185E-2</v>
      </c>
      <c r="AM44" s="71">
        <f t="shared" si="48"/>
        <v>0</v>
      </c>
      <c r="AN44" s="188">
        <f t="shared" si="42"/>
        <v>0.19724606171125433</v>
      </c>
      <c r="AO44" s="74">
        <f t="shared" si="24"/>
        <v>0.23289324571108153</v>
      </c>
      <c r="AP44" s="73">
        <f t="shared" si="43"/>
        <v>6.5015602636048428E-2</v>
      </c>
      <c r="AQ44" s="206">
        <f t="shared" si="44"/>
        <v>0.12461323838575951</v>
      </c>
      <c r="AR44" s="206">
        <f t="shared" si="45"/>
        <v>4.7390927326794205</v>
      </c>
      <c r="AS44" s="71">
        <f t="shared" si="46"/>
        <v>0.24000000000000002</v>
      </c>
      <c r="AT44" s="74">
        <f t="shared" si="47"/>
        <v>3.6299999999999995E-5</v>
      </c>
      <c r="AU44" s="73">
        <f t="shared" si="26"/>
        <v>12.243819905240382</v>
      </c>
      <c r="AV44" s="71">
        <f t="shared" si="27"/>
        <v>79.179999999999993</v>
      </c>
      <c r="AW44" s="74">
        <f t="shared" si="28"/>
        <v>86.60762597982567</v>
      </c>
    </row>
    <row r="45" spans="17:49" x14ac:dyDescent="0.25">
      <c r="Q45">
        <v>38</v>
      </c>
      <c r="R45" s="73">
        <f t="shared" si="0"/>
        <v>53.5</v>
      </c>
      <c r="S45" s="71">
        <f t="shared" si="32"/>
        <v>1.52</v>
      </c>
      <c r="T45" s="71">
        <f t="shared" si="2"/>
        <v>11</v>
      </c>
      <c r="U45" s="74">
        <f t="shared" si="33"/>
        <v>7.3927272727272735</v>
      </c>
      <c r="V45" s="73">
        <f>IF(Variable_Management!$B$20=3,2,IF((S45*R45/T45)&lt;((T45*(1-(T45/R45)))/(2*Lm*Fsw)),1,2))</f>
        <v>2</v>
      </c>
      <c r="W45" s="71">
        <f t="shared" si="34"/>
        <v>0.79439252336448596</v>
      </c>
      <c r="X45" s="74">
        <f t="shared" si="35"/>
        <v>0.20560747663551404</v>
      </c>
      <c r="Y45" s="73">
        <f t="shared" si="36"/>
        <v>5.3282425347617979</v>
      </c>
      <c r="Z45" s="71">
        <f t="shared" si="30"/>
        <v>10.056848540108172</v>
      </c>
      <c r="AA45" s="71">
        <f t="shared" si="31"/>
        <v>7.5510438950317349</v>
      </c>
      <c r="AB45" s="71">
        <v>0</v>
      </c>
      <c r="AC45" s="71">
        <f t="shared" si="37"/>
        <v>0.13114200698080089</v>
      </c>
      <c r="AD45" s="74">
        <f t="shared" si="16"/>
        <v>0.13114200698080089</v>
      </c>
      <c r="AE45" s="73">
        <f t="shared" si="29"/>
        <v>5.872727272727273</v>
      </c>
      <c r="AF45" s="71">
        <f t="shared" si="17"/>
        <v>6.7301472897042647</v>
      </c>
      <c r="AG45" s="71">
        <f t="shared" si="38"/>
        <v>0.14494362413156373</v>
      </c>
      <c r="AH45" s="71">
        <f t="shared" si="39"/>
        <v>6.7576609746220315</v>
      </c>
      <c r="AI45" s="74">
        <f t="shared" si="19"/>
        <v>6.9026045987535953</v>
      </c>
      <c r="AJ45" s="73">
        <f t="shared" si="20"/>
        <v>1.5200000000000002</v>
      </c>
      <c r="AK45" s="71">
        <f t="shared" si="40"/>
        <v>3.4239423715334873</v>
      </c>
      <c r="AL45" s="71">
        <f t="shared" si="41"/>
        <v>3.7514820363463562E-2</v>
      </c>
      <c r="AM45" s="71">
        <f t="shared" si="48"/>
        <v>0</v>
      </c>
      <c r="AN45" s="188">
        <f t="shared" si="42"/>
        <v>0.20113697080216345</v>
      </c>
      <c r="AO45" s="74">
        <f t="shared" si="24"/>
        <v>0.23865179116562701</v>
      </c>
      <c r="AP45" s="73">
        <f t="shared" si="43"/>
        <v>6.8421916685635242E-2</v>
      </c>
      <c r="AQ45" s="206">
        <f t="shared" si="44"/>
        <v>0.13114200698080089</v>
      </c>
      <c r="AR45" s="206">
        <f t="shared" si="45"/>
        <v>4.7390927326794205</v>
      </c>
      <c r="AS45" s="71">
        <f t="shared" si="46"/>
        <v>0.24000000000000002</v>
      </c>
      <c r="AT45" s="74">
        <f t="shared" si="47"/>
        <v>3.6299999999999995E-5</v>
      </c>
      <c r="AU45" s="73">
        <f t="shared" si="26"/>
        <v>12.451091353245879</v>
      </c>
      <c r="AV45" s="71">
        <f t="shared" si="27"/>
        <v>81.320000000000007</v>
      </c>
      <c r="AW45" s="74">
        <f t="shared" si="28"/>
        <v>86.721823140202929</v>
      </c>
    </row>
    <row r="46" spans="17:49" x14ac:dyDescent="0.25">
      <c r="Q46">
        <v>39</v>
      </c>
      <c r="R46" s="73">
        <f t="shared" si="0"/>
        <v>53.5</v>
      </c>
      <c r="S46" s="71">
        <f t="shared" si="32"/>
        <v>1.56</v>
      </c>
      <c r="T46" s="71">
        <f t="shared" si="2"/>
        <v>11</v>
      </c>
      <c r="U46" s="74">
        <f t="shared" si="33"/>
        <v>7.5872727272727278</v>
      </c>
      <c r="V46" s="73">
        <f>IF(Variable_Management!$B$20=3,2,IF((S46*R46/T46)&lt;((T46*(1-(T46/R46)))/(2*Lm*Fsw)),1,2))</f>
        <v>2</v>
      </c>
      <c r="W46" s="71">
        <f t="shared" si="34"/>
        <v>0.79439252336448596</v>
      </c>
      <c r="X46" s="74">
        <f t="shared" si="35"/>
        <v>0.20560747663551404</v>
      </c>
      <c r="Y46" s="73">
        <f t="shared" si="36"/>
        <v>5.3282425347617979</v>
      </c>
      <c r="Z46" s="71">
        <f t="shared" si="30"/>
        <v>10.251393994653627</v>
      </c>
      <c r="AA46" s="71">
        <f t="shared" si="31"/>
        <v>7.7416119002302706</v>
      </c>
      <c r="AB46" s="71">
        <v>0</v>
      </c>
      <c r="AC46" s="71">
        <f t="shared" si="37"/>
        <v>0.13784487607170998</v>
      </c>
      <c r="AD46" s="74">
        <f t="shared" si="16"/>
        <v>0.13784487607170998</v>
      </c>
      <c r="AE46" s="73">
        <f t="shared" si="29"/>
        <v>6.0272727272727273</v>
      </c>
      <c r="AF46" s="71">
        <f t="shared" si="17"/>
        <v>6.8999980761015136</v>
      </c>
      <c r="AG46" s="71">
        <f t="shared" si="38"/>
        <v>0.15235191504065471</v>
      </c>
      <c r="AH46" s="71">
        <f t="shared" si="39"/>
        <v>6.9354941581647163</v>
      </c>
      <c r="AI46" s="74">
        <f t="shared" si="19"/>
        <v>7.0878460732053714</v>
      </c>
      <c r="AJ46" s="73">
        <f t="shared" si="20"/>
        <v>1.5600000000000003</v>
      </c>
      <c r="AK46" s="71">
        <f t="shared" si="40"/>
        <v>3.5103534527996421</v>
      </c>
      <c r="AL46" s="71">
        <f t="shared" si="41"/>
        <v>3.9432260363463582E-2</v>
      </c>
      <c r="AM46" s="71">
        <f t="shared" si="48"/>
        <v>0</v>
      </c>
      <c r="AN46" s="188">
        <f t="shared" si="42"/>
        <v>0.20502787989307256</v>
      </c>
      <c r="AO46" s="74">
        <f t="shared" si="24"/>
        <v>0.24446014025653615</v>
      </c>
      <c r="AP46" s="73">
        <f t="shared" si="43"/>
        <v>7.1919065776544319E-2</v>
      </c>
      <c r="AQ46" s="206">
        <f t="shared" si="44"/>
        <v>0.13784487607170998</v>
      </c>
      <c r="AR46" s="206">
        <f t="shared" si="45"/>
        <v>4.7390927326794205</v>
      </c>
      <c r="AS46" s="71">
        <f t="shared" si="46"/>
        <v>0.24000000000000002</v>
      </c>
      <c r="AT46" s="74">
        <f t="shared" si="47"/>
        <v>3.6299999999999995E-5</v>
      </c>
      <c r="AU46" s="73">
        <f t="shared" si="26"/>
        <v>12.659044064061291</v>
      </c>
      <c r="AV46" s="71">
        <f t="shared" si="27"/>
        <v>83.460000000000008</v>
      </c>
      <c r="AW46" s="74">
        <f t="shared" si="28"/>
        <v>86.829827338249117</v>
      </c>
    </row>
    <row r="47" spans="17:49" x14ac:dyDescent="0.25">
      <c r="Q47">
        <v>40</v>
      </c>
      <c r="R47" s="73">
        <f t="shared" si="0"/>
        <v>53.5</v>
      </c>
      <c r="S47" s="71">
        <f t="shared" si="32"/>
        <v>1.6</v>
      </c>
      <c r="T47" s="71">
        <f t="shared" si="2"/>
        <v>11</v>
      </c>
      <c r="U47" s="74">
        <f t="shared" si="33"/>
        <v>7.7818181818181822</v>
      </c>
      <c r="V47" s="73">
        <f>IF(Variable_Management!$B$20=3,2,IF((S47*R47/T47)&lt;((T47*(1-(T47/R47)))/(2*Lm*Fsw)),1,2))</f>
        <v>2</v>
      </c>
      <c r="W47" s="71">
        <f t="shared" si="34"/>
        <v>0.79439252336448596</v>
      </c>
      <c r="X47" s="74">
        <f t="shared" si="35"/>
        <v>0.20560747663551404</v>
      </c>
      <c r="Y47" s="73">
        <f t="shared" si="36"/>
        <v>5.3282425347617979</v>
      </c>
      <c r="Z47" s="71">
        <f t="shared" si="30"/>
        <v>10.445939449199081</v>
      </c>
      <c r="AA47" s="71">
        <f t="shared" si="31"/>
        <v>7.9323730113154944</v>
      </c>
      <c r="AB47" s="71">
        <v>0</v>
      </c>
      <c r="AC47" s="71">
        <f t="shared" si="37"/>
        <v>0.14472184565848684</v>
      </c>
      <c r="AD47" s="74">
        <f t="shared" si="16"/>
        <v>0.14472184565848684</v>
      </c>
      <c r="AE47" s="73">
        <f t="shared" si="29"/>
        <v>6.1818181818181817</v>
      </c>
      <c r="AF47" s="71">
        <f t="shared" si="17"/>
        <v>7.0700209752659458</v>
      </c>
      <c r="AG47" s="71">
        <f t="shared" si="38"/>
        <v>0.15995262909024138</v>
      </c>
      <c r="AH47" s="71">
        <f t="shared" si="39"/>
        <v>7.113327341707401</v>
      </c>
      <c r="AI47" s="74">
        <f t="shared" si="19"/>
        <v>7.2732799707976428</v>
      </c>
      <c r="AJ47" s="73">
        <f t="shared" si="20"/>
        <v>1.6000000000000003</v>
      </c>
      <c r="AK47" s="71">
        <f t="shared" si="40"/>
        <v>3.5968520959230443</v>
      </c>
      <c r="AL47" s="71">
        <f t="shared" si="41"/>
        <v>4.1399503999827197E-2</v>
      </c>
      <c r="AM47" s="71">
        <f t="shared" si="48"/>
        <v>0</v>
      </c>
      <c r="AN47" s="188">
        <f t="shared" si="42"/>
        <v>0.20891878898398161</v>
      </c>
      <c r="AO47" s="74">
        <f t="shared" si="24"/>
        <v>0.25031829298380881</v>
      </c>
      <c r="AP47" s="73">
        <f t="shared" si="43"/>
        <v>7.5507049908775728E-2</v>
      </c>
      <c r="AQ47" s="206">
        <f t="shared" si="44"/>
        <v>0.14472184565848684</v>
      </c>
      <c r="AR47" s="206">
        <f t="shared" si="45"/>
        <v>4.7390927326794205</v>
      </c>
      <c r="AS47" s="71">
        <f t="shared" si="46"/>
        <v>0.24000000000000002</v>
      </c>
      <c r="AT47" s="74">
        <f t="shared" si="47"/>
        <v>3.6299999999999995E-5</v>
      </c>
      <c r="AU47" s="73">
        <f t="shared" si="26"/>
        <v>12.867678037686622</v>
      </c>
      <c r="AV47" s="71">
        <f t="shared" si="27"/>
        <v>85.600000000000009</v>
      </c>
      <c r="AW47" s="74">
        <f t="shared" si="28"/>
        <v>86.932079344085111</v>
      </c>
    </row>
    <row r="48" spans="17:49" x14ac:dyDescent="0.25">
      <c r="Q48">
        <v>41</v>
      </c>
      <c r="R48" s="73">
        <f t="shared" si="0"/>
        <v>53.5</v>
      </c>
      <c r="S48" s="71">
        <f t="shared" si="32"/>
        <v>1.6400000000000001</v>
      </c>
      <c r="T48" s="71">
        <f t="shared" si="2"/>
        <v>11</v>
      </c>
      <c r="U48" s="74">
        <f t="shared" si="33"/>
        <v>7.9763636363636374</v>
      </c>
      <c r="V48" s="73">
        <f>IF(Variable_Management!$B$20=3,2,IF((S48*R48/T48)&lt;((T48*(1-(T48/R48)))/(2*Lm*Fsw)),1,2))</f>
        <v>2</v>
      </c>
      <c r="W48" s="71">
        <f t="shared" si="34"/>
        <v>0.79439252336448596</v>
      </c>
      <c r="X48" s="74">
        <f t="shared" si="35"/>
        <v>0.20560747663551404</v>
      </c>
      <c r="Y48" s="73">
        <f t="shared" si="36"/>
        <v>5.3282425347617979</v>
      </c>
      <c r="Z48" s="71">
        <f t="shared" si="30"/>
        <v>10.640484903744536</v>
      </c>
      <c r="AA48" s="71">
        <f t="shared" si="31"/>
        <v>8.1233136240868209</v>
      </c>
      <c r="AB48" s="71">
        <v>0</v>
      </c>
      <c r="AC48" s="71">
        <f t="shared" si="37"/>
        <v>0.15177291574113147</v>
      </c>
      <c r="AD48" s="74">
        <f t="shared" si="16"/>
        <v>0.15177291574113147</v>
      </c>
      <c r="AE48" s="73">
        <f t="shared" si="29"/>
        <v>6.3363636363636369</v>
      </c>
      <c r="AF48" s="71">
        <f t="shared" si="17"/>
        <v>7.2402038619503859</v>
      </c>
      <c r="AG48" s="71">
        <f t="shared" si="38"/>
        <v>0.16774576628032412</v>
      </c>
      <c r="AH48" s="71">
        <f t="shared" si="39"/>
        <v>7.2911605252500875</v>
      </c>
      <c r="AI48" s="74">
        <f t="shared" si="19"/>
        <v>7.4589062915304112</v>
      </c>
      <c r="AJ48" s="73">
        <f t="shared" si="20"/>
        <v>1.6400000000000003</v>
      </c>
      <c r="AK48" s="71">
        <f t="shared" si="40"/>
        <v>3.6834321322203394</v>
      </c>
      <c r="AL48" s="71">
        <f t="shared" si="41"/>
        <v>4.3416551272554484E-2</v>
      </c>
      <c r="AM48" s="71">
        <f t="shared" si="48"/>
        <v>0</v>
      </c>
      <c r="AN48" s="188">
        <f t="shared" si="42"/>
        <v>0.21280969807489072</v>
      </c>
      <c r="AO48" s="74">
        <f t="shared" si="24"/>
        <v>0.2562262493474452</v>
      </c>
      <c r="AP48" s="73">
        <f t="shared" si="43"/>
        <v>7.9185869082329469E-2</v>
      </c>
      <c r="AQ48" s="206">
        <f t="shared" si="44"/>
        <v>0.15177291574113147</v>
      </c>
      <c r="AR48" s="206">
        <f t="shared" si="45"/>
        <v>4.7390927326794205</v>
      </c>
      <c r="AS48" s="71">
        <f t="shared" si="46"/>
        <v>0.24000000000000002</v>
      </c>
      <c r="AT48" s="74">
        <f t="shared" si="47"/>
        <v>3.6299999999999995E-5</v>
      </c>
      <c r="AU48" s="73">
        <f t="shared" si="26"/>
        <v>13.076993274121868</v>
      </c>
      <c r="AV48" s="71">
        <f t="shared" si="27"/>
        <v>87.740000000000009</v>
      </c>
      <c r="AW48" s="74">
        <f t="shared" si="28"/>
        <v>87.028979094262951</v>
      </c>
    </row>
    <row r="49" spans="17:49" x14ac:dyDescent="0.25">
      <c r="Q49">
        <v>42</v>
      </c>
      <c r="R49" s="73">
        <f t="shared" si="0"/>
        <v>53.5</v>
      </c>
      <c r="S49" s="71">
        <f t="shared" si="32"/>
        <v>1.68</v>
      </c>
      <c r="T49" s="71">
        <f t="shared" si="2"/>
        <v>11</v>
      </c>
      <c r="U49" s="74">
        <f t="shared" si="33"/>
        <v>8.17090909090909</v>
      </c>
      <c r="V49" s="73">
        <f>IF(Variable_Management!$B$20=3,2,IF((S49*R49/T49)&lt;((T49*(1-(T49/R49)))/(2*Lm*Fsw)),1,2))</f>
        <v>2</v>
      </c>
      <c r="W49" s="71">
        <f t="shared" si="34"/>
        <v>0.79439252336448596</v>
      </c>
      <c r="X49" s="74">
        <f t="shared" si="35"/>
        <v>0.20560747663551404</v>
      </c>
      <c r="Y49" s="73">
        <f t="shared" si="36"/>
        <v>5.3282425347617979</v>
      </c>
      <c r="Z49" s="71">
        <f t="shared" si="30"/>
        <v>10.835030358289989</v>
      </c>
      <c r="AA49" s="71">
        <f t="shared" si="31"/>
        <v>8.3144213717895727</v>
      </c>
      <c r="AB49" s="71">
        <v>0</v>
      </c>
      <c r="AC49" s="71">
        <f t="shared" si="37"/>
        <v>0.15899808631964377</v>
      </c>
      <c r="AD49" s="74">
        <f t="shared" si="16"/>
        <v>0.15899808631964377</v>
      </c>
      <c r="AE49" s="73">
        <f t="shared" si="29"/>
        <v>6.4909090909090903</v>
      </c>
      <c r="AF49" s="71">
        <f t="shared" si="17"/>
        <v>7.410535713827108</v>
      </c>
      <c r="AG49" s="71">
        <f t="shared" si="38"/>
        <v>0.17573132661090254</v>
      </c>
      <c r="AH49" s="71">
        <f t="shared" si="39"/>
        <v>7.4689937087927696</v>
      </c>
      <c r="AI49" s="74">
        <f t="shared" si="19"/>
        <v>7.6447250354036722</v>
      </c>
      <c r="AJ49" s="73">
        <f t="shared" si="20"/>
        <v>1.68</v>
      </c>
      <c r="AK49" s="71">
        <f t="shared" si="40"/>
        <v>3.7700879541151529</v>
      </c>
      <c r="AL49" s="71">
        <f t="shared" si="41"/>
        <v>4.5483402181645378E-2</v>
      </c>
      <c r="AM49" s="71">
        <f t="shared" si="48"/>
        <v>0</v>
      </c>
      <c r="AN49" s="188">
        <f t="shared" si="42"/>
        <v>0.21670060716579978</v>
      </c>
      <c r="AO49" s="74">
        <f t="shared" si="24"/>
        <v>0.26218400934744518</v>
      </c>
      <c r="AP49" s="73">
        <f t="shared" si="43"/>
        <v>8.295552329720543E-2</v>
      </c>
      <c r="AQ49" s="206">
        <f t="shared" si="44"/>
        <v>0.15899808631964377</v>
      </c>
      <c r="AR49" s="206">
        <f t="shared" si="45"/>
        <v>4.7390927326794205</v>
      </c>
      <c r="AS49" s="71">
        <f t="shared" si="46"/>
        <v>0.24000000000000002</v>
      </c>
      <c r="AT49" s="74">
        <f t="shared" si="47"/>
        <v>3.6299999999999995E-5</v>
      </c>
      <c r="AU49" s="73">
        <f t="shared" si="26"/>
        <v>13.286989773367031</v>
      </c>
      <c r="AV49" s="71">
        <f t="shared" si="27"/>
        <v>89.88</v>
      </c>
      <c r="AW49" s="74">
        <f t="shared" si="28"/>
        <v>87.120890313311122</v>
      </c>
    </row>
    <row r="50" spans="17:49" x14ac:dyDescent="0.25">
      <c r="Q50">
        <v>43</v>
      </c>
      <c r="R50" s="73">
        <f t="shared" si="0"/>
        <v>53.5</v>
      </c>
      <c r="S50" s="71">
        <f t="shared" si="32"/>
        <v>1.72</v>
      </c>
      <c r="T50" s="71">
        <f t="shared" si="2"/>
        <v>11</v>
      </c>
      <c r="U50" s="74">
        <f t="shared" si="33"/>
        <v>8.3654545454545453</v>
      </c>
      <c r="V50" s="73">
        <f>IF(Variable_Management!$B$20=3,2,IF((S50*R50/T50)&lt;((T50*(1-(T50/R50)))/(2*Lm*Fsw)),1,2))</f>
        <v>2</v>
      </c>
      <c r="W50" s="71">
        <f t="shared" si="34"/>
        <v>0.79439252336448596</v>
      </c>
      <c r="X50" s="74">
        <f t="shared" si="35"/>
        <v>0.20560747663551404</v>
      </c>
      <c r="Y50" s="73">
        <f t="shared" si="36"/>
        <v>5.3282425347617979</v>
      </c>
      <c r="Z50" s="71">
        <f t="shared" si="30"/>
        <v>11.029575812835445</v>
      </c>
      <c r="AA50" s="71">
        <f t="shared" si="31"/>
        <v>8.505684988749378</v>
      </c>
      <c r="AB50" s="71">
        <v>0</v>
      </c>
      <c r="AC50" s="71">
        <f t="shared" si="37"/>
        <v>0.16639735739402395</v>
      </c>
      <c r="AD50" s="74">
        <f t="shared" si="16"/>
        <v>0.16639735739402395</v>
      </c>
      <c r="AE50" s="73">
        <f t="shared" si="29"/>
        <v>6.6454545454545455</v>
      </c>
      <c r="AF50" s="71">
        <f t="shared" si="17"/>
        <v>7.5810064899469518</v>
      </c>
      <c r="AG50" s="71">
        <f t="shared" si="38"/>
        <v>0.18390931008197697</v>
      </c>
      <c r="AH50" s="71">
        <f t="shared" si="39"/>
        <v>7.6468268923354561</v>
      </c>
      <c r="AI50" s="74">
        <f t="shared" si="19"/>
        <v>7.830736202417433</v>
      </c>
      <c r="AJ50" s="73">
        <f t="shared" si="20"/>
        <v>1.7200000000000002</v>
      </c>
      <c r="AK50" s="71">
        <f t="shared" si="40"/>
        <v>3.8568144533045308</v>
      </c>
      <c r="AL50" s="71">
        <f t="shared" si="41"/>
        <v>4.7600056727099924E-2</v>
      </c>
      <c r="AM50" s="71">
        <f t="shared" si="48"/>
        <v>0</v>
      </c>
      <c r="AN50" s="188">
        <f t="shared" si="42"/>
        <v>0.22059151625670889</v>
      </c>
      <c r="AO50" s="74">
        <f t="shared" si="24"/>
        <v>0.2681915729838088</v>
      </c>
      <c r="AP50" s="73">
        <f t="shared" si="43"/>
        <v>8.6816012553403793E-2</v>
      </c>
      <c r="AQ50" s="206">
        <f t="shared" si="44"/>
        <v>0.16639735739402395</v>
      </c>
      <c r="AR50" s="206">
        <f t="shared" si="45"/>
        <v>4.7390927326794205</v>
      </c>
      <c r="AS50" s="71">
        <f t="shared" si="46"/>
        <v>0.24000000000000002</v>
      </c>
      <c r="AT50" s="74">
        <f t="shared" si="47"/>
        <v>3.6299999999999995E-5</v>
      </c>
      <c r="AU50" s="73">
        <f t="shared" si="26"/>
        <v>13.497667535422114</v>
      </c>
      <c r="AV50" s="71">
        <f t="shared" si="27"/>
        <v>92.02</v>
      </c>
      <c r="AW50" s="74">
        <f t="shared" si="28"/>
        <v>87.208144521493551</v>
      </c>
    </row>
    <row r="51" spans="17:49" x14ac:dyDescent="0.25">
      <c r="Q51">
        <v>44</v>
      </c>
      <c r="R51" s="73">
        <f t="shared" si="0"/>
        <v>53.5</v>
      </c>
      <c r="S51" s="71">
        <f t="shared" si="32"/>
        <v>1.76</v>
      </c>
      <c r="T51" s="71">
        <f t="shared" si="2"/>
        <v>11</v>
      </c>
      <c r="U51" s="74">
        <f t="shared" si="33"/>
        <v>8.56</v>
      </c>
      <c r="V51" s="73">
        <f>IF(Variable_Management!$B$20=3,2,IF((S51*R51/T51)&lt;((T51*(1-(T51/R51)))/(2*Lm*Fsw)),1,2))</f>
        <v>2</v>
      </c>
      <c r="W51" s="71">
        <f t="shared" si="34"/>
        <v>0.79439252336448596</v>
      </c>
      <c r="X51" s="74">
        <f t="shared" si="35"/>
        <v>0.20560747663551404</v>
      </c>
      <c r="Y51" s="73">
        <f t="shared" si="36"/>
        <v>5.3282425347617979</v>
      </c>
      <c r="Z51" s="71">
        <f t="shared" si="30"/>
        <v>11.2241212673809</v>
      </c>
      <c r="AA51" s="71">
        <f t="shared" si="31"/>
        <v>8.6970941914969746</v>
      </c>
      <c r="AB51" s="71">
        <v>0</v>
      </c>
      <c r="AC51" s="71">
        <f t="shared" si="37"/>
        <v>0.17397072896427196</v>
      </c>
      <c r="AD51" s="74">
        <f t="shared" si="16"/>
        <v>0.17397072896427196</v>
      </c>
      <c r="AE51" s="73">
        <f t="shared" si="29"/>
        <v>6.8</v>
      </c>
      <c r="AF51" s="71">
        <f t="shared" si="17"/>
        <v>7.7516070247874085</v>
      </c>
      <c r="AG51" s="71">
        <f t="shared" si="38"/>
        <v>0.19227971669354721</v>
      </c>
      <c r="AH51" s="71">
        <f t="shared" si="39"/>
        <v>7.8246600758781417</v>
      </c>
      <c r="AI51" s="74">
        <f t="shared" si="19"/>
        <v>8.016939792571689</v>
      </c>
      <c r="AJ51" s="73">
        <f t="shared" si="20"/>
        <v>1.7600000000000002</v>
      </c>
      <c r="AK51" s="71">
        <f t="shared" si="40"/>
        <v>3.943606966856219</v>
      </c>
      <c r="AL51" s="71">
        <f t="shared" si="41"/>
        <v>4.9766514908918105E-2</v>
      </c>
      <c r="AM51" s="71">
        <f t="shared" si="48"/>
        <v>0</v>
      </c>
      <c r="AN51" s="188">
        <f t="shared" si="42"/>
        <v>0.224482425347618</v>
      </c>
      <c r="AO51" s="74">
        <f t="shared" si="24"/>
        <v>0.27424894025653612</v>
      </c>
      <c r="AP51" s="73">
        <f t="shared" si="43"/>
        <v>9.0767336850924488E-2</v>
      </c>
      <c r="AQ51" s="206">
        <f t="shared" si="44"/>
        <v>0.17397072896427196</v>
      </c>
      <c r="AR51" s="206">
        <f t="shared" si="45"/>
        <v>4.7390927326794205</v>
      </c>
      <c r="AS51" s="71">
        <f t="shared" si="46"/>
        <v>0.24000000000000002</v>
      </c>
      <c r="AT51" s="74">
        <f t="shared" si="47"/>
        <v>3.6299999999999995E-5</v>
      </c>
      <c r="AU51" s="73">
        <f t="shared" si="26"/>
        <v>13.709026560287116</v>
      </c>
      <c r="AV51" s="71">
        <f t="shared" si="27"/>
        <v>94.16</v>
      </c>
      <c r="AW51" s="74">
        <f t="shared" si="28"/>
        <v>87.291044521825498</v>
      </c>
    </row>
    <row r="52" spans="17:49" x14ac:dyDescent="0.25">
      <c r="Q52">
        <v>45</v>
      </c>
      <c r="R52" s="73">
        <f t="shared" si="0"/>
        <v>53.5</v>
      </c>
      <c r="S52" s="71">
        <f t="shared" si="32"/>
        <v>1.8</v>
      </c>
      <c r="T52" s="71">
        <f t="shared" si="2"/>
        <v>11</v>
      </c>
      <c r="U52" s="74">
        <f t="shared" si="33"/>
        <v>8.754545454545454</v>
      </c>
      <c r="V52" s="73">
        <f>IF(Variable_Management!$B$20=3,2,IF((S52*R52/T52)&lt;((T52*(1-(T52/R52)))/(2*Lm*Fsw)),1,2))</f>
        <v>2</v>
      </c>
      <c r="W52" s="71">
        <f t="shared" si="34"/>
        <v>0.79439252336448596</v>
      </c>
      <c r="X52" s="74">
        <f t="shared" si="35"/>
        <v>0.20560747663551404</v>
      </c>
      <c r="Y52" s="73">
        <f t="shared" si="36"/>
        <v>5.3282425347617979</v>
      </c>
      <c r="Z52" s="71">
        <f t="shared" si="30"/>
        <v>11.418666721926353</v>
      </c>
      <c r="AA52" s="71">
        <f t="shared" si="31"/>
        <v>8.8886395748434346</v>
      </c>
      <c r="AB52" s="71">
        <v>0</v>
      </c>
      <c r="AC52" s="71">
        <f t="shared" si="37"/>
        <v>0.1817182010303876</v>
      </c>
      <c r="AD52" s="74">
        <f t="shared" si="16"/>
        <v>0.1817182010303876</v>
      </c>
      <c r="AE52" s="73">
        <f t="shared" si="29"/>
        <v>6.9545454545454541</v>
      </c>
      <c r="AF52" s="71">
        <f t="shared" si="17"/>
        <v>7.9223289356258197</v>
      </c>
      <c r="AG52" s="71">
        <f t="shared" si="38"/>
        <v>0.20084254644561322</v>
      </c>
      <c r="AH52" s="71">
        <f t="shared" si="39"/>
        <v>8.0024932594208256</v>
      </c>
      <c r="AI52" s="74">
        <f t="shared" si="19"/>
        <v>8.2033358058664394</v>
      </c>
      <c r="AJ52" s="73">
        <f t="shared" si="20"/>
        <v>1.8</v>
      </c>
      <c r="AK52" s="71">
        <f t="shared" si="40"/>
        <v>4.0304612300850531</v>
      </c>
      <c r="AL52" s="71">
        <f t="shared" si="41"/>
        <v>5.1982776727099909E-2</v>
      </c>
      <c r="AM52" s="71">
        <f t="shared" si="48"/>
        <v>0</v>
      </c>
      <c r="AN52" s="188">
        <f t="shared" si="42"/>
        <v>0.22837333443852706</v>
      </c>
      <c r="AO52" s="74">
        <f t="shared" si="24"/>
        <v>0.28035611116562698</v>
      </c>
      <c r="AP52" s="73">
        <f t="shared" si="43"/>
        <v>9.4809496189767445E-2</v>
      </c>
      <c r="AQ52" s="206">
        <f t="shared" si="44"/>
        <v>0.1817182010303876</v>
      </c>
      <c r="AR52" s="206">
        <f t="shared" si="45"/>
        <v>4.7390927326794205</v>
      </c>
      <c r="AS52" s="71">
        <f t="shared" si="46"/>
        <v>0.24000000000000002</v>
      </c>
      <c r="AT52" s="74">
        <f t="shared" si="47"/>
        <v>3.6299999999999995E-5</v>
      </c>
      <c r="AU52" s="73">
        <f t="shared" si="26"/>
        <v>13.921066847962027</v>
      </c>
      <c r="AV52" s="71">
        <f t="shared" si="27"/>
        <v>96.3</v>
      </c>
      <c r="AW52" s="74">
        <f t="shared" si="28"/>
        <v>87.369867443612549</v>
      </c>
    </row>
    <row r="53" spans="17:49" x14ac:dyDescent="0.25">
      <c r="Q53">
        <v>46</v>
      </c>
      <c r="R53" s="73">
        <f t="shared" si="0"/>
        <v>53.5</v>
      </c>
      <c r="S53" s="71">
        <f t="shared" si="32"/>
        <v>1.84</v>
      </c>
      <c r="T53" s="71">
        <f t="shared" si="2"/>
        <v>11</v>
      </c>
      <c r="U53" s="74">
        <f t="shared" si="33"/>
        <v>8.9490909090909092</v>
      </c>
      <c r="V53" s="73">
        <f>IF(Variable_Management!$B$20=3,2,IF((S53*R53/T53)&lt;((T53*(1-(T53/R53)))/(2*Lm*Fsw)),1,2))</f>
        <v>2</v>
      </c>
      <c r="W53" s="71">
        <f t="shared" si="34"/>
        <v>0.79439252336448596</v>
      </c>
      <c r="X53" s="74">
        <f t="shared" si="35"/>
        <v>0.20560747663551404</v>
      </c>
      <c r="Y53" s="73">
        <f t="shared" si="36"/>
        <v>5.3282425347617979</v>
      </c>
      <c r="Z53" s="71">
        <f t="shared" si="30"/>
        <v>11.613212176471809</v>
      </c>
      <c r="AA53" s="71">
        <f t="shared" si="31"/>
        <v>9.0803125207750401</v>
      </c>
      <c r="AB53" s="71">
        <v>0</v>
      </c>
      <c r="AC53" s="71">
        <f t="shared" si="37"/>
        <v>0.18963977359237114</v>
      </c>
      <c r="AD53" s="74">
        <f t="shared" si="16"/>
        <v>0.18963977359237114</v>
      </c>
      <c r="AE53" s="73">
        <f t="shared" si="29"/>
        <v>7.1090909090909093</v>
      </c>
      <c r="AF53" s="71">
        <f t="shared" si="17"/>
        <v>8.0931645413385596</v>
      </c>
      <c r="AG53" s="71">
        <f t="shared" si="38"/>
        <v>0.20959779933817532</v>
      </c>
      <c r="AH53" s="71">
        <f t="shared" si="39"/>
        <v>8.1803264429635121</v>
      </c>
      <c r="AI53" s="74">
        <f t="shared" si="19"/>
        <v>8.3899242423016869</v>
      </c>
      <c r="AJ53" s="73">
        <f t="shared" si="20"/>
        <v>1.8400000000000003</v>
      </c>
      <c r="AK53" s="71">
        <f t="shared" si="40"/>
        <v>4.1173733352422861</v>
      </c>
      <c r="AL53" s="71">
        <f t="shared" si="41"/>
        <v>5.4248842181645399E-2</v>
      </c>
      <c r="AM53" s="71">
        <f t="shared" si="48"/>
        <v>0</v>
      </c>
      <c r="AN53" s="188">
        <f t="shared" si="42"/>
        <v>0.23226424352943617</v>
      </c>
      <c r="AO53" s="74">
        <f t="shared" si="24"/>
        <v>0.28651308571108158</v>
      </c>
      <c r="AP53" s="73">
        <f t="shared" si="43"/>
        <v>9.8942490569932748E-2</v>
      </c>
      <c r="AQ53" s="206">
        <f t="shared" si="44"/>
        <v>0.18963977359237114</v>
      </c>
      <c r="AR53" s="206">
        <f t="shared" si="45"/>
        <v>4.7390927326794205</v>
      </c>
      <c r="AS53" s="71">
        <f t="shared" si="46"/>
        <v>0.24000000000000002</v>
      </c>
      <c r="AT53" s="74">
        <f t="shared" si="47"/>
        <v>3.6299999999999995E-5</v>
      </c>
      <c r="AU53" s="73">
        <f t="shared" si="26"/>
        <v>14.133788398446862</v>
      </c>
      <c r="AV53" s="71">
        <f t="shared" si="27"/>
        <v>98.44</v>
      </c>
      <c r="AW53" s="74">
        <f t="shared" si="28"/>
        <v>87.444867406947935</v>
      </c>
    </row>
    <row r="54" spans="17:49" x14ac:dyDescent="0.25">
      <c r="Q54">
        <v>47</v>
      </c>
      <c r="R54" s="73">
        <f t="shared" si="0"/>
        <v>53.5</v>
      </c>
      <c r="S54" s="71">
        <f t="shared" si="32"/>
        <v>1.8800000000000001</v>
      </c>
      <c r="T54" s="71">
        <f t="shared" si="2"/>
        <v>11</v>
      </c>
      <c r="U54" s="74">
        <f t="shared" si="33"/>
        <v>9.1436363636363645</v>
      </c>
      <c r="V54" s="73">
        <f>IF(Variable_Management!$B$20=3,2,IF((S54*R54/T54)&lt;((T54*(1-(T54/R54)))/(2*Lm*Fsw)),1,2))</f>
        <v>2</v>
      </c>
      <c r="W54" s="71">
        <f t="shared" si="34"/>
        <v>0.79439252336448596</v>
      </c>
      <c r="X54" s="74">
        <f t="shared" si="35"/>
        <v>0.20560747663551404</v>
      </c>
      <c r="Y54" s="73">
        <f t="shared" si="36"/>
        <v>5.3282425347617979</v>
      </c>
      <c r="Z54" s="71">
        <f t="shared" si="30"/>
        <v>11.807757631017264</v>
      </c>
      <c r="AA54" s="71">
        <f t="shared" si="31"/>
        <v>9.2721051183743395</v>
      </c>
      <c r="AB54" s="71">
        <v>0</v>
      </c>
      <c r="AC54" s="71">
        <f t="shared" si="37"/>
        <v>0.1977354466502223</v>
      </c>
      <c r="AD54" s="74">
        <f t="shared" si="16"/>
        <v>0.1977354466502223</v>
      </c>
      <c r="AE54" s="73">
        <f t="shared" si="29"/>
        <v>7.2636363636363637</v>
      </c>
      <c r="AF54" s="71">
        <f t="shared" si="17"/>
        <v>8.2641067910277144</v>
      </c>
      <c r="AG54" s="71">
        <f t="shared" si="38"/>
        <v>0.21854547537123328</v>
      </c>
      <c r="AH54" s="71">
        <f t="shared" si="39"/>
        <v>8.3581596265061968</v>
      </c>
      <c r="AI54" s="74">
        <f t="shared" si="19"/>
        <v>8.5767051018774296</v>
      </c>
      <c r="AJ54" s="73">
        <f t="shared" si="20"/>
        <v>1.8800000000000003</v>
      </c>
      <c r="AK54" s="71">
        <f t="shared" si="40"/>
        <v>4.2043396952046201</v>
      </c>
      <c r="AL54" s="71">
        <f t="shared" si="41"/>
        <v>5.6564711272554496E-2</v>
      </c>
      <c r="AM54" s="71">
        <f t="shared" si="48"/>
        <v>0</v>
      </c>
      <c r="AN54" s="188">
        <f t="shared" si="42"/>
        <v>0.23615515262034528</v>
      </c>
      <c r="AO54" s="74">
        <f t="shared" si="24"/>
        <v>0.29271986389289978</v>
      </c>
      <c r="AP54" s="73">
        <f t="shared" si="43"/>
        <v>0.10316631999142033</v>
      </c>
      <c r="AQ54" s="206">
        <f t="shared" si="44"/>
        <v>0.1977354466502223</v>
      </c>
      <c r="AR54" s="206">
        <f t="shared" si="45"/>
        <v>4.7390927326794205</v>
      </c>
      <c r="AS54" s="71">
        <f t="shared" si="46"/>
        <v>0.24000000000000002</v>
      </c>
      <c r="AT54" s="74">
        <f t="shared" si="47"/>
        <v>3.6299999999999995E-5</v>
      </c>
      <c r="AU54" s="73">
        <f t="shared" si="26"/>
        <v>14.347191211741615</v>
      </c>
      <c r="AV54" s="71">
        <f t="shared" si="27"/>
        <v>100.58000000000001</v>
      </c>
      <c r="AW54" s="74">
        <f t="shared" si="28"/>
        <v>87.516277862121967</v>
      </c>
    </row>
    <row r="55" spans="17:49" x14ac:dyDescent="0.25">
      <c r="Q55">
        <v>48</v>
      </c>
      <c r="R55" s="73">
        <f t="shared" si="0"/>
        <v>53.5</v>
      </c>
      <c r="S55" s="71">
        <f t="shared" si="32"/>
        <v>1.92</v>
      </c>
      <c r="T55" s="71">
        <f t="shared" si="2"/>
        <v>11</v>
      </c>
      <c r="U55" s="74">
        <f t="shared" si="33"/>
        <v>9.3381818181818179</v>
      </c>
      <c r="V55" s="73">
        <f>IF(Variable_Management!$B$20=3,2,IF((S55*R55/T55)&lt;((T55*(1-(T55/R55)))/(2*Lm*Fsw)),1,2))</f>
        <v>2</v>
      </c>
      <c r="W55" s="71">
        <f t="shared" si="34"/>
        <v>0.79439252336448596</v>
      </c>
      <c r="X55" s="74">
        <f t="shared" si="35"/>
        <v>0.20560747663551404</v>
      </c>
      <c r="Y55" s="73">
        <f t="shared" si="36"/>
        <v>5.3282425347617979</v>
      </c>
      <c r="Z55" s="71">
        <f t="shared" si="30"/>
        <v>12.002303085562717</v>
      </c>
      <c r="AA55" s="71">
        <f t="shared" si="31"/>
        <v>9.4640100932528526</v>
      </c>
      <c r="AB55" s="71">
        <v>0</v>
      </c>
      <c r="AC55" s="71">
        <f t="shared" si="37"/>
        <v>0.2060052202039413</v>
      </c>
      <c r="AD55" s="74">
        <f t="shared" si="16"/>
        <v>0.2060052202039413</v>
      </c>
      <c r="AE55" s="73">
        <f t="shared" si="29"/>
        <v>7.418181818181818</v>
      </c>
      <c r="AF55" s="71">
        <f t="shared" si="17"/>
        <v>8.4351492011253644</v>
      </c>
      <c r="AG55" s="71">
        <f t="shared" si="38"/>
        <v>0.2276855745447868</v>
      </c>
      <c r="AH55" s="71">
        <f t="shared" si="39"/>
        <v>8.5359928100488798</v>
      </c>
      <c r="AI55" s="74">
        <f t="shared" si="19"/>
        <v>8.7636783845936659</v>
      </c>
      <c r="AJ55" s="73">
        <f t="shared" si="20"/>
        <v>1.9200000000000002</v>
      </c>
      <c r="AK55" s="71">
        <f t="shared" si="40"/>
        <v>4.2913570114762063</v>
      </c>
      <c r="AL55" s="71">
        <f t="shared" si="41"/>
        <v>5.8930383999827189E-2</v>
      </c>
      <c r="AM55" s="71">
        <f t="shared" si="48"/>
        <v>0</v>
      </c>
      <c r="AN55" s="188">
        <f t="shared" si="42"/>
        <v>0.24004606171125434</v>
      </c>
      <c r="AO55" s="74">
        <f t="shared" si="24"/>
        <v>0.29897644571108151</v>
      </c>
      <c r="AP55" s="73">
        <f t="shared" si="43"/>
        <v>0.10748098445423024</v>
      </c>
      <c r="AQ55" s="206">
        <f t="shared" si="44"/>
        <v>0.2060052202039413</v>
      </c>
      <c r="AR55" s="206">
        <f t="shared" si="45"/>
        <v>4.7390927326794205</v>
      </c>
      <c r="AS55" s="71">
        <f t="shared" si="46"/>
        <v>0.24000000000000002</v>
      </c>
      <c r="AT55" s="74">
        <f t="shared" si="47"/>
        <v>3.6299999999999995E-5</v>
      </c>
      <c r="AU55" s="73">
        <f t="shared" si="26"/>
        <v>14.56127528784628</v>
      </c>
      <c r="AV55" s="71">
        <f t="shared" si="27"/>
        <v>102.72</v>
      </c>
      <c r="AW55" s="74">
        <f t="shared" si="28"/>
        <v>87.584313649294671</v>
      </c>
    </row>
    <row r="56" spans="17:49" x14ac:dyDescent="0.25">
      <c r="Q56">
        <v>49</v>
      </c>
      <c r="R56" s="73">
        <f t="shared" si="0"/>
        <v>53.5</v>
      </c>
      <c r="S56" s="71">
        <f t="shared" si="32"/>
        <v>1.96</v>
      </c>
      <c r="T56" s="71">
        <f t="shared" si="2"/>
        <v>11</v>
      </c>
      <c r="U56" s="74">
        <f t="shared" si="33"/>
        <v>9.5327272727272732</v>
      </c>
      <c r="V56" s="73">
        <f>IF(Variable_Management!$B$20=3,2,IF((S56*R56/T56)&lt;((T56*(1-(T56/R56)))/(2*Lm*Fsw)),1,2))</f>
        <v>2</v>
      </c>
      <c r="W56" s="71">
        <f t="shared" si="34"/>
        <v>0.79439252336448596</v>
      </c>
      <c r="X56" s="74">
        <f t="shared" si="35"/>
        <v>0.20560747663551404</v>
      </c>
      <c r="Y56" s="73">
        <f t="shared" si="36"/>
        <v>5.3282425347617979</v>
      </c>
      <c r="Z56" s="71">
        <f t="shared" si="30"/>
        <v>12.196848540108173</v>
      </c>
      <c r="AA56" s="71">
        <f t="shared" si="31"/>
        <v>9.6560207452122189</v>
      </c>
      <c r="AB56" s="71">
        <v>0</v>
      </c>
      <c r="AC56" s="71">
        <f t="shared" si="37"/>
        <v>0.21444909425352809</v>
      </c>
      <c r="AD56" s="74">
        <f t="shared" si="16"/>
        <v>0.21444909425352809</v>
      </c>
      <c r="AE56" s="73">
        <f t="shared" si="29"/>
        <v>7.5727272727272732</v>
      </c>
      <c r="AF56" s="71">
        <f t="shared" si="17"/>
        <v>8.6062857998317952</v>
      </c>
      <c r="AG56" s="71">
        <f t="shared" si="38"/>
        <v>0.23701809685883651</v>
      </c>
      <c r="AH56" s="71">
        <f t="shared" si="39"/>
        <v>8.7138259935915663</v>
      </c>
      <c r="AI56" s="74">
        <f t="shared" si="19"/>
        <v>8.9508440904504027</v>
      </c>
      <c r="AJ56" s="73">
        <f t="shared" si="20"/>
        <v>1.9600000000000004</v>
      </c>
      <c r="AK56" s="71">
        <f t="shared" si="40"/>
        <v>4.3784222459217386</v>
      </c>
      <c r="AL56" s="71">
        <f t="shared" si="41"/>
        <v>6.134586036346356E-2</v>
      </c>
      <c r="AM56" s="71">
        <f t="shared" si="48"/>
        <v>0</v>
      </c>
      <c r="AN56" s="188">
        <f t="shared" si="42"/>
        <v>0.24393697080216345</v>
      </c>
      <c r="AO56" s="74">
        <f t="shared" si="24"/>
        <v>0.30528283116562699</v>
      </c>
      <c r="AP56" s="73">
        <f t="shared" si="43"/>
        <v>0.11188648395836247</v>
      </c>
      <c r="AQ56" s="206">
        <f t="shared" si="44"/>
        <v>0.21444909425352809</v>
      </c>
      <c r="AR56" s="206">
        <f t="shared" si="45"/>
        <v>4.7390927326794205</v>
      </c>
      <c r="AS56" s="71">
        <f t="shared" si="46"/>
        <v>0.24000000000000002</v>
      </c>
      <c r="AT56" s="74">
        <f t="shared" si="47"/>
        <v>3.6299999999999995E-5</v>
      </c>
      <c r="AU56" s="73">
        <f t="shared" si="26"/>
        <v>14.776040626760867</v>
      </c>
      <c r="AV56" s="71">
        <f t="shared" si="27"/>
        <v>104.86</v>
      </c>
      <c r="AW56" s="74">
        <f t="shared" si="28"/>
        <v>87.649172816694104</v>
      </c>
    </row>
    <row r="57" spans="17:49" x14ac:dyDescent="0.25">
      <c r="Q57">
        <v>50</v>
      </c>
      <c r="R57" s="73">
        <f t="shared" si="0"/>
        <v>53.5</v>
      </c>
      <c r="S57" s="71">
        <f t="shared" si="32"/>
        <v>2</v>
      </c>
      <c r="T57" s="71">
        <f t="shared" si="2"/>
        <v>11</v>
      </c>
      <c r="U57" s="74">
        <f t="shared" si="33"/>
        <v>9.7272727272727266</v>
      </c>
      <c r="V57" s="73">
        <f>IF(Variable_Management!$B$20=3,2,IF((S57*R57/T57)&lt;((T57*(1-(T57/R57)))/(2*Lm*Fsw)),1,2))</f>
        <v>2</v>
      </c>
      <c r="W57" s="71">
        <f t="shared" si="34"/>
        <v>0.79439252336448596</v>
      </c>
      <c r="X57" s="74">
        <f t="shared" si="35"/>
        <v>0.20560747663551404</v>
      </c>
      <c r="Y57" s="73">
        <f t="shared" si="36"/>
        <v>5.3282425347617979</v>
      </c>
      <c r="Z57" s="71">
        <f t="shared" si="30"/>
        <v>12.391393994653626</v>
      </c>
      <c r="AA57" s="71">
        <f t="shared" si="31"/>
        <v>9.8481308930433187</v>
      </c>
      <c r="AB57" s="71">
        <v>0</v>
      </c>
      <c r="AC57" s="71">
        <f t="shared" si="37"/>
        <v>0.22306706879898264</v>
      </c>
      <c r="AD57" s="74">
        <f t="shared" si="16"/>
        <v>0.22306706879898264</v>
      </c>
      <c r="AE57" s="73">
        <f t="shared" si="29"/>
        <v>7.7272727272727266</v>
      </c>
      <c r="AF57" s="71">
        <f t="shared" si="17"/>
        <v>8.7775110779156424</v>
      </c>
      <c r="AG57" s="71">
        <f t="shared" si="38"/>
        <v>0.24654304231338184</v>
      </c>
      <c r="AH57" s="71">
        <f t="shared" si="39"/>
        <v>8.891659177134251</v>
      </c>
      <c r="AI57" s="74">
        <f t="shared" si="19"/>
        <v>9.1382022194476331</v>
      </c>
      <c r="AJ57" s="73">
        <f t="shared" si="20"/>
        <v>2</v>
      </c>
      <c r="AK57" s="71">
        <f t="shared" si="40"/>
        <v>4.4655325957361862</v>
      </c>
      <c r="AL57" s="71">
        <f t="shared" si="41"/>
        <v>6.3811140363463553E-2</v>
      </c>
      <c r="AM57" s="71">
        <f t="shared" si="48"/>
        <v>0</v>
      </c>
      <c r="AN57" s="188">
        <f t="shared" si="42"/>
        <v>0.24782787989307253</v>
      </c>
      <c r="AO57" s="74">
        <f t="shared" si="24"/>
        <v>0.31163902025653611</v>
      </c>
      <c r="AP57" s="73">
        <f t="shared" si="43"/>
        <v>0.11638281850381701</v>
      </c>
      <c r="AQ57" s="206">
        <f t="shared" si="44"/>
        <v>0.22306706879898264</v>
      </c>
      <c r="AR57" s="206">
        <f t="shared" si="45"/>
        <v>4.7390927326794205</v>
      </c>
      <c r="AS57" s="71">
        <f t="shared" si="46"/>
        <v>0.24000000000000002</v>
      </c>
      <c r="AT57" s="74">
        <f t="shared" si="47"/>
        <v>3.6299999999999995E-5</v>
      </c>
      <c r="AU57" s="73">
        <f t="shared" si="26"/>
        <v>14.991487228485372</v>
      </c>
      <c r="AV57" s="71">
        <f t="shared" si="27"/>
        <v>107</v>
      </c>
      <c r="AW57" s="74">
        <f t="shared" si="28"/>
        <v>87.711038229735749</v>
      </c>
    </row>
    <row r="58" spans="17:49" x14ac:dyDescent="0.25">
      <c r="Q58">
        <v>51</v>
      </c>
      <c r="R58" s="73">
        <f t="shared" si="0"/>
        <v>53.5</v>
      </c>
      <c r="S58" s="71">
        <f t="shared" si="32"/>
        <v>2.04</v>
      </c>
      <c r="T58" s="71">
        <f t="shared" si="2"/>
        <v>11</v>
      </c>
      <c r="U58" s="74">
        <f t="shared" si="33"/>
        <v>9.9218181818181819</v>
      </c>
      <c r="V58" s="73">
        <f>IF(Variable_Management!$B$20=3,2,IF((S58*R58/T58)&lt;((T58*(1-(T58/R58)))/(2*Lm*Fsw)),1,2))</f>
        <v>2</v>
      </c>
      <c r="W58" s="71">
        <f t="shared" si="34"/>
        <v>0.79439252336448596</v>
      </c>
      <c r="X58" s="74">
        <f t="shared" si="35"/>
        <v>0.20560747663551404</v>
      </c>
      <c r="Y58" s="73">
        <f t="shared" si="36"/>
        <v>5.3282425347617979</v>
      </c>
      <c r="Z58" s="71">
        <f t="shared" si="30"/>
        <v>12.585939449199081</v>
      </c>
      <c r="AA58" s="71">
        <f t="shared" si="31"/>
        <v>10.04033482553387</v>
      </c>
      <c r="AB58" s="71">
        <v>0</v>
      </c>
      <c r="AC58" s="71">
        <f t="shared" si="37"/>
        <v>0.23185914384030498</v>
      </c>
      <c r="AD58" s="74">
        <f t="shared" si="16"/>
        <v>0.23185914384030498</v>
      </c>
      <c r="AE58" s="73">
        <f t="shared" si="29"/>
        <v>7.8818181818181818</v>
      </c>
      <c r="AF58" s="71">
        <f t="shared" si="17"/>
        <v>8.948819945047628</v>
      </c>
      <c r="AG58" s="71">
        <f t="shared" si="38"/>
        <v>0.25626041090842316</v>
      </c>
      <c r="AH58" s="71">
        <f t="shared" si="39"/>
        <v>9.0694923606769375</v>
      </c>
      <c r="AI58" s="74">
        <f t="shared" si="19"/>
        <v>9.3257527715853605</v>
      </c>
      <c r="AJ58" s="73">
        <f t="shared" si="20"/>
        <v>2.04</v>
      </c>
      <c r="AK58" s="71">
        <f t="shared" si="40"/>
        <v>4.5526854712297</v>
      </c>
      <c r="AL58" s="71">
        <f t="shared" si="41"/>
        <v>6.6326223999827183E-2</v>
      </c>
      <c r="AM58" s="71">
        <f t="shared" si="48"/>
        <v>0</v>
      </c>
      <c r="AN58" s="188">
        <f t="shared" si="42"/>
        <v>0.25171878898398165</v>
      </c>
      <c r="AO58" s="74">
        <f t="shared" si="24"/>
        <v>0.31804501298380883</v>
      </c>
      <c r="AP58" s="73">
        <f t="shared" si="43"/>
        <v>0.12096998809059389</v>
      </c>
      <c r="AQ58" s="206">
        <f t="shared" si="44"/>
        <v>0.23185914384030498</v>
      </c>
      <c r="AR58" s="206">
        <f t="shared" si="45"/>
        <v>4.7390927326794205</v>
      </c>
      <c r="AS58" s="71">
        <f t="shared" si="46"/>
        <v>0.24000000000000002</v>
      </c>
      <c r="AT58" s="74">
        <f t="shared" si="47"/>
        <v>3.6299999999999995E-5</v>
      </c>
      <c r="AU58" s="73">
        <f t="shared" si="26"/>
        <v>15.207615093019793</v>
      </c>
      <c r="AV58" s="71">
        <f t="shared" si="27"/>
        <v>109.14</v>
      </c>
      <c r="AW58" s="74">
        <f t="shared" si="28"/>
        <v>87.770078998585106</v>
      </c>
    </row>
    <row r="59" spans="17:49" x14ac:dyDescent="0.25">
      <c r="Q59">
        <v>52</v>
      </c>
      <c r="R59" s="73">
        <f t="shared" si="0"/>
        <v>53.5</v>
      </c>
      <c r="S59" s="71">
        <f t="shared" si="32"/>
        <v>2.08</v>
      </c>
      <c r="T59" s="71">
        <f t="shared" si="2"/>
        <v>11</v>
      </c>
      <c r="U59" s="74">
        <f t="shared" si="33"/>
        <v>10.116363636363637</v>
      </c>
      <c r="V59" s="73">
        <f>IF(Variable_Management!$B$20=3,2,IF((S59*R59/T59)&lt;((T59*(1-(T59/R59)))/(2*Lm*Fsw)),1,2))</f>
        <v>2</v>
      </c>
      <c r="W59" s="71">
        <f t="shared" si="34"/>
        <v>0.79439252336448596</v>
      </c>
      <c r="X59" s="74">
        <f t="shared" si="35"/>
        <v>0.20560747663551404</v>
      </c>
      <c r="Y59" s="73">
        <f t="shared" si="36"/>
        <v>5.3282425347617979</v>
      </c>
      <c r="Z59" s="71">
        <f t="shared" si="30"/>
        <v>12.780484903744536</v>
      </c>
      <c r="AA59" s="71">
        <f t="shared" si="31"/>
        <v>10.232627257889877</v>
      </c>
      <c r="AB59" s="71">
        <v>0</v>
      </c>
      <c r="AC59" s="71">
        <f t="shared" si="37"/>
        <v>0.2408253193774951</v>
      </c>
      <c r="AD59" s="74">
        <f t="shared" si="16"/>
        <v>0.2408253193774951</v>
      </c>
      <c r="AE59" s="73">
        <f t="shared" si="29"/>
        <v>8.036363636363637</v>
      </c>
      <c r="AF59" s="71">
        <f t="shared" si="17"/>
        <v>9.1202076909595462</v>
      </c>
      <c r="AG59" s="71">
        <f t="shared" si="38"/>
        <v>0.26617020264396052</v>
      </c>
      <c r="AH59" s="71">
        <f t="shared" si="39"/>
        <v>9.2473255442196223</v>
      </c>
      <c r="AI59" s="74">
        <f t="shared" si="19"/>
        <v>9.5134957468635832</v>
      </c>
      <c r="AJ59" s="73">
        <f t="shared" si="20"/>
        <v>2.0800000000000005</v>
      </c>
      <c r="AK59" s="71">
        <f t="shared" si="40"/>
        <v>4.6398784760673717</v>
      </c>
      <c r="AL59" s="71">
        <f t="shared" si="41"/>
        <v>6.8891111272554484E-2</v>
      </c>
      <c r="AM59" s="71">
        <f t="shared" si="48"/>
        <v>0</v>
      </c>
      <c r="AN59" s="188">
        <f t="shared" si="42"/>
        <v>0.25560969807489076</v>
      </c>
      <c r="AO59" s="74">
        <f t="shared" si="24"/>
        <v>0.32450080934744524</v>
      </c>
      <c r="AP59" s="73">
        <f t="shared" si="43"/>
        <v>0.12564799271869309</v>
      </c>
      <c r="AQ59" s="206">
        <f t="shared" si="44"/>
        <v>0.2408253193774951</v>
      </c>
      <c r="AR59" s="206">
        <f t="shared" si="45"/>
        <v>4.7390927326794205</v>
      </c>
      <c r="AS59" s="71">
        <f t="shared" si="46"/>
        <v>0.24000000000000002</v>
      </c>
      <c r="AT59" s="74">
        <f t="shared" si="47"/>
        <v>3.6299999999999995E-5</v>
      </c>
      <c r="AU59" s="73">
        <f t="shared" si="26"/>
        <v>15.424424220364131</v>
      </c>
      <c r="AV59" s="71">
        <f t="shared" si="27"/>
        <v>111.28</v>
      </c>
      <c r="AW59" s="74">
        <f t="shared" si="28"/>
        <v>87.826451747621689</v>
      </c>
    </row>
    <row r="60" spans="17:49" x14ac:dyDescent="0.25">
      <c r="Q60">
        <v>53</v>
      </c>
      <c r="R60" s="73">
        <f t="shared" si="0"/>
        <v>53.5</v>
      </c>
      <c r="S60" s="71">
        <f t="shared" si="32"/>
        <v>2.12</v>
      </c>
      <c r="T60" s="71">
        <f t="shared" si="2"/>
        <v>11</v>
      </c>
      <c r="U60" s="74">
        <f t="shared" si="33"/>
        <v>10.310909090909091</v>
      </c>
      <c r="V60" s="73">
        <f>IF(Variable_Management!$B$20=3,2,IF((S60*R60/T60)&lt;((T60*(1-(T60/R60)))/(2*Lm*Fsw)),1,2))</f>
        <v>2</v>
      </c>
      <c r="W60" s="71">
        <f t="shared" si="34"/>
        <v>0.79439252336448596</v>
      </c>
      <c r="X60" s="74">
        <f t="shared" si="35"/>
        <v>0.20560747663551404</v>
      </c>
      <c r="Y60" s="73">
        <f t="shared" si="36"/>
        <v>5.3282425347617979</v>
      </c>
      <c r="Z60" s="71">
        <f t="shared" si="30"/>
        <v>12.97503035828999</v>
      </c>
      <c r="AA60" s="71">
        <f t="shared" si="31"/>
        <v>10.42500329288975</v>
      </c>
      <c r="AB60" s="71">
        <v>0</v>
      </c>
      <c r="AC60" s="71">
        <f t="shared" si="37"/>
        <v>0.24996559541055291</v>
      </c>
      <c r="AD60" s="74">
        <f t="shared" si="16"/>
        <v>0.24996559541055291</v>
      </c>
      <c r="AE60" s="73">
        <f t="shared" si="29"/>
        <v>8.1909090909090896</v>
      </c>
      <c r="AF60" s="71">
        <f t="shared" si="17"/>
        <v>9.2916699508214329</v>
      </c>
      <c r="AG60" s="71">
        <f t="shared" si="38"/>
        <v>0.27627241751999349</v>
      </c>
      <c r="AH60" s="71">
        <f t="shared" si="39"/>
        <v>9.425158727762307</v>
      </c>
      <c r="AI60" s="74">
        <f t="shared" si="19"/>
        <v>9.7014311452823012</v>
      </c>
      <c r="AJ60" s="73">
        <f t="shared" si="20"/>
        <v>2.12</v>
      </c>
      <c r="AK60" s="71">
        <f t="shared" si="40"/>
        <v>4.7271093896549701</v>
      </c>
      <c r="AL60" s="71">
        <f t="shared" si="41"/>
        <v>7.15058021816454E-2</v>
      </c>
      <c r="AM60" s="71">
        <f t="shared" si="48"/>
        <v>0</v>
      </c>
      <c r="AN60" s="188">
        <f t="shared" si="42"/>
        <v>0.25950060716579981</v>
      </c>
      <c r="AO60" s="74">
        <f t="shared" si="24"/>
        <v>0.33100640934744519</v>
      </c>
      <c r="AP60" s="73">
        <f t="shared" si="43"/>
        <v>0.13041683238811455</v>
      </c>
      <c r="AQ60" s="206">
        <f t="shared" si="44"/>
        <v>0.24996559541055291</v>
      </c>
      <c r="AR60" s="206">
        <f t="shared" si="45"/>
        <v>4.7390927326794205</v>
      </c>
      <c r="AS60" s="71">
        <f t="shared" si="46"/>
        <v>0.24000000000000002</v>
      </c>
      <c r="AT60" s="74">
        <f t="shared" si="47"/>
        <v>3.6299999999999995E-5</v>
      </c>
      <c r="AU60" s="73">
        <f t="shared" si="26"/>
        <v>15.641914610518386</v>
      </c>
      <c r="AV60" s="71">
        <f t="shared" si="27"/>
        <v>113.42</v>
      </c>
      <c r="AW60" s="74">
        <f t="shared" si="28"/>
        <v>87.880301746861278</v>
      </c>
    </row>
    <row r="61" spans="17:49" x14ac:dyDescent="0.25">
      <c r="Q61">
        <v>54</v>
      </c>
      <c r="R61" s="73">
        <f t="shared" si="0"/>
        <v>53.5</v>
      </c>
      <c r="S61" s="71">
        <f t="shared" si="32"/>
        <v>2.16</v>
      </c>
      <c r="T61" s="71">
        <f t="shared" si="2"/>
        <v>11</v>
      </c>
      <c r="U61" s="74">
        <f t="shared" si="33"/>
        <v>10.505454545454546</v>
      </c>
      <c r="V61" s="73">
        <f>IF(Variable_Management!$B$20=3,2,IF((S61*R61/T61)&lt;((T61*(1-(T61/R61)))/(2*Lm*Fsw)),1,2))</f>
        <v>2</v>
      </c>
      <c r="W61" s="71">
        <f t="shared" si="34"/>
        <v>0.79439252336448596</v>
      </c>
      <c r="X61" s="74">
        <f t="shared" si="35"/>
        <v>0.20560747663551404</v>
      </c>
      <c r="Y61" s="73">
        <f t="shared" si="36"/>
        <v>5.3282425347617979</v>
      </c>
      <c r="Z61" s="71">
        <f t="shared" si="30"/>
        <v>13.169575812835445</v>
      </c>
      <c r="AA61" s="71">
        <f t="shared" si="31"/>
        <v>10.617458386185556</v>
      </c>
      <c r="AB61" s="71">
        <v>0</v>
      </c>
      <c r="AC61" s="71">
        <f t="shared" si="37"/>
        <v>0.25927997193947855</v>
      </c>
      <c r="AD61" s="74">
        <f t="shared" si="16"/>
        <v>0.25927997193947855</v>
      </c>
      <c r="AE61" s="73">
        <f t="shared" si="29"/>
        <v>8.3454545454545457</v>
      </c>
      <c r="AF61" s="71">
        <f t="shared" si="17"/>
        <v>9.4632026743150366</v>
      </c>
      <c r="AG61" s="71">
        <f t="shared" si="38"/>
        <v>0.28656705553652245</v>
      </c>
      <c r="AH61" s="71">
        <f t="shared" si="39"/>
        <v>9.6029919113049917</v>
      </c>
      <c r="AI61" s="74">
        <f t="shared" si="19"/>
        <v>9.8895589668415145</v>
      </c>
      <c r="AJ61" s="73">
        <f t="shared" si="20"/>
        <v>2.16</v>
      </c>
      <c r="AK61" s="71">
        <f t="shared" si="40"/>
        <v>4.8143761514051571</v>
      </c>
      <c r="AL61" s="71">
        <f t="shared" si="41"/>
        <v>7.4170296727099946E-2</v>
      </c>
      <c r="AM61" s="71">
        <f t="shared" si="48"/>
        <v>0</v>
      </c>
      <c r="AN61" s="188">
        <f t="shared" si="42"/>
        <v>0.26339151625670892</v>
      </c>
      <c r="AO61" s="74">
        <f t="shared" si="24"/>
        <v>0.33756181298380888</v>
      </c>
      <c r="AP61" s="73">
        <f t="shared" si="43"/>
        <v>0.13527650709885836</v>
      </c>
      <c r="AQ61" s="206">
        <f t="shared" si="44"/>
        <v>0.25927997193947855</v>
      </c>
      <c r="AR61" s="206">
        <f t="shared" si="45"/>
        <v>4.7390927326794205</v>
      </c>
      <c r="AS61" s="71">
        <f t="shared" si="46"/>
        <v>0.24000000000000002</v>
      </c>
      <c r="AT61" s="74">
        <f t="shared" si="47"/>
        <v>3.6299999999999995E-5</v>
      </c>
      <c r="AU61" s="73">
        <f t="shared" si="26"/>
        <v>15.860086263482561</v>
      </c>
      <c r="AV61" s="71">
        <f t="shared" si="27"/>
        <v>115.56</v>
      </c>
      <c r="AW61" s="74">
        <f t="shared" si="28"/>
        <v>87.931763922537016</v>
      </c>
    </row>
    <row r="62" spans="17:49" x14ac:dyDescent="0.25">
      <c r="Q62">
        <v>55</v>
      </c>
      <c r="R62" s="73">
        <f t="shared" si="0"/>
        <v>53.5</v>
      </c>
      <c r="S62" s="71">
        <f t="shared" si="32"/>
        <v>2.2000000000000002</v>
      </c>
      <c r="T62" s="71">
        <f t="shared" si="2"/>
        <v>11</v>
      </c>
      <c r="U62" s="74">
        <f t="shared" si="33"/>
        <v>10.700000000000001</v>
      </c>
      <c r="V62" s="73">
        <f>IF(Variable_Management!$B$20=3,2,IF((S62*R62/T62)&lt;((T62*(1-(T62/R62)))/(2*Lm*Fsw)),1,2))</f>
        <v>2</v>
      </c>
      <c r="W62" s="71">
        <f t="shared" si="34"/>
        <v>0.79439252336448596</v>
      </c>
      <c r="X62" s="74">
        <f t="shared" si="35"/>
        <v>0.20560747663551404</v>
      </c>
      <c r="Y62" s="73">
        <f t="shared" si="36"/>
        <v>5.3282425347617979</v>
      </c>
      <c r="Z62" s="71">
        <f t="shared" si="30"/>
        <v>13.3641212673809</v>
      </c>
      <c r="AA62" s="71">
        <f t="shared" si="31"/>
        <v>10.809988315246711</v>
      </c>
      <c r="AB62" s="71">
        <v>0</v>
      </c>
      <c r="AC62" s="71">
        <f t="shared" si="37"/>
        <v>0.26876844896427199</v>
      </c>
      <c r="AD62" s="74">
        <f t="shared" si="16"/>
        <v>0.26876844896427199</v>
      </c>
      <c r="AE62" s="73">
        <f t="shared" si="29"/>
        <v>8.5</v>
      </c>
      <c r="AF62" s="71">
        <f t="shared" si="17"/>
        <v>9.6348020979537257</v>
      </c>
      <c r="AG62" s="71">
        <f t="shared" si="38"/>
        <v>0.29705411669354725</v>
      </c>
      <c r="AH62" s="71">
        <f t="shared" si="39"/>
        <v>9.7808250948476765</v>
      </c>
      <c r="AI62" s="74">
        <f t="shared" si="19"/>
        <v>10.077879211541223</v>
      </c>
      <c r="AJ62" s="73">
        <f t="shared" si="20"/>
        <v>2.2000000000000006</v>
      </c>
      <c r="AK62" s="71">
        <f t="shared" si="40"/>
        <v>4.9016768466553273</v>
      </c>
      <c r="AL62" s="71">
        <f t="shared" si="41"/>
        <v>7.6884594908918122E-2</v>
      </c>
      <c r="AM62" s="71">
        <f t="shared" si="48"/>
        <v>0</v>
      </c>
      <c r="AN62" s="188">
        <f t="shared" si="42"/>
        <v>0.26728242534761804</v>
      </c>
      <c r="AO62" s="74">
        <f t="shared" si="24"/>
        <v>0.34416702025653617</v>
      </c>
      <c r="AP62" s="73">
        <f t="shared" si="43"/>
        <v>0.14022701685092451</v>
      </c>
      <c r="AQ62" s="206">
        <f t="shared" si="44"/>
        <v>0.26876844896427199</v>
      </c>
      <c r="AR62" s="206">
        <f t="shared" si="45"/>
        <v>4.7390927326794205</v>
      </c>
      <c r="AS62" s="71">
        <f t="shared" si="46"/>
        <v>0.24000000000000002</v>
      </c>
      <c r="AT62" s="74">
        <f t="shared" si="47"/>
        <v>3.6299999999999995E-5</v>
      </c>
      <c r="AU62" s="73">
        <f t="shared" si="26"/>
        <v>16.078939179256647</v>
      </c>
      <c r="AV62" s="71">
        <f t="shared" si="27"/>
        <v>117.7</v>
      </c>
      <c r="AW62" s="74">
        <f t="shared" si="28"/>
        <v>87.980963761633873</v>
      </c>
    </row>
    <row r="63" spans="17:49" x14ac:dyDescent="0.25">
      <c r="Q63">
        <v>56</v>
      </c>
      <c r="R63" s="73">
        <f t="shared" si="0"/>
        <v>53.5</v>
      </c>
      <c r="S63" s="71">
        <f t="shared" si="32"/>
        <v>2.2400000000000002</v>
      </c>
      <c r="T63" s="71">
        <f t="shared" si="2"/>
        <v>11</v>
      </c>
      <c r="U63" s="74">
        <f t="shared" si="33"/>
        <v>10.894545454545456</v>
      </c>
      <c r="V63" s="73">
        <f>IF(Variable_Management!$B$20=3,2,IF((S63*R63/T63)&lt;((T63*(1-(T63/R63)))/(2*Lm*Fsw)),1,2))</f>
        <v>2</v>
      </c>
      <c r="W63" s="71">
        <f t="shared" si="34"/>
        <v>0.79439252336448596</v>
      </c>
      <c r="X63" s="74">
        <f t="shared" si="35"/>
        <v>0.20560747663551404</v>
      </c>
      <c r="Y63" s="73">
        <f t="shared" si="36"/>
        <v>5.3282425347617979</v>
      </c>
      <c r="Z63" s="71">
        <f t="shared" si="30"/>
        <v>13.558666721926356</v>
      </c>
      <c r="AA63" s="71">
        <f t="shared" si="31"/>
        <v>11.002589151510087</v>
      </c>
      <c r="AB63" s="71">
        <v>0</v>
      </c>
      <c r="AC63" s="71">
        <f t="shared" si="37"/>
        <v>0.27843102648493312</v>
      </c>
      <c r="AD63" s="74">
        <f t="shared" si="16"/>
        <v>0.27843102648493312</v>
      </c>
      <c r="AE63" s="73">
        <f t="shared" si="29"/>
        <v>8.6545454545454561</v>
      </c>
      <c r="AF63" s="71">
        <f t="shared" si="17"/>
        <v>9.8064647202602391</v>
      </c>
      <c r="AG63" s="71">
        <f t="shared" si="38"/>
        <v>0.30773360099106795</v>
      </c>
      <c r="AH63" s="71">
        <f t="shared" si="39"/>
        <v>9.9586582783903648</v>
      </c>
      <c r="AI63" s="74">
        <f t="shared" si="19"/>
        <v>10.266391879381432</v>
      </c>
      <c r="AJ63" s="73">
        <f t="shared" si="20"/>
        <v>2.2400000000000007</v>
      </c>
      <c r="AK63" s="71">
        <f t="shared" si="40"/>
        <v>4.9890096940393622</v>
      </c>
      <c r="AL63" s="71">
        <f t="shared" si="41"/>
        <v>7.9648696727099941E-2</v>
      </c>
      <c r="AM63" s="71">
        <f t="shared" si="48"/>
        <v>0</v>
      </c>
      <c r="AN63" s="188">
        <f t="shared" si="42"/>
        <v>0.27117333443852715</v>
      </c>
      <c r="AO63" s="74">
        <f t="shared" si="24"/>
        <v>0.3508220311656271</v>
      </c>
      <c r="AP63" s="73">
        <f t="shared" si="43"/>
        <v>0.14526836164431292</v>
      </c>
      <c r="AQ63" s="206">
        <f t="shared" si="44"/>
        <v>0.27843102648493312</v>
      </c>
      <c r="AR63" s="206">
        <f t="shared" si="45"/>
        <v>4.7390927326794205</v>
      </c>
      <c r="AS63" s="71">
        <f t="shared" si="46"/>
        <v>0.24000000000000002</v>
      </c>
      <c r="AT63" s="74">
        <f t="shared" si="47"/>
        <v>3.6299999999999995E-5</v>
      </c>
      <c r="AU63" s="73">
        <f t="shared" si="26"/>
        <v>16.298473357840656</v>
      </c>
      <c r="AV63" s="71">
        <f t="shared" si="27"/>
        <v>119.84000000000002</v>
      </c>
      <c r="AW63" s="74">
        <f t="shared" si="28"/>
        <v>88.028018123135539</v>
      </c>
    </row>
    <row r="64" spans="17:49" x14ac:dyDescent="0.25">
      <c r="Q64">
        <v>57</v>
      </c>
      <c r="R64" s="73">
        <f t="shared" si="0"/>
        <v>53.5</v>
      </c>
      <c r="S64" s="71">
        <f t="shared" si="32"/>
        <v>2.2800000000000002</v>
      </c>
      <c r="T64" s="71">
        <f t="shared" si="2"/>
        <v>11</v>
      </c>
      <c r="U64" s="74">
        <f t="shared" si="33"/>
        <v>11.089090909090912</v>
      </c>
      <c r="V64" s="73">
        <f>IF(Variable_Management!$B$20=3,2,IF((S64*R64/T64)&lt;((T64*(1-(T64/R64)))/(2*Lm*Fsw)),1,2))</f>
        <v>2</v>
      </c>
      <c r="W64" s="71">
        <f t="shared" si="34"/>
        <v>0.79439252336448596</v>
      </c>
      <c r="X64" s="74">
        <f t="shared" si="35"/>
        <v>0.20560747663551404</v>
      </c>
      <c r="Y64" s="73">
        <f t="shared" si="36"/>
        <v>5.3282425347617979</v>
      </c>
      <c r="Z64" s="71">
        <f t="shared" si="30"/>
        <v>13.753212176471811</v>
      </c>
      <c r="AA64" s="71">
        <f t="shared" si="31"/>
        <v>11.195257235358779</v>
      </c>
      <c r="AB64" s="71">
        <v>0</v>
      </c>
      <c r="AC64" s="71">
        <f t="shared" si="37"/>
        <v>0.28826770450146211</v>
      </c>
      <c r="AD64" s="74">
        <f t="shared" si="16"/>
        <v>0.28826770450146211</v>
      </c>
      <c r="AE64" s="73">
        <f t="shared" si="29"/>
        <v>8.8090909090909104</v>
      </c>
      <c r="AF64" s="71">
        <f t="shared" si="17"/>
        <v>9.9781872794655904</v>
      </c>
      <c r="AG64" s="71">
        <f t="shared" si="38"/>
        <v>0.31860550842908458</v>
      </c>
      <c r="AH64" s="71">
        <f t="shared" si="39"/>
        <v>10.136491461933048</v>
      </c>
      <c r="AI64" s="74">
        <f t="shared" si="19"/>
        <v>10.455096970362133</v>
      </c>
      <c r="AJ64" s="73">
        <f t="shared" si="20"/>
        <v>2.2800000000000007</v>
      </c>
      <c r="AK64" s="71">
        <f t="shared" si="40"/>
        <v>5.076373034142013</v>
      </c>
      <c r="AL64" s="71">
        <f t="shared" si="41"/>
        <v>8.2462602181645403E-2</v>
      </c>
      <c r="AM64" s="71">
        <f t="shared" si="48"/>
        <v>0</v>
      </c>
      <c r="AN64" s="188">
        <f t="shared" si="42"/>
        <v>0.2750642435294362</v>
      </c>
      <c r="AO64" s="74">
        <f t="shared" si="24"/>
        <v>0.35752684571108162</v>
      </c>
      <c r="AP64" s="73">
        <f t="shared" si="43"/>
        <v>0.15040054147902371</v>
      </c>
      <c r="AQ64" s="206">
        <f t="shared" si="44"/>
        <v>0.28826770450146211</v>
      </c>
      <c r="AR64" s="206">
        <f t="shared" si="45"/>
        <v>4.7390927326794205</v>
      </c>
      <c r="AS64" s="71">
        <f t="shared" si="46"/>
        <v>0.24000000000000002</v>
      </c>
      <c r="AT64" s="74">
        <f t="shared" si="47"/>
        <v>3.6299999999999995E-5</v>
      </c>
      <c r="AU64" s="73">
        <f t="shared" si="26"/>
        <v>16.518688799234585</v>
      </c>
      <c r="AV64" s="71">
        <f t="shared" si="27"/>
        <v>121.98000000000002</v>
      </c>
      <c r="AW64" s="74">
        <f t="shared" si="28"/>
        <v>88.073035967019294</v>
      </c>
    </row>
    <row r="65" spans="17:49" x14ac:dyDescent="0.25">
      <c r="Q65">
        <v>58</v>
      </c>
      <c r="R65" s="73">
        <f t="shared" si="0"/>
        <v>53.5</v>
      </c>
      <c r="S65" s="71">
        <f t="shared" si="32"/>
        <v>2.3199999999999998</v>
      </c>
      <c r="T65" s="71">
        <f t="shared" si="2"/>
        <v>11</v>
      </c>
      <c r="U65" s="74">
        <f t="shared" si="33"/>
        <v>11.283636363636363</v>
      </c>
      <c r="V65" s="73">
        <f>IF(Variable_Management!$B$20=3,2,IF((S65*R65/T65)&lt;((T65*(1-(T65/R65)))/(2*Lm*Fsw)),1,2))</f>
        <v>2</v>
      </c>
      <c r="W65" s="71">
        <f t="shared" si="34"/>
        <v>0.79439252336448596</v>
      </c>
      <c r="X65" s="74">
        <f t="shared" si="35"/>
        <v>0.20560747663551404</v>
      </c>
      <c r="Y65" s="73">
        <f t="shared" si="36"/>
        <v>5.3282425347617979</v>
      </c>
      <c r="Z65" s="71">
        <f t="shared" si="30"/>
        <v>13.947757631017263</v>
      </c>
      <c r="AA65" s="71">
        <f t="shared" si="31"/>
        <v>11.38798915360158</v>
      </c>
      <c r="AB65" s="71">
        <v>0</v>
      </c>
      <c r="AC65" s="71">
        <f t="shared" si="37"/>
        <v>0.29827848301385862</v>
      </c>
      <c r="AD65" s="74">
        <f t="shared" si="16"/>
        <v>0.29827848301385862</v>
      </c>
      <c r="AE65" s="73">
        <f t="shared" si="29"/>
        <v>8.963636363636363</v>
      </c>
      <c r="AF65" s="71">
        <f t="shared" si="17"/>
        <v>10.149966733436814</v>
      </c>
      <c r="AG65" s="71">
        <f t="shared" si="38"/>
        <v>0.32966983900759678</v>
      </c>
      <c r="AH65" s="71">
        <f t="shared" si="39"/>
        <v>10.314324645475731</v>
      </c>
      <c r="AI65" s="74">
        <f t="shared" si="19"/>
        <v>10.643994484483327</v>
      </c>
      <c r="AJ65" s="73">
        <f t="shared" si="20"/>
        <v>2.3200000000000003</v>
      </c>
      <c r="AK65" s="71">
        <f t="shared" si="40"/>
        <v>5.1637653192872035</v>
      </c>
      <c r="AL65" s="71">
        <f t="shared" si="41"/>
        <v>8.5326311272554481E-2</v>
      </c>
      <c r="AM65" s="71">
        <f t="shared" si="48"/>
        <v>0</v>
      </c>
      <c r="AN65" s="188">
        <f t="shared" si="42"/>
        <v>0.27895515262034526</v>
      </c>
      <c r="AO65" s="74">
        <f t="shared" si="24"/>
        <v>0.36428146389289973</v>
      </c>
      <c r="AP65" s="73">
        <f t="shared" si="43"/>
        <v>0.15562355635505667</v>
      </c>
      <c r="AQ65" s="206">
        <f t="shared" si="44"/>
        <v>0.29827848301385862</v>
      </c>
      <c r="AR65" s="206">
        <f t="shared" si="45"/>
        <v>4.7390927326794205</v>
      </c>
      <c r="AS65" s="71">
        <f t="shared" si="46"/>
        <v>0.24000000000000002</v>
      </c>
      <c r="AT65" s="74">
        <f t="shared" si="47"/>
        <v>3.6299999999999995E-5</v>
      </c>
      <c r="AU65" s="73">
        <f t="shared" si="26"/>
        <v>16.73958550343842</v>
      </c>
      <c r="AV65" s="71">
        <f t="shared" si="27"/>
        <v>124.11999999999999</v>
      </c>
      <c r="AW65" s="74">
        <f t="shared" si="28"/>
        <v>88.116119010566166</v>
      </c>
    </row>
    <row r="66" spans="17:49" x14ac:dyDescent="0.25">
      <c r="Q66">
        <v>59</v>
      </c>
      <c r="R66" s="73">
        <f t="shared" si="0"/>
        <v>53.5</v>
      </c>
      <c r="S66" s="71">
        <f t="shared" si="32"/>
        <v>2.36</v>
      </c>
      <c r="T66" s="71">
        <f t="shared" si="2"/>
        <v>11</v>
      </c>
      <c r="U66" s="74">
        <f t="shared" si="33"/>
        <v>11.478181818181817</v>
      </c>
      <c r="V66" s="73">
        <f>IF(Variable_Management!$B$20=3,2,IF((S66*R66/T66)&lt;((T66*(1-(T66/R66)))/(2*Lm*Fsw)),1,2))</f>
        <v>2</v>
      </c>
      <c r="W66" s="71">
        <f t="shared" si="34"/>
        <v>0.79439252336448596</v>
      </c>
      <c r="X66" s="74">
        <f t="shared" si="35"/>
        <v>0.20560747663551404</v>
      </c>
      <c r="Y66" s="73">
        <f t="shared" si="36"/>
        <v>5.3282425347617979</v>
      </c>
      <c r="Z66" s="71">
        <f t="shared" si="30"/>
        <v>14.142303085562716</v>
      </c>
      <c r="AA66" s="71">
        <f t="shared" si="31"/>
        <v>11.580781719167755</v>
      </c>
      <c r="AB66" s="71">
        <v>0</v>
      </c>
      <c r="AC66" s="71">
        <f t="shared" si="37"/>
        <v>0.3084633620221231</v>
      </c>
      <c r="AD66" s="74">
        <f t="shared" si="16"/>
        <v>0.3084633620221231</v>
      </c>
      <c r="AE66" s="73">
        <f t="shared" si="29"/>
        <v>9.1181818181818173</v>
      </c>
      <c r="AF66" s="71">
        <f t="shared" si="17"/>
        <v>10.321800241579181</v>
      </c>
      <c r="AG66" s="71">
        <f t="shared" si="38"/>
        <v>0.34092659272660497</v>
      </c>
      <c r="AH66" s="71">
        <f t="shared" si="39"/>
        <v>10.492157829018415</v>
      </c>
      <c r="AI66" s="74">
        <f t="shared" si="19"/>
        <v>10.833084421745021</v>
      </c>
      <c r="AJ66" s="73">
        <f t="shared" si="20"/>
        <v>2.36</v>
      </c>
      <c r="AK66" s="71">
        <f t="shared" si="40"/>
        <v>5.2511851043308297</v>
      </c>
      <c r="AL66" s="71">
        <f t="shared" si="41"/>
        <v>8.8239823999827161E-2</v>
      </c>
      <c r="AM66" s="71">
        <f t="shared" si="48"/>
        <v>0</v>
      </c>
      <c r="AN66" s="188">
        <f t="shared" si="42"/>
        <v>0.28284606171125432</v>
      </c>
      <c r="AO66" s="74">
        <f t="shared" si="24"/>
        <v>0.37108588571108148</v>
      </c>
      <c r="AP66" s="73">
        <f t="shared" si="43"/>
        <v>0.16093740627241204</v>
      </c>
      <c r="AQ66" s="206">
        <f t="shared" si="44"/>
        <v>0.3084633620221231</v>
      </c>
      <c r="AR66" s="206">
        <f t="shared" si="45"/>
        <v>4.7390927326794205</v>
      </c>
      <c r="AS66" s="71">
        <f t="shared" si="46"/>
        <v>0.24000000000000002</v>
      </c>
      <c r="AT66" s="74">
        <f t="shared" si="47"/>
        <v>3.6299999999999995E-5</v>
      </c>
      <c r="AU66" s="73">
        <f t="shared" si="26"/>
        <v>16.961163470452181</v>
      </c>
      <c r="AV66" s="71">
        <f t="shared" si="27"/>
        <v>126.25999999999999</v>
      </c>
      <c r="AW66" s="74">
        <f t="shared" si="28"/>
        <v>88.157362320303008</v>
      </c>
    </row>
    <row r="67" spans="17:49" x14ac:dyDescent="0.25">
      <c r="Q67">
        <v>60</v>
      </c>
      <c r="R67" s="73">
        <f t="shared" si="0"/>
        <v>53.5</v>
      </c>
      <c r="S67" s="71">
        <f t="shared" si="32"/>
        <v>2.4</v>
      </c>
      <c r="T67" s="71">
        <f t="shared" si="2"/>
        <v>11</v>
      </c>
      <c r="U67" s="74">
        <f t="shared" si="33"/>
        <v>11.672727272727274</v>
      </c>
      <c r="V67" s="73">
        <f>IF(Variable_Management!$B$20=3,2,IF((S67*R67/T67)&lt;((T67*(1-(T67/R67)))/(2*Lm*Fsw)),1,2))</f>
        <v>2</v>
      </c>
      <c r="W67" s="71">
        <f t="shared" si="34"/>
        <v>0.79439252336448596</v>
      </c>
      <c r="X67" s="74">
        <f t="shared" si="35"/>
        <v>0.20560747663551404</v>
      </c>
      <c r="Y67" s="73">
        <f t="shared" si="36"/>
        <v>5.3282425347617979</v>
      </c>
      <c r="Z67" s="71">
        <f t="shared" si="30"/>
        <v>14.336848540108173</v>
      </c>
      <c r="AA67" s="71">
        <f t="shared" si="31"/>
        <v>11.773631952768081</v>
      </c>
      <c r="AB67" s="71">
        <v>0</v>
      </c>
      <c r="AC67" s="71">
        <f t="shared" si="37"/>
        <v>0.31882234152625555</v>
      </c>
      <c r="AD67" s="74">
        <f t="shared" si="16"/>
        <v>0.31882234152625555</v>
      </c>
      <c r="AE67" s="73">
        <f t="shared" si="29"/>
        <v>9.2727272727272734</v>
      </c>
      <c r="AF67" s="71">
        <f t="shared" si="17"/>
        <v>10.493685148490933</v>
      </c>
      <c r="AG67" s="71">
        <f t="shared" si="38"/>
        <v>0.35237576958610939</v>
      </c>
      <c r="AH67" s="71">
        <f t="shared" si="39"/>
        <v>10.669991012561102</v>
      </c>
      <c r="AI67" s="74">
        <f t="shared" si="19"/>
        <v>11.022366782147211</v>
      </c>
      <c r="AJ67" s="73">
        <f t="shared" si="20"/>
        <v>2.4000000000000004</v>
      </c>
      <c r="AK67" s="71">
        <f t="shared" si="40"/>
        <v>5.3386310383451647</v>
      </c>
      <c r="AL67" s="71">
        <f t="shared" si="41"/>
        <v>9.1203140363463595E-2</v>
      </c>
      <c r="AM67" s="71">
        <f t="shared" si="48"/>
        <v>0</v>
      </c>
      <c r="AN67" s="188">
        <f t="shared" si="42"/>
        <v>0.28673697080216348</v>
      </c>
      <c r="AO67" s="74">
        <f t="shared" si="24"/>
        <v>0.37794011116562709</v>
      </c>
      <c r="AP67" s="73">
        <f t="shared" si="43"/>
        <v>0.16634209123108984</v>
      </c>
      <c r="AQ67" s="206">
        <f t="shared" si="44"/>
        <v>0.31882234152625555</v>
      </c>
      <c r="AR67" s="206">
        <f t="shared" si="45"/>
        <v>4.7390927326794205</v>
      </c>
      <c r="AS67" s="71">
        <f t="shared" si="46"/>
        <v>0.24000000000000002</v>
      </c>
      <c r="AT67" s="74">
        <f t="shared" si="47"/>
        <v>3.6299999999999995E-5</v>
      </c>
      <c r="AU67" s="73">
        <f t="shared" si="26"/>
        <v>17.183422700275859</v>
      </c>
      <c r="AV67" s="71">
        <f t="shared" si="27"/>
        <v>128.4</v>
      </c>
      <c r="AW67" s="74">
        <f t="shared" si="28"/>
        <v>88.196854846823641</v>
      </c>
    </row>
    <row r="68" spans="17:49" x14ac:dyDescent="0.25">
      <c r="Q68">
        <v>61</v>
      </c>
      <c r="R68" s="73">
        <f t="shared" si="0"/>
        <v>53.5</v>
      </c>
      <c r="S68" s="71">
        <f t="shared" si="32"/>
        <v>2.44</v>
      </c>
      <c r="T68" s="71">
        <f t="shared" si="2"/>
        <v>11</v>
      </c>
      <c r="U68" s="74">
        <f t="shared" si="33"/>
        <v>11.867272727272727</v>
      </c>
      <c r="V68" s="73">
        <f>IF(Variable_Management!$B$20=3,2,IF((S68*R68/T68)&lt;((T68*(1-(T68/R68)))/(2*Lm*Fsw)),1,2))</f>
        <v>2</v>
      </c>
      <c r="W68" s="71">
        <f t="shared" si="34"/>
        <v>0.79439252336448596</v>
      </c>
      <c r="X68" s="74">
        <f t="shared" si="35"/>
        <v>0.20560747663551404</v>
      </c>
      <c r="Y68" s="73">
        <f t="shared" si="36"/>
        <v>5.3282425347617979</v>
      </c>
      <c r="Z68" s="71">
        <f t="shared" si="30"/>
        <v>14.531393994653627</v>
      </c>
      <c r="AA68" s="71">
        <f t="shared" si="31"/>
        <v>11.966537066304584</v>
      </c>
      <c r="AB68" s="71">
        <v>0</v>
      </c>
      <c r="AC68" s="71">
        <f t="shared" si="37"/>
        <v>0.32935542152625552</v>
      </c>
      <c r="AD68" s="74">
        <f t="shared" si="16"/>
        <v>0.32935542152625552</v>
      </c>
      <c r="AE68" s="73">
        <f t="shared" si="29"/>
        <v>9.4272727272727277</v>
      </c>
      <c r="AF68" s="71">
        <f t="shared" si="17"/>
        <v>10.665618969176572</v>
      </c>
      <c r="AG68" s="71">
        <f t="shared" si="38"/>
        <v>0.3640173695861092</v>
      </c>
      <c r="AH68" s="71">
        <f t="shared" si="39"/>
        <v>10.847824196103785</v>
      </c>
      <c r="AI68" s="74">
        <f t="shared" si="19"/>
        <v>11.211841565689895</v>
      </c>
      <c r="AJ68" s="73">
        <f t="shared" si="20"/>
        <v>2.4400000000000004</v>
      </c>
      <c r="AK68" s="71">
        <f t="shared" si="40"/>
        <v>5.4261018570961577</v>
      </c>
      <c r="AL68" s="71">
        <f t="shared" si="41"/>
        <v>9.4216260363463589E-2</v>
      </c>
      <c r="AM68" s="71">
        <f t="shared" si="48"/>
        <v>0</v>
      </c>
      <c r="AN68" s="188">
        <f t="shared" si="42"/>
        <v>0.29062787989307254</v>
      </c>
      <c r="AO68" s="74">
        <f t="shared" si="24"/>
        <v>0.38484414025653613</v>
      </c>
      <c r="AP68" s="73">
        <f t="shared" si="43"/>
        <v>0.17183761123108982</v>
      </c>
      <c r="AQ68" s="206">
        <f t="shared" si="44"/>
        <v>0.32935542152625552</v>
      </c>
      <c r="AR68" s="206">
        <f t="shared" si="45"/>
        <v>4.7390927326794205</v>
      </c>
      <c r="AS68" s="71">
        <f t="shared" si="46"/>
        <v>0.24000000000000002</v>
      </c>
      <c r="AT68" s="74">
        <f t="shared" si="47"/>
        <v>3.6299999999999995E-5</v>
      </c>
      <c r="AU68" s="73">
        <f t="shared" si="26"/>
        <v>17.406363192909453</v>
      </c>
      <c r="AV68" s="71">
        <f t="shared" si="27"/>
        <v>130.54</v>
      </c>
      <c r="AW68" s="74">
        <f t="shared" si="28"/>
        <v>88.234679908817341</v>
      </c>
    </row>
    <row r="69" spans="17:49" x14ac:dyDescent="0.25">
      <c r="Q69">
        <v>62</v>
      </c>
      <c r="R69" s="73">
        <f t="shared" si="0"/>
        <v>53.5</v>
      </c>
      <c r="S69" s="71">
        <f t="shared" si="32"/>
        <v>2.48</v>
      </c>
      <c r="T69" s="71">
        <f t="shared" si="2"/>
        <v>11</v>
      </c>
      <c r="U69" s="74">
        <f t="shared" si="33"/>
        <v>12.061818181818182</v>
      </c>
      <c r="V69" s="73">
        <f>IF(Variable_Management!$B$20=3,2,IF((S69*R69/T69)&lt;((T69*(1-(T69/R69)))/(2*Lm*Fsw)),1,2))</f>
        <v>2</v>
      </c>
      <c r="W69" s="71">
        <f t="shared" si="34"/>
        <v>0.79439252336448596</v>
      </c>
      <c r="X69" s="74">
        <f t="shared" si="35"/>
        <v>0.20560747663551404</v>
      </c>
      <c r="Y69" s="73">
        <f t="shared" si="36"/>
        <v>5.3282425347617979</v>
      </c>
      <c r="Z69" s="71">
        <f t="shared" si="30"/>
        <v>14.725939449199082</v>
      </c>
      <c r="AA69" s="71">
        <f t="shared" si="31"/>
        <v>12.159494447838286</v>
      </c>
      <c r="AB69" s="71">
        <v>0</v>
      </c>
      <c r="AC69" s="71">
        <f t="shared" si="37"/>
        <v>0.34006260202212324</v>
      </c>
      <c r="AD69" s="74">
        <f t="shared" si="16"/>
        <v>0.34006260202212324</v>
      </c>
      <c r="AE69" s="73">
        <f t="shared" si="29"/>
        <v>9.581818181818182</v>
      </c>
      <c r="AF69" s="71">
        <f t="shared" si="17"/>
        <v>10.837599375648837</v>
      </c>
      <c r="AG69" s="71">
        <f t="shared" si="38"/>
        <v>0.37585139272660506</v>
      </c>
      <c r="AH69" s="71">
        <f t="shared" si="39"/>
        <v>11.025657379646471</v>
      </c>
      <c r="AI69" s="74">
        <f t="shared" si="19"/>
        <v>11.401508772373077</v>
      </c>
      <c r="AJ69" s="73">
        <f t="shared" si="20"/>
        <v>2.4800000000000004</v>
      </c>
      <c r="AK69" s="71">
        <f t="shared" si="40"/>
        <v>5.513596376227226</v>
      </c>
      <c r="AL69" s="71">
        <f t="shared" si="41"/>
        <v>9.7279183999827198E-2</v>
      </c>
      <c r="AM69" s="71">
        <f t="shared" si="48"/>
        <v>0</v>
      </c>
      <c r="AN69" s="188">
        <f t="shared" si="42"/>
        <v>0.29451878898398165</v>
      </c>
      <c r="AO69" s="74">
        <f t="shared" si="24"/>
        <v>0.39179797298380886</v>
      </c>
      <c r="AP69" s="73">
        <f t="shared" si="43"/>
        <v>0.17742396627241211</v>
      </c>
      <c r="AQ69" s="206">
        <f t="shared" si="44"/>
        <v>0.34006260202212324</v>
      </c>
      <c r="AR69" s="206">
        <f t="shared" si="45"/>
        <v>4.7390927326794205</v>
      </c>
      <c r="AS69" s="71">
        <f t="shared" si="46"/>
        <v>0.24000000000000002</v>
      </c>
      <c r="AT69" s="74">
        <f t="shared" si="47"/>
        <v>3.6299999999999995E-5</v>
      </c>
      <c r="AU69" s="73">
        <f t="shared" si="26"/>
        <v>17.629984948352963</v>
      </c>
      <c r="AV69" s="71">
        <f t="shared" si="27"/>
        <v>132.68</v>
      </c>
      <c r="AW69" s="74">
        <f t="shared" si="28"/>
        <v>88.270915631845298</v>
      </c>
    </row>
    <row r="70" spans="17:49" x14ac:dyDescent="0.25">
      <c r="Q70">
        <v>63</v>
      </c>
      <c r="R70" s="73">
        <f t="shared" si="0"/>
        <v>53.5</v>
      </c>
      <c r="S70" s="71">
        <f t="shared" si="32"/>
        <v>2.52</v>
      </c>
      <c r="T70" s="71">
        <f t="shared" si="2"/>
        <v>11</v>
      </c>
      <c r="U70" s="74">
        <f t="shared" si="33"/>
        <v>12.256363636363636</v>
      </c>
      <c r="V70" s="73">
        <f>IF(Variable_Management!$B$20=3,2,IF((S70*R70/T70)&lt;((T70*(1-(T70/R70)))/(2*Lm*Fsw)),1,2))</f>
        <v>2</v>
      </c>
      <c r="W70" s="71">
        <f t="shared" si="34"/>
        <v>0.79439252336448596</v>
      </c>
      <c r="X70" s="74">
        <f t="shared" si="35"/>
        <v>0.20560747663551404</v>
      </c>
      <c r="Y70" s="73">
        <f t="shared" si="36"/>
        <v>5.3282425347617979</v>
      </c>
      <c r="Z70" s="71">
        <f t="shared" si="30"/>
        <v>14.920484903744535</v>
      </c>
      <c r="AA70" s="71">
        <f t="shared" si="31"/>
        <v>12.352501647947562</v>
      </c>
      <c r="AB70" s="71">
        <v>0</v>
      </c>
      <c r="AC70" s="71">
        <f t="shared" si="37"/>
        <v>0.3509438830138587</v>
      </c>
      <c r="AD70" s="74">
        <f t="shared" si="16"/>
        <v>0.3509438830138587</v>
      </c>
      <c r="AE70" s="73">
        <f t="shared" si="29"/>
        <v>9.7363636363636363</v>
      </c>
      <c r="AF70" s="71">
        <f t="shared" si="17"/>
        <v>11.009624184770068</v>
      </c>
      <c r="AG70" s="71">
        <f t="shared" si="38"/>
        <v>0.38787783900759681</v>
      </c>
      <c r="AH70" s="71">
        <f t="shared" si="39"/>
        <v>11.203490563189158</v>
      </c>
      <c r="AI70" s="74">
        <f t="shared" si="19"/>
        <v>11.591368402196755</v>
      </c>
      <c r="AJ70" s="73">
        <f t="shared" si="20"/>
        <v>2.52</v>
      </c>
      <c r="AK70" s="71">
        <f t="shared" si="40"/>
        <v>5.6011134850735944</v>
      </c>
      <c r="AL70" s="71">
        <f t="shared" si="41"/>
        <v>0.10039191127255447</v>
      </c>
      <c r="AM70" s="71">
        <f t="shared" si="48"/>
        <v>0</v>
      </c>
      <c r="AN70" s="188">
        <f t="shared" si="42"/>
        <v>0.29840969807489071</v>
      </c>
      <c r="AO70" s="74">
        <f t="shared" si="24"/>
        <v>0.39880160934744519</v>
      </c>
      <c r="AP70" s="73">
        <f t="shared" si="43"/>
        <v>0.18310115635505669</v>
      </c>
      <c r="AQ70" s="206">
        <f t="shared" si="44"/>
        <v>0.3509438830138587</v>
      </c>
      <c r="AR70" s="206">
        <f t="shared" si="45"/>
        <v>4.7390927326794205</v>
      </c>
      <c r="AS70" s="71">
        <f t="shared" si="46"/>
        <v>0.24000000000000002</v>
      </c>
      <c r="AT70" s="74">
        <f t="shared" si="47"/>
        <v>3.6299999999999995E-5</v>
      </c>
      <c r="AU70" s="73">
        <f t="shared" si="26"/>
        <v>17.854287966606393</v>
      </c>
      <c r="AV70" s="71">
        <f t="shared" si="27"/>
        <v>134.82</v>
      </c>
      <c r="AW70" s="74">
        <f t="shared" si="28"/>
        <v>88.305635346724813</v>
      </c>
    </row>
    <row r="71" spans="17:49" x14ac:dyDescent="0.25">
      <c r="Q71">
        <v>64</v>
      </c>
      <c r="R71" s="73">
        <f t="shared" ref="R71:R134" si="49">VOUT</f>
        <v>53.5</v>
      </c>
      <c r="S71" s="71">
        <f t="shared" ref="S71:S102" si="50">Q71*$O$12</f>
        <v>2.56</v>
      </c>
      <c r="T71" s="71">
        <f t="shared" ref="T71:T134" si="51">VIN_var</f>
        <v>11</v>
      </c>
      <c r="U71" s="74">
        <f t="shared" ref="U71:U102" si="52">(R71*S71)/(T71*EFF_est)</f>
        <v>12.450909090909091</v>
      </c>
      <c r="V71" s="73">
        <f>IF(Variable_Management!$B$20=3,2,IF((S71*R71/T71)&lt;((T71*(1-(T71/R71)))/(2*Lm*Fsw)),1,2))</f>
        <v>2</v>
      </c>
      <c r="W71" s="71">
        <f t="shared" ref="W71:W102" si="53">CHOOSE(V71,SQRT((2*S71*Lm*Fsw*(R71-T71))/((T71)^2)),1-(T71/R71))</f>
        <v>0.79439252336448596</v>
      </c>
      <c r="X71" s="74">
        <f t="shared" ref="X71:X102" si="54">CHOOSE(V71,(Lm*Z71*Fsw)/(R71-T71),1-W71)</f>
        <v>0.20560747663551404</v>
      </c>
      <c r="Y71" s="73">
        <f t="shared" ref="Y71:Y102" si="55">(T71*W71)/(Lm*Fsw)</f>
        <v>5.3282425347617979</v>
      </c>
      <c r="Z71" s="71">
        <f t="shared" si="30"/>
        <v>15.115030358289991</v>
      </c>
      <c r="AA71" s="71">
        <f t="shared" si="31"/>
        <v>12.545556367329951</v>
      </c>
      <c r="AB71" s="71">
        <v>0</v>
      </c>
      <c r="AC71" s="71">
        <f t="shared" ref="AC71:AC102" si="56">(AA71^2)*Rdcr</f>
        <v>0.36199926450146208</v>
      </c>
      <c r="AD71" s="74">
        <f t="shared" si="16"/>
        <v>0.36199926450146208</v>
      </c>
      <c r="AE71" s="73">
        <f t="shared" si="29"/>
        <v>9.8909090909090907</v>
      </c>
      <c r="AF71" s="71">
        <f t="shared" si="17"/>
        <v>11.181691347201856</v>
      </c>
      <c r="AG71" s="71">
        <f t="shared" ref="AG71:AG102" si="57">(AF71^2)*RDS_on</f>
        <v>0.40009670842908435</v>
      </c>
      <c r="AH71" s="71">
        <f t="shared" ref="AH71:AH102" si="58">((R71*U71)/2)*Fsw*(tr_sw+tf_sw)</f>
        <v>11.381323746731841</v>
      </c>
      <c r="AI71" s="74">
        <f t="shared" si="19"/>
        <v>11.781420455160925</v>
      </c>
      <c r="AJ71" s="73">
        <f t="shared" si="20"/>
        <v>2.5600000000000005</v>
      </c>
      <c r="AK71" s="71">
        <f t="shared" ref="AK71:AK102" si="59">CHOOSE(V71,Z71*SQRT(X71/3),SQRT(X71*((Z71^2)+((Y71^2)/3)-(Y71*Z71))))</f>
        <v>5.6886521410404578</v>
      </c>
      <c r="AL71" s="71">
        <f t="shared" ref="AL71:AL102" si="60">(AK71^2)*RDS_on_HS</f>
        <v>0.10355444218164539</v>
      </c>
      <c r="AM71" s="71">
        <f t="shared" si="48"/>
        <v>0</v>
      </c>
      <c r="AN71" s="188">
        <f t="shared" ref="AN71:AN102" si="61">Vd_rect*t_dead*Fsw*Z71</f>
        <v>0.30230060716579982</v>
      </c>
      <c r="AO71" s="74">
        <f t="shared" si="24"/>
        <v>0.40585504934744521</v>
      </c>
      <c r="AP71" s="73">
        <f t="shared" ref="AP71:AP102" si="62">(AA71^2)*R_cs</f>
        <v>0.18886918147902368</v>
      </c>
      <c r="AQ71" s="206">
        <f t="shared" ref="AQ71:AQ102" si="63">Rdcr*AA71^2</f>
        <v>0.36199926450146208</v>
      </c>
      <c r="AR71" s="206">
        <f t="shared" ref="AR71:AR102" si="64">ABS(7.759*10^-3*Fsw^0.9458*(0.00787*Y71)^2.304)</f>
        <v>4.7390927326794205</v>
      </c>
      <c r="AS71" s="71">
        <f t="shared" ref="AS71:AS102" si="65">(Qg_tot+Qg_tot_HS)*Vcc*Fsw</f>
        <v>0.24000000000000002</v>
      </c>
      <c r="AT71" s="74">
        <f t="shared" ref="AT71:AT102" si="66">IQ*T71</f>
        <v>3.6299999999999995E-5</v>
      </c>
      <c r="AU71" s="73">
        <f t="shared" si="26"/>
        <v>18.079272247669735</v>
      </c>
      <c r="AV71" s="71">
        <f t="shared" si="27"/>
        <v>136.96</v>
      </c>
      <c r="AW71" s="74">
        <f t="shared" si="28"/>
        <v>88.338907951793828</v>
      </c>
    </row>
    <row r="72" spans="17:49" x14ac:dyDescent="0.25">
      <c r="Q72">
        <v>65</v>
      </c>
      <c r="R72" s="73">
        <f t="shared" si="49"/>
        <v>53.5</v>
      </c>
      <c r="S72" s="71">
        <f t="shared" si="50"/>
        <v>2.6</v>
      </c>
      <c r="T72" s="71">
        <f t="shared" si="51"/>
        <v>11</v>
      </c>
      <c r="U72" s="74">
        <f t="shared" si="52"/>
        <v>12.645454545454545</v>
      </c>
      <c r="V72" s="73">
        <f>IF(Variable_Management!$B$20=3,2,IF((S72*R72/T72)&lt;((T72*(1-(T72/R72)))/(2*Lm*Fsw)),1,2))</f>
        <v>2</v>
      </c>
      <c r="W72" s="71">
        <f t="shared" si="53"/>
        <v>0.79439252336448596</v>
      </c>
      <c r="X72" s="74">
        <f t="shared" si="54"/>
        <v>0.20560747663551404</v>
      </c>
      <c r="Y72" s="73">
        <f t="shared" si="55"/>
        <v>5.3282425347617979</v>
      </c>
      <c r="Z72" s="71">
        <f t="shared" si="30"/>
        <v>15.309575812835444</v>
      </c>
      <c r="AA72" s="71">
        <f t="shared" si="31"/>
        <v>12.738656445517613</v>
      </c>
      <c r="AB72" s="71">
        <v>0</v>
      </c>
      <c r="AC72" s="71">
        <f t="shared" si="56"/>
        <v>0.37322874648493304</v>
      </c>
      <c r="AD72" s="74">
        <f t="shared" ref="AD72:AD135" si="67">AB72+AC72</f>
        <v>0.37322874648493304</v>
      </c>
      <c r="AE72" s="73">
        <f t="shared" si="29"/>
        <v>10.045454545454545</v>
      </c>
      <c r="AF72" s="71">
        <f t="shared" ref="AF72:AF135" si="68">CHOOSE(V72,Z72*SQRT(W72/3),SQRT(W72*((Z72^2)+((Y72^2)/3)-(Z72*Y72))))</f>
        <v>11.353798937347301</v>
      </c>
      <c r="AG72" s="71">
        <f t="shared" si="57"/>
        <v>0.41250800099106794</v>
      </c>
      <c r="AH72" s="71">
        <f t="shared" si="58"/>
        <v>11.559156930274526</v>
      </c>
      <c r="AI72" s="74">
        <f t="shared" ref="AI72:AI135" si="69">AG72+AH72</f>
        <v>11.971664931265593</v>
      </c>
      <c r="AJ72" s="73">
        <f t="shared" ref="AJ72:AJ135" si="70">X72*U72</f>
        <v>2.6</v>
      </c>
      <c r="AK72" s="71">
        <f t="shared" si="59"/>
        <v>5.776211364486131</v>
      </c>
      <c r="AL72" s="71">
        <f t="shared" si="60"/>
        <v>0.10676677672709994</v>
      </c>
      <c r="AM72" s="71">
        <f t="shared" ref="AM72:AM103" si="71">CHOOSE(V72,(R72+Vd_rect)*Qrr*Fsw,(R72+Vd_rect)*Qrr*Fsw)</f>
        <v>0</v>
      </c>
      <c r="AN72" s="188">
        <f t="shared" si="61"/>
        <v>0.30619151625670887</v>
      </c>
      <c r="AO72" s="74">
        <f t="shared" ref="AO72:AO135" si="72">AL72+AM72+AN72</f>
        <v>0.41295829298380882</v>
      </c>
      <c r="AP72" s="73">
        <f t="shared" si="62"/>
        <v>0.1947280416443129</v>
      </c>
      <c r="AQ72" s="206">
        <f t="shared" si="63"/>
        <v>0.37322874648493304</v>
      </c>
      <c r="AR72" s="206">
        <f t="shared" si="64"/>
        <v>4.7390927326794205</v>
      </c>
      <c r="AS72" s="71">
        <f t="shared" si="65"/>
        <v>0.24000000000000002</v>
      </c>
      <c r="AT72" s="74">
        <f t="shared" si="66"/>
        <v>3.6299999999999995E-5</v>
      </c>
      <c r="AU72" s="73">
        <f t="shared" ref="AU72:AU135" si="73">AP72+AO72+AI72+AD72+AS72+AT72+AQ72+AR72</f>
        <v>18.304937791543004</v>
      </c>
      <c r="AV72" s="71">
        <f t="shared" ref="AV72:AV135" si="74">R72*S72</f>
        <v>139.1</v>
      </c>
      <c r="AW72" s="74">
        <f t="shared" ref="AW72:AW135" si="75">(AV72/(AV72+AU72))*100</f>
        <v>88.37079824281949</v>
      </c>
    </row>
    <row r="73" spans="17:49" x14ac:dyDescent="0.25">
      <c r="Q73">
        <v>66</v>
      </c>
      <c r="R73" s="73">
        <f t="shared" si="49"/>
        <v>53.5</v>
      </c>
      <c r="S73" s="71">
        <f t="shared" si="50"/>
        <v>2.64</v>
      </c>
      <c r="T73" s="71">
        <f t="shared" si="51"/>
        <v>11</v>
      </c>
      <c r="U73" s="74">
        <f t="shared" si="52"/>
        <v>12.840000000000002</v>
      </c>
      <c r="V73" s="73">
        <f>IF(Variable_Management!$B$20=3,2,IF((S73*R73/T73)&lt;((T73*(1-(T73/R73)))/(2*Lm*Fsw)),1,2))</f>
        <v>2</v>
      </c>
      <c r="W73" s="71">
        <f t="shared" si="53"/>
        <v>0.79439252336448596</v>
      </c>
      <c r="X73" s="74">
        <f t="shared" si="54"/>
        <v>0.20560747663551404</v>
      </c>
      <c r="Y73" s="73">
        <f t="shared" si="55"/>
        <v>5.3282425347617979</v>
      </c>
      <c r="Z73" s="71">
        <f t="shared" si="30"/>
        <v>15.504121267380901</v>
      </c>
      <c r="AA73" s="71">
        <f t="shared" si="31"/>
        <v>12.931799850591968</v>
      </c>
      <c r="AB73" s="71">
        <v>0</v>
      </c>
      <c r="AC73" s="71">
        <f t="shared" si="56"/>
        <v>0.38463232896427202</v>
      </c>
      <c r="AD73" s="74">
        <f t="shared" si="67"/>
        <v>0.38463232896427202</v>
      </c>
      <c r="AE73" s="73">
        <f t="shared" ref="AE73:AE136" si="76">U73*W73</f>
        <v>10.200000000000001</v>
      </c>
      <c r="AF73" s="71">
        <f t="shared" si="68"/>
        <v>11.525945144183774</v>
      </c>
      <c r="AG73" s="71">
        <f t="shared" si="57"/>
        <v>0.4251117166935473</v>
      </c>
      <c r="AH73" s="71">
        <f t="shared" si="58"/>
        <v>11.736990113817212</v>
      </c>
      <c r="AI73" s="74">
        <f t="shared" si="69"/>
        <v>12.162101830510759</v>
      </c>
      <c r="AJ73" s="73">
        <f t="shared" si="70"/>
        <v>2.6400000000000006</v>
      </c>
      <c r="AK73" s="71">
        <f t="shared" si="59"/>
        <v>5.8637902340582508</v>
      </c>
      <c r="AL73" s="71">
        <f t="shared" si="60"/>
        <v>0.11002891490891814</v>
      </c>
      <c r="AM73" s="71">
        <f t="shared" si="71"/>
        <v>0</v>
      </c>
      <c r="AN73" s="188">
        <f t="shared" si="61"/>
        <v>0.31008242534761804</v>
      </c>
      <c r="AO73" s="74">
        <f t="shared" si="72"/>
        <v>0.42011134025653618</v>
      </c>
      <c r="AP73" s="73">
        <f t="shared" si="62"/>
        <v>0.20067773685092452</v>
      </c>
      <c r="AQ73" s="206">
        <f t="shared" si="63"/>
        <v>0.38463232896427202</v>
      </c>
      <c r="AR73" s="206">
        <f t="shared" si="64"/>
        <v>4.7390927326794205</v>
      </c>
      <c r="AS73" s="71">
        <f t="shared" si="65"/>
        <v>0.24000000000000002</v>
      </c>
      <c r="AT73" s="74">
        <f t="shared" si="66"/>
        <v>3.6299999999999995E-5</v>
      </c>
      <c r="AU73" s="73">
        <f t="shared" si="73"/>
        <v>18.531284598226186</v>
      </c>
      <c r="AV73" s="71">
        <f t="shared" si="74"/>
        <v>141.24</v>
      </c>
      <c r="AW73" s="74">
        <f t="shared" si="75"/>
        <v>88.401367213872973</v>
      </c>
    </row>
    <row r="74" spans="17:49" x14ac:dyDescent="0.25">
      <c r="Q74">
        <v>67</v>
      </c>
      <c r="R74" s="73">
        <f t="shared" si="49"/>
        <v>53.5</v>
      </c>
      <c r="S74" s="71">
        <f t="shared" si="50"/>
        <v>2.68</v>
      </c>
      <c r="T74" s="71">
        <f t="shared" si="51"/>
        <v>11</v>
      </c>
      <c r="U74" s="74">
        <f t="shared" si="52"/>
        <v>13.034545454545453</v>
      </c>
      <c r="V74" s="73">
        <f>IF(Variable_Management!$B$20=3,2,IF((S74*R74/T74)&lt;((T74*(1-(T74/R74)))/(2*Lm*Fsw)),1,2))</f>
        <v>2</v>
      </c>
      <c r="W74" s="71">
        <f t="shared" si="53"/>
        <v>0.79439252336448596</v>
      </c>
      <c r="X74" s="74">
        <f t="shared" si="54"/>
        <v>0.20560747663551404</v>
      </c>
      <c r="Y74" s="73">
        <f t="shared" si="55"/>
        <v>5.3282425347617979</v>
      </c>
      <c r="Z74" s="71">
        <f t="shared" si="30"/>
        <v>15.698666721926353</v>
      </c>
      <c r="AA74" s="71">
        <f t="shared" si="31"/>
        <v>13.124984669796074</v>
      </c>
      <c r="AB74" s="71">
        <v>0</v>
      </c>
      <c r="AC74" s="71">
        <f t="shared" si="56"/>
        <v>0.39621001193947852</v>
      </c>
      <c r="AD74" s="74">
        <f t="shared" si="67"/>
        <v>0.39621001193947852</v>
      </c>
      <c r="AE74" s="73">
        <f t="shared" si="76"/>
        <v>10.354545454545454</v>
      </c>
      <c r="AF74" s="71">
        <f t="shared" si="68"/>
        <v>11.698128262895874</v>
      </c>
      <c r="AG74" s="71">
        <f t="shared" si="57"/>
        <v>0.43790785553652245</v>
      </c>
      <c r="AH74" s="71">
        <f t="shared" si="58"/>
        <v>11.914823297359895</v>
      </c>
      <c r="AI74" s="74">
        <f t="shared" si="69"/>
        <v>12.352731152896418</v>
      </c>
      <c r="AJ74" s="73">
        <f t="shared" si="70"/>
        <v>2.68</v>
      </c>
      <c r="AK74" s="71">
        <f t="shared" si="59"/>
        <v>5.9513878824370643</v>
      </c>
      <c r="AL74" s="71">
        <f t="shared" si="60"/>
        <v>0.11334085672709991</v>
      </c>
      <c r="AM74" s="71">
        <f t="shared" si="71"/>
        <v>0</v>
      </c>
      <c r="AN74" s="188">
        <f t="shared" si="61"/>
        <v>0.31397333443852704</v>
      </c>
      <c r="AO74" s="74">
        <f t="shared" si="72"/>
        <v>0.42731419116562697</v>
      </c>
      <c r="AP74" s="73">
        <f t="shared" si="62"/>
        <v>0.20671826709885835</v>
      </c>
      <c r="AQ74" s="206">
        <f t="shared" si="63"/>
        <v>0.39621001193947852</v>
      </c>
      <c r="AR74" s="206">
        <f t="shared" si="64"/>
        <v>4.7390927326794205</v>
      </c>
      <c r="AS74" s="71">
        <f t="shared" si="65"/>
        <v>0.24000000000000002</v>
      </c>
      <c r="AT74" s="74">
        <f t="shared" si="66"/>
        <v>3.6299999999999995E-5</v>
      </c>
      <c r="AU74" s="73">
        <f t="shared" si="73"/>
        <v>18.758312667719281</v>
      </c>
      <c r="AV74" s="71">
        <f t="shared" si="74"/>
        <v>143.38</v>
      </c>
      <c r="AW74" s="74">
        <f t="shared" si="75"/>
        <v>88.430672332108244</v>
      </c>
    </row>
    <row r="75" spans="17:49" x14ac:dyDescent="0.25">
      <c r="Q75">
        <v>68</v>
      </c>
      <c r="R75" s="73">
        <f t="shared" si="49"/>
        <v>53.5</v>
      </c>
      <c r="S75" s="71">
        <f t="shared" si="50"/>
        <v>2.72</v>
      </c>
      <c r="T75" s="71">
        <f t="shared" si="51"/>
        <v>11</v>
      </c>
      <c r="U75" s="74">
        <f t="shared" si="52"/>
        <v>13.22909090909091</v>
      </c>
      <c r="V75" s="73">
        <f>IF(Variable_Management!$B$20=3,2,IF((S75*R75/T75)&lt;((T75*(1-(T75/R75)))/(2*Lm*Fsw)),1,2))</f>
        <v>2</v>
      </c>
      <c r="W75" s="71">
        <f t="shared" si="53"/>
        <v>0.79439252336448596</v>
      </c>
      <c r="X75" s="74">
        <f t="shared" si="54"/>
        <v>0.20560747663551404</v>
      </c>
      <c r="Y75" s="73">
        <f t="shared" si="55"/>
        <v>5.3282425347617979</v>
      </c>
      <c r="Z75" s="71">
        <f t="shared" si="30"/>
        <v>15.89321217647181</v>
      </c>
      <c r="AA75" s="71">
        <f t="shared" si="31"/>
        <v>13.318209100955061</v>
      </c>
      <c r="AB75" s="71">
        <v>0</v>
      </c>
      <c r="AC75" s="71">
        <f t="shared" si="56"/>
        <v>0.40796179541055311</v>
      </c>
      <c r="AD75" s="74">
        <f t="shared" si="67"/>
        <v>0.40796179541055311</v>
      </c>
      <c r="AE75" s="73">
        <f t="shared" si="76"/>
        <v>10.50909090909091</v>
      </c>
      <c r="AF75" s="71">
        <f t="shared" si="68"/>
        <v>11.870346687228558</v>
      </c>
      <c r="AG75" s="71">
        <f t="shared" si="57"/>
        <v>0.45089641751999365</v>
      </c>
      <c r="AH75" s="71">
        <f t="shared" si="58"/>
        <v>12.092656480902583</v>
      </c>
      <c r="AI75" s="74">
        <f t="shared" si="69"/>
        <v>12.543552898422577</v>
      </c>
      <c r="AJ75" s="73">
        <f t="shared" si="70"/>
        <v>2.7200000000000006</v>
      </c>
      <c r="AK75" s="71">
        <f t="shared" si="59"/>
        <v>6.0390034924451061</v>
      </c>
      <c r="AL75" s="71">
        <f t="shared" si="60"/>
        <v>0.11670260218164541</v>
      </c>
      <c r="AM75" s="71">
        <f t="shared" si="71"/>
        <v>0</v>
      </c>
      <c r="AN75" s="188">
        <f t="shared" si="61"/>
        <v>0.31786424352943621</v>
      </c>
      <c r="AO75" s="74">
        <f t="shared" si="72"/>
        <v>0.43456684571108162</v>
      </c>
      <c r="AP75" s="73">
        <f t="shared" si="62"/>
        <v>0.21284963238811463</v>
      </c>
      <c r="AQ75" s="206">
        <f t="shared" si="63"/>
        <v>0.40796179541055311</v>
      </c>
      <c r="AR75" s="206">
        <f t="shared" si="64"/>
        <v>4.7390927326794205</v>
      </c>
      <c r="AS75" s="71">
        <f t="shared" si="65"/>
        <v>0.24000000000000002</v>
      </c>
      <c r="AT75" s="74">
        <f t="shared" si="66"/>
        <v>3.6299999999999995E-5</v>
      </c>
      <c r="AU75" s="73">
        <f t="shared" si="73"/>
        <v>18.986022000022302</v>
      </c>
      <c r="AV75" s="71">
        <f t="shared" si="74"/>
        <v>145.52000000000001</v>
      </c>
      <c r="AW75" s="74">
        <f t="shared" si="75"/>
        <v>88.458767789048025</v>
      </c>
    </row>
    <row r="76" spans="17:49" x14ac:dyDescent="0.25">
      <c r="Q76">
        <v>69</v>
      </c>
      <c r="R76" s="73">
        <f t="shared" si="49"/>
        <v>53.5</v>
      </c>
      <c r="S76" s="71">
        <f t="shared" si="50"/>
        <v>2.7600000000000002</v>
      </c>
      <c r="T76" s="71">
        <f t="shared" si="51"/>
        <v>11</v>
      </c>
      <c r="U76" s="74">
        <f t="shared" si="52"/>
        <v>13.423636363636366</v>
      </c>
      <c r="V76" s="73">
        <f>IF(Variable_Management!$B$20=3,2,IF((S76*R76/T76)&lt;((T76*(1-(T76/R76)))/(2*Lm*Fsw)),1,2))</f>
        <v>2</v>
      </c>
      <c r="W76" s="71">
        <f t="shared" si="53"/>
        <v>0.79439252336448596</v>
      </c>
      <c r="X76" s="74">
        <f t="shared" si="54"/>
        <v>0.20560747663551404</v>
      </c>
      <c r="Y76" s="73">
        <f t="shared" si="55"/>
        <v>5.3282425347617979</v>
      </c>
      <c r="Z76" s="71">
        <f t="shared" si="30"/>
        <v>16.087757631017265</v>
      </c>
      <c r="AA76" s="71">
        <f t="shared" si="31"/>
        <v>13.511471444624785</v>
      </c>
      <c r="AB76" s="71">
        <v>0</v>
      </c>
      <c r="AC76" s="71">
        <f t="shared" si="56"/>
        <v>0.41988767937749522</v>
      </c>
      <c r="AD76" s="74">
        <f t="shared" si="67"/>
        <v>0.41988767937749522</v>
      </c>
      <c r="AE76" s="73">
        <f t="shared" si="76"/>
        <v>10.663636363636364</v>
      </c>
      <c r="AF76" s="71">
        <f t="shared" si="68"/>
        <v>12.042598902489347</v>
      </c>
      <c r="AG76" s="71">
        <f t="shared" si="57"/>
        <v>0.46407740264396047</v>
      </c>
      <c r="AH76" s="71">
        <f t="shared" si="58"/>
        <v>12.270489664445266</v>
      </c>
      <c r="AI76" s="74">
        <f t="shared" si="69"/>
        <v>12.734567067089227</v>
      </c>
      <c r="AJ76" s="73">
        <f t="shared" si="70"/>
        <v>2.7600000000000007</v>
      </c>
      <c r="AK76" s="71">
        <f t="shared" si="59"/>
        <v>6.1266362934870937</v>
      </c>
      <c r="AL76" s="71">
        <f t="shared" si="60"/>
        <v>0.12011415127255448</v>
      </c>
      <c r="AM76" s="71">
        <f t="shared" si="71"/>
        <v>0</v>
      </c>
      <c r="AN76" s="188">
        <f t="shared" si="61"/>
        <v>0.32175515262034532</v>
      </c>
      <c r="AO76" s="74">
        <f t="shared" si="72"/>
        <v>0.4418693038928998</v>
      </c>
      <c r="AP76" s="73">
        <f t="shared" si="62"/>
        <v>0.21907183271869315</v>
      </c>
      <c r="AQ76" s="206">
        <f t="shared" si="63"/>
        <v>0.41988767937749522</v>
      </c>
      <c r="AR76" s="206">
        <f t="shared" si="64"/>
        <v>4.7390927326794205</v>
      </c>
      <c r="AS76" s="71">
        <f t="shared" si="65"/>
        <v>0.24000000000000002</v>
      </c>
      <c r="AT76" s="74">
        <f t="shared" si="66"/>
        <v>3.6299999999999995E-5</v>
      </c>
      <c r="AU76" s="73">
        <f t="shared" si="73"/>
        <v>19.214412595135229</v>
      </c>
      <c r="AV76" s="71">
        <f t="shared" si="74"/>
        <v>147.66000000000003</v>
      </c>
      <c r="AW76" s="74">
        <f t="shared" si="75"/>
        <v>88.485704730687175</v>
      </c>
    </row>
    <row r="77" spans="17:49" x14ac:dyDescent="0.25">
      <c r="Q77">
        <v>70</v>
      </c>
      <c r="R77" s="73">
        <f t="shared" si="49"/>
        <v>53.5</v>
      </c>
      <c r="S77" s="71">
        <f t="shared" si="50"/>
        <v>2.8000000000000003</v>
      </c>
      <c r="T77" s="71">
        <f t="shared" si="51"/>
        <v>11</v>
      </c>
      <c r="U77" s="74">
        <f t="shared" si="52"/>
        <v>13.618181818181819</v>
      </c>
      <c r="V77" s="73">
        <f>IF(Variable_Management!$B$20=3,2,IF((S77*R77/T77)&lt;((T77*(1-(T77/R77)))/(2*Lm*Fsw)),1,2))</f>
        <v>2</v>
      </c>
      <c r="W77" s="71">
        <f t="shared" si="53"/>
        <v>0.79439252336448596</v>
      </c>
      <c r="X77" s="74">
        <f t="shared" si="54"/>
        <v>0.20560747663551404</v>
      </c>
      <c r="Y77" s="73">
        <f t="shared" si="55"/>
        <v>5.3282425347617979</v>
      </c>
      <c r="Z77" s="71">
        <f t="shared" si="30"/>
        <v>16.282303085562717</v>
      </c>
      <c r="AA77" s="71">
        <f t="shared" si="31"/>
        <v>13.704770096897951</v>
      </c>
      <c r="AB77" s="71">
        <v>0</v>
      </c>
      <c r="AC77" s="71">
        <f t="shared" si="56"/>
        <v>0.43198766384030496</v>
      </c>
      <c r="AD77" s="74">
        <f t="shared" si="67"/>
        <v>0.43198766384030496</v>
      </c>
      <c r="AE77" s="73">
        <f t="shared" si="76"/>
        <v>10.818181818181818</v>
      </c>
      <c r="AF77" s="71">
        <f t="shared" si="68"/>
        <v>12.214883479136519</v>
      </c>
      <c r="AG77" s="71">
        <f t="shared" si="57"/>
        <v>0.47745081090842334</v>
      </c>
      <c r="AH77" s="71">
        <f t="shared" si="58"/>
        <v>12.448322847987953</v>
      </c>
      <c r="AI77" s="74">
        <f t="shared" si="69"/>
        <v>12.925773658896377</v>
      </c>
      <c r="AJ77" s="73">
        <f t="shared" si="70"/>
        <v>2.8000000000000007</v>
      </c>
      <c r="AK77" s="71">
        <f t="shared" si="59"/>
        <v>6.2142855582879353</v>
      </c>
      <c r="AL77" s="71">
        <f t="shared" si="60"/>
        <v>0.12357550399982718</v>
      </c>
      <c r="AM77" s="71">
        <f t="shared" si="71"/>
        <v>0</v>
      </c>
      <c r="AN77" s="188">
        <f t="shared" si="61"/>
        <v>0.32564606171125432</v>
      </c>
      <c r="AO77" s="74">
        <f t="shared" si="72"/>
        <v>0.44922156571108152</v>
      </c>
      <c r="AP77" s="73">
        <f t="shared" si="62"/>
        <v>0.22538486809059388</v>
      </c>
      <c r="AQ77" s="206">
        <f t="shared" si="63"/>
        <v>0.43198766384030496</v>
      </c>
      <c r="AR77" s="206">
        <f t="shared" si="64"/>
        <v>4.7390927326794205</v>
      </c>
      <c r="AS77" s="71">
        <f t="shared" si="65"/>
        <v>0.24000000000000002</v>
      </c>
      <c r="AT77" s="74">
        <f t="shared" si="66"/>
        <v>3.6299999999999995E-5</v>
      </c>
      <c r="AU77" s="73">
        <f t="shared" si="73"/>
        <v>19.443484453058083</v>
      </c>
      <c r="AV77" s="71">
        <f t="shared" si="74"/>
        <v>149.80000000000001</v>
      </c>
      <c r="AW77" s="74">
        <f t="shared" si="75"/>
        <v>88.511531468467851</v>
      </c>
    </row>
    <row r="78" spans="17:49" x14ac:dyDescent="0.25">
      <c r="Q78">
        <v>71</v>
      </c>
      <c r="R78" s="73">
        <f t="shared" si="49"/>
        <v>53.5</v>
      </c>
      <c r="S78" s="71">
        <f t="shared" si="50"/>
        <v>2.84</v>
      </c>
      <c r="T78" s="71">
        <f t="shared" si="51"/>
        <v>11</v>
      </c>
      <c r="U78" s="74">
        <f t="shared" si="52"/>
        <v>13.812727272727273</v>
      </c>
      <c r="V78" s="73">
        <f>IF(Variable_Management!$B$20=3,2,IF((S78*R78/T78)&lt;((T78*(1-(T78/R78)))/(2*Lm*Fsw)),1,2))</f>
        <v>2</v>
      </c>
      <c r="W78" s="71">
        <f t="shared" si="53"/>
        <v>0.79439252336448596</v>
      </c>
      <c r="X78" s="74">
        <f t="shared" si="54"/>
        <v>0.20560747663551404</v>
      </c>
      <c r="Y78" s="73">
        <f t="shared" si="55"/>
        <v>5.3282425347617979</v>
      </c>
      <c r="Z78" s="71">
        <f t="shared" si="30"/>
        <v>16.476848540108172</v>
      </c>
      <c r="AA78" s="71">
        <f t="shared" si="31"/>
        <v>13.898103542804472</v>
      </c>
      <c r="AB78" s="71">
        <v>0</v>
      </c>
      <c r="AC78" s="71">
        <f t="shared" si="56"/>
        <v>0.44426174879898267</v>
      </c>
      <c r="AD78" s="74">
        <f t="shared" si="67"/>
        <v>0.44426174879898267</v>
      </c>
      <c r="AE78" s="73">
        <f t="shared" si="76"/>
        <v>10.972727272727273</v>
      </c>
      <c r="AF78" s="71">
        <f t="shared" si="68"/>
        <v>12.387199066896914</v>
      </c>
      <c r="AG78" s="71">
        <f t="shared" si="57"/>
        <v>0.49101664231338166</v>
      </c>
      <c r="AH78" s="71">
        <f t="shared" si="58"/>
        <v>12.626156031530638</v>
      </c>
      <c r="AI78" s="74">
        <f t="shared" si="69"/>
        <v>13.117172673844019</v>
      </c>
      <c r="AJ78" s="73">
        <f t="shared" si="70"/>
        <v>2.8400000000000003</v>
      </c>
      <c r="AK78" s="71">
        <f t="shared" si="59"/>
        <v>6.3019505999001888</v>
      </c>
      <c r="AL78" s="71">
        <f t="shared" si="60"/>
        <v>0.12708666036346353</v>
      </c>
      <c r="AM78" s="71">
        <f t="shared" si="71"/>
        <v>0</v>
      </c>
      <c r="AN78" s="188">
        <f t="shared" si="61"/>
        <v>0.32953697080216343</v>
      </c>
      <c r="AO78" s="74">
        <f t="shared" si="72"/>
        <v>0.45662363116562699</v>
      </c>
      <c r="AP78" s="73">
        <f t="shared" si="62"/>
        <v>0.23178873850381704</v>
      </c>
      <c r="AQ78" s="206">
        <f t="shared" si="63"/>
        <v>0.44426174879898267</v>
      </c>
      <c r="AR78" s="206">
        <f t="shared" si="64"/>
        <v>4.7390927326794205</v>
      </c>
      <c r="AS78" s="71">
        <f t="shared" si="65"/>
        <v>0.24000000000000002</v>
      </c>
      <c r="AT78" s="74">
        <f t="shared" si="66"/>
        <v>3.6299999999999995E-5</v>
      </c>
      <c r="AU78" s="73">
        <f t="shared" si="73"/>
        <v>19.67323757379085</v>
      </c>
      <c r="AV78" s="71">
        <f t="shared" si="74"/>
        <v>151.94</v>
      </c>
      <c r="AW78" s="74">
        <f t="shared" si="75"/>
        <v>88.536293672956504</v>
      </c>
    </row>
    <row r="79" spans="17:49" x14ac:dyDescent="0.25">
      <c r="Q79">
        <v>72</v>
      </c>
      <c r="R79" s="73">
        <f t="shared" si="49"/>
        <v>53.5</v>
      </c>
      <c r="S79" s="71">
        <f t="shared" si="50"/>
        <v>2.88</v>
      </c>
      <c r="T79" s="71">
        <f t="shared" si="51"/>
        <v>11</v>
      </c>
      <c r="U79" s="74">
        <f t="shared" si="52"/>
        <v>14.007272727272726</v>
      </c>
      <c r="V79" s="73">
        <f>IF(Variable_Management!$B$20=3,2,IF((S79*R79/T79)&lt;((T79*(1-(T79/R79)))/(2*Lm*Fsw)),1,2))</f>
        <v>2</v>
      </c>
      <c r="W79" s="71">
        <f t="shared" si="53"/>
        <v>0.79439252336448596</v>
      </c>
      <c r="X79" s="74">
        <f t="shared" si="54"/>
        <v>0.20560747663551404</v>
      </c>
      <c r="Y79" s="73">
        <f t="shared" si="55"/>
        <v>5.3282425347617979</v>
      </c>
      <c r="Z79" s="71">
        <f t="shared" si="30"/>
        <v>16.671393994653624</v>
      </c>
      <c r="AA79" s="71">
        <f t="shared" si="31"/>
        <v>14.091470350249782</v>
      </c>
      <c r="AB79" s="71">
        <v>0</v>
      </c>
      <c r="AC79" s="71">
        <f t="shared" si="56"/>
        <v>0.45670993425352807</v>
      </c>
      <c r="AD79" s="74">
        <f t="shared" si="67"/>
        <v>0.45670993425352807</v>
      </c>
      <c r="AE79" s="73">
        <f t="shared" si="76"/>
        <v>11.127272727272725</v>
      </c>
      <c r="AF79" s="71">
        <f t="shared" si="68"/>
        <v>12.559544389363266</v>
      </c>
      <c r="AG79" s="71">
        <f t="shared" si="57"/>
        <v>0.50477489685883614</v>
      </c>
      <c r="AH79" s="71">
        <f t="shared" si="58"/>
        <v>12.803989215073321</v>
      </c>
      <c r="AI79" s="74">
        <f t="shared" si="69"/>
        <v>13.308764111932156</v>
      </c>
      <c r="AJ79" s="73">
        <f t="shared" si="70"/>
        <v>2.88</v>
      </c>
      <c r="AK79" s="71">
        <f t="shared" si="59"/>
        <v>6.3896307689554606</v>
      </c>
      <c r="AL79" s="71">
        <f t="shared" si="60"/>
        <v>0.13064762036346353</v>
      </c>
      <c r="AM79" s="71">
        <f t="shared" si="71"/>
        <v>0</v>
      </c>
      <c r="AN79" s="188">
        <f t="shared" si="61"/>
        <v>0.33342787989307249</v>
      </c>
      <c r="AO79" s="74">
        <f t="shared" si="72"/>
        <v>0.46407550025653599</v>
      </c>
      <c r="AP79" s="73">
        <f t="shared" si="62"/>
        <v>0.23828344395836246</v>
      </c>
      <c r="AQ79" s="206">
        <f t="shared" si="63"/>
        <v>0.45670993425352807</v>
      </c>
      <c r="AR79" s="206">
        <f t="shared" si="64"/>
        <v>4.7390927326794205</v>
      </c>
      <c r="AS79" s="71">
        <f t="shared" si="65"/>
        <v>0.24000000000000002</v>
      </c>
      <c r="AT79" s="74">
        <f t="shared" si="66"/>
        <v>3.6299999999999995E-5</v>
      </c>
      <c r="AU79" s="73">
        <f t="shared" si="73"/>
        <v>19.903671957333529</v>
      </c>
      <c r="AV79" s="71">
        <f t="shared" si="74"/>
        <v>154.07999999999998</v>
      </c>
      <c r="AW79" s="74">
        <f t="shared" si="75"/>
        <v>88.560034551854642</v>
      </c>
    </row>
    <row r="80" spans="17:49" x14ac:dyDescent="0.25">
      <c r="Q80">
        <v>73</v>
      </c>
      <c r="R80" s="73">
        <f t="shared" si="49"/>
        <v>53.5</v>
      </c>
      <c r="S80" s="71">
        <f t="shared" si="50"/>
        <v>2.92</v>
      </c>
      <c r="T80" s="71">
        <f t="shared" si="51"/>
        <v>11</v>
      </c>
      <c r="U80" s="74">
        <f t="shared" si="52"/>
        <v>14.201818181818181</v>
      </c>
      <c r="V80" s="73">
        <f>IF(Variable_Management!$B$20=3,2,IF((S80*R80/T80)&lt;((T80*(1-(T80/R80)))/(2*Lm*Fsw)),1,2))</f>
        <v>2</v>
      </c>
      <c r="W80" s="71">
        <f t="shared" si="53"/>
        <v>0.79439252336448596</v>
      </c>
      <c r="X80" s="74">
        <f t="shared" si="54"/>
        <v>0.20560747663551404</v>
      </c>
      <c r="Y80" s="73">
        <f t="shared" si="55"/>
        <v>5.3282425347617979</v>
      </c>
      <c r="Z80" s="71">
        <f t="shared" ref="Z80:Z143" si="77">CHOOSE(V80,Y80,U80+(0.5*Y80))</f>
        <v>16.865939449199079</v>
      </c>
      <c r="AA80" s="71">
        <f t="shared" ref="AA80:AA143" si="78">CHOOSE(V80,Z80*SQRT((W80+X80)/3),SQRT((U80^2)+((Y80^2)/12)))</f>
        <v>14.28486916444081</v>
      </c>
      <c r="AB80" s="71">
        <v>0</v>
      </c>
      <c r="AC80" s="71">
        <f t="shared" si="56"/>
        <v>0.46933222020394133</v>
      </c>
      <c r="AD80" s="74">
        <f t="shared" si="67"/>
        <v>0.46933222020394133</v>
      </c>
      <c r="AE80" s="73">
        <f t="shared" si="76"/>
        <v>11.281818181818181</v>
      </c>
      <c r="AF80" s="71">
        <f t="shared" si="68"/>
        <v>12.731918239026115</v>
      </c>
      <c r="AG80" s="71">
        <f t="shared" si="57"/>
        <v>0.51872557454478674</v>
      </c>
      <c r="AH80" s="71">
        <f t="shared" si="58"/>
        <v>12.981822398616005</v>
      </c>
      <c r="AI80" s="74">
        <f t="shared" si="69"/>
        <v>13.500547973160792</v>
      </c>
      <c r="AJ80" s="73">
        <f t="shared" si="70"/>
        <v>2.9200000000000004</v>
      </c>
      <c r="AK80" s="71">
        <f t="shared" si="59"/>
        <v>6.4773254511369105</v>
      </c>
      <c r="AL80" s="71">
        <f t="shared" si="60"/>
        <v>0.13425838399982715</v>
      </c>
      <c r="AM80" s="71">
        <f t="shared" si="71"/>
        <v>0</v>
      </c>
      <c r="AN80" s="188">
        <f t="shared" si="61"/>
        <v>0.3373187889839816</v>
      </c>
      <c r="AO80" s="74">
        <f t="shared" si="72"/>
        <v>0.47157717298380875</v>
      </c>
      <c r="AP80" s="73">
        <f t="shared" si="62"/>
        <v>0.24486898445423025</v>
      </c>
      <c r="AQ80" s="206">
        <f t="shared" si="63"/>
        <v>0.46933222020394133</v>
      </c>
      <c r="AR80" s="206">
        <f t="shared" si="64"/>
        <v>4.7390927326794205</v>
      </c>
      <c r="AS80" s="71">
        <f t="shared" si="65"/>
        <v>0.24000000000000002</v>
      </c>
      <c r="AT80" s="74">
        <f t="shared" si="66"/>
        <v>3.6299999999999995E-5</v>
      </c>
      <c r="AU80" s="73">
        <f t="shared" si="73"/>
        <v>20.134787603686135</v>
      </c>
      <c r="AV80" s="71">
        <f t="shared" si="74"/>
        <v>156.22</v>
      </c>
      <c r="AW80" s="74">
        <f t="shared" si="75"/>
        <v>88.582795013802468</v>
      </c>
    </row>
    <row r="81" spans="17:49" x14ac:dyDescent="0.25">
      <c r="Q81">
        <v>74</v>
      </c>
      <c r="R81" s="73">
        <f t="shared" si="49"/>
        <v>53.5</v>
      </c>
      <c r="S81" s="71">
        <f t="shared" si="50"/>
        <v>2.96</v>
      </c>
      <c r="T81" s="71">
        <f t="shared" si="51"/>
        <v>11</v>
      </c>
      <c r="U81" s="74">
        <f t="shared" si="52"/>
        <v>14.396363636363635</v>
      </c>
      <c r="V81" s="73">
        <f>IF(Variable_Management!$B$20=3,2,IF((S81*R81/T81)&lt;((T81*(1-(T81/R81)))/(2*Lm*Fsw)),1,2))</f>
        <v>2</v>
      </c>
      <c r="W81" s="71">
        <f t="shared" si="53"/>
        <v>0.79439252336448596</v>
      </c>
      <c r="X81" s="74">
        <f t="shared" si="54"/>
        <v>0.20560747663551404</v>
      </c>
      <c r="Y81" s="73">
        <f t="shared" si="55"/>
        <v>5.3282425347617979</v>
      </c>
      <c r="Z81" s="71">
        <f t="shared" si="77"/>
        <v>17.060484903744534</v>
      </c>
      <c r="AA81" s="71">
        <f t="shared" si="78"/>
        <v>14.478298702754532</v>
      </c>
      <c r="AB81" s="71">
        <v>0</v>
      </c>
      <c r="AC81" s="71">
        <f t="shared" si="56"/>
        <v>0.48212860665022222</v>
      </c>
      <c r="AD81" s="74">
        <f t="shared" si="67"/>
        <v>0.48212860665022222</v>
      </c>
      <c r="AE81" s="73">
        <f t="shared" si="76"/>
        <v>11.436363636363634</v>
      </c>
      <c r="AF81" s="71">
        <f t="shared" si="68"/>
        <v>12.90431947270023</v>
      </c>
      <c r="AG81" s="71">
        <f t="shared" si="57"/>
        <v>0.53286867537123306</v>
      </c>
      <c r="AH81" s="71">
        <f t="shared" si="58"/>
        <v>13.15965558215869</v>
      </c>
      <c r="AI81" s="74">
        <f t="shared" si="69"/>
        <v>13.692524257529923</v>
      </c>
      <c r="AJ81" s="73">
        <f t="shared" si="70"/>
        <v>2.96</v>
      </c>
      <c r="AK81" s="71">
        <f t="shared" si="59"/>
        <v>6.5650340648524637</v>
      </c>
      <c r="AL81" s="71">
        <f t="shared" si="60"/>
        <v>0.13791895127255444</v>
      </c>
      <c r="AM81" s="71">
        <f t="shared" si="71"/>
        <v>0</v>
      </c>
      <c r="AN81" s="188">
        <f t="shared" si="61"/>
        <v>0.34120969807489071</v>
      </c>
      <c r="AO81" s="74">
        <f t="shared" si="72"/>
        <v>0.47912864934744515</v>
      </c>
      <c r="AP81" s="73">
        <f t="shared" si="62"/>
        <v>0.2515453599914203</v>
      </c>
      <c r="AQ81" s="206">
        <f t="shared" si="63"/>
        <v>0.48212860665022222</v>
      </c>
      <c r="AR81" s="206">
        <f t="shared" si="64"/>
        <v>4.7390927326794205</v>
      </c>
      <c r="AS81" s="71">
        <f t="shared" si="65"/>
        <v>0.24000000000000002</v>
      </c>
      <c r="AT81" s="74">
        <f t="shared" si="66"/>
        <v>3.6299999999999995E-5</v>
      </c>
      <c r="AU81" s="73">
        <f t="shared" si="73"/>
        <v>20.366584512848654</v>
      </c>
      <c r="AV81" s="71">
        <f t="shared" si="74"/>
        <v>158.35999999999999</v>
      </c>
      <c r="AW81" s="74">
        <f t="shared" si="75"/>
        <v>88.604613819280758</v>
      </c>
    </row>
    <row r="82" spans="17:49" x14ac:dyDescent="0.25">
      <c r="Q82">
        <v>75</v>
      </c>
      <c r="R82" s="73">
        <f t="shared" si="49"/>
        <v>53.5</v>
      </c>
      <c r="S82" s="71">
        <f t="shared" si="50"/>
        <v>3</v>
      </c>
      <c r="T82" s="71">
        <f t="shared" si="51"/>
        <v>11</v>
      </c>
      <c r="U82" s="74">
        <f t="shared" si="52"/>
        <v>14.590909090909092</v>
      </c>
      <c r="V82" s="73">
        <f>IF(Variable_Management!$B$20=3,2,IF((S82*R82/T82)&lt;((T82*(1-(T82/R82)))/(2*Lm*Fsw)),1,2))</f>
        <v>2</v>
      </c>
      <c r="W82" s="71">
        <f t="shared" si="53"/>
        <v>0.79439252336448596</v>
      </c>
      <c r="X82" s="74">
        <f t="shared" si="54"/>
        <v>0.20560747663551404</v>
      </c>
      <c r="Y82" s="73">
        <f t="shared" si="55"/>
        <v>5.3282425347617979</v>
      </c>
      <c r="Z82" s="71">
        <f t="shared" si="77"/>
        <v>17.255030358289989</v>
      </c>
      <c r="AA82" s="71">
        <f t="shared" si="78"/>
        <v>14.671757750008824</v>
      </c>
      <c r="AB82" s="71">
        <v>0</v>
      </c>
      <c r="AC82" s="71">
        <f t="shared" si="56"/>
        <v>0.4950990935923712</v>
      </c>
      <c r="AD82" s="74">
        <f t="shared" si="67"/>
        <v>0.4950990935923712</v>
      </c>
      <c r="AE82" s="73">
        <f t="shared" si="76"/>
        <v>11.590909090909092</v>
      </c>
      <c r="AF82" s="71">
        <f t="shared" si="68"/>
        <v>13.076747007309569</v>
      </c>
      <c r="AG82" s="71">
        <f t="shared" si="57"/>
        <v>0.54720419933817532</v>
      </c>
      <c r="AH82" s="71">
        <f t="shared" si="58"/>
        <v>13.337488765701377</v>
      </c>
      <c r="AI82" s="74">
        <f t="shared" si="69"/>
        <v>13.884692965039552</v>
      </c>
      <c r="AJ82" s="73">
        <f t="shared" si="70"/>
        <v>3.0000000000000004</v>
      </c>
      <c r="AK82" s="71">
        <f t="shared" si="59"/>
        <v>6.6527560590904109</v>
      </c>
      <c r="AL82" s="71">
        <f t="shared" si="60"/>
        <v>0.14162932218164537</v>
      </c>
      <c r="AM82" s="71">
        <f t="shared" si="71"/>
        <v>0</v>
      </c>
      <c r="AN82" s="188">
        <f t="shared" si="61"/>
        <v>0.34510060716579977</v>
      </c>
      <c r="AO82" s="74">
        <f t="shared" si="72"/>
        <v>0.48672992934744513</v>
      </c>
      <c r="AP82" s="73">
        <f t="shared" si="62"/>
        <v>0.25831257056993279</v>
      </c>
      <c r="AQ82" s="206">
        <f t="shared" si="63"/>
        <v>0.4950990935923712</v>
      </c>
      <c r="AR82" s="206">
        <f t="shared" si="64"/>
        <v>4.7390927326794205</v>
      </c>
      <c r="AS82" s="71">
        <f t="shared" si="65"/>
        <v>0.24000000000000002</v>
      </c>
      <c r="AT82" s="74">
        <f t="shared" si="66"/>
        <v>3.6299999999999995E-5</v>
      </c>
      <c r="AU82" s="73">
        <f t="shared" si="73"/>
        <v>20.599062684821092</v>
      </c>
      <c r="AV82" s="71">
        <f t="shared" si="74"/>
        <v>160.5</v>
      </c>
      <c r="AW82" s="74">
        <f t="shared" si="75"/>
        <v>88.625527719781175</v>
      </c>
    </row>
    <row r="83" spans="17:49" x14ac:dyDescent="0.25">
      <c r="Q83">
        <v>76</v>
      </c>
      <c r="R83" s="73">
        <f t="shared" si="49"/>
        <v>53.5</v>
      </c>
      <c r="S83" s="71">
        <f t="shared" si="50"/>
        <v>3.04</v>
      </c>
      <c r="T83" s="71">
        <f t="shared" si="51"/>
        <v>11</v>
      </c>
      <c r="U83" s="74">
        <f t="shared" si="52"/>
        <v>14.785454545454547</v>
      </c>
      <c r="V83" s="73">
        <f>IF(Variable_Management!$B$20=3,2,IF((S83*R83/T83)&lt;((T83*(1-(T83/R83)))/(2*Lm*Fsw)),1,2))</f>
        <v>2</v>
      </c>
      <c r="W83" s="71">
        <f t="shared" si="53"/>
        <v>0.79439252336448596</v>
      </c>
      <c r="X83" s="74">
        <f t="shared" si="54"/>
        <v>0.20560747663551404</v>
      </c>
      <c r="Y83" s="73">
        <f t="shared" si="55"/>
        <v>5.3282425347617979</v>
      </c>
      <c r="Z83" s="71">
        <f t="shared" si="77"/>
        <v>17.449575812835445</v>
      </c>
      <c r="AA83" s="71">
        <f t="shared" si="78"/>
        <v>14.865245154099307</v>
      </c>
      <c r="AB83" s="71">
        <v>0</v>
      </c>
      <c r="AC83" s="71">
        <f t="shared" si="56"/>
        <v>0.50824368103038775</v>
      </c>
      <c r="AD83" s="74">
        <f t="shared" si="67"/>
        <v>0.50824368103038775</v>
      </c>
      <c r="AE83" s="73">
        <f t="shared" si="76"/>
        <v>11.745454545454546</v>
      </c>
      <c r="AF83" s="71">
        <f t="shared" si="68"/>
        <v>13.249199815998479</v>
      </c>
      <c r="AG83" s="71">
        <f t="shared" si="57"/>
        <v>0.5617321464456132</v>
      </c>
      <c r="AH83" s="71">
        <f t="shared" si="58"/>
        <v>13.515321949244063</v>
      </c>
      <c r="AI83" s="74">
        <f t="shared" si="69"/>
        <v>14.077054095689677</v>
      </c>
      <c r="AJ83" s="73">
        <f t="shared" si="70"/>
        <v>3.0400000000000005</v>
      </c>
      <c r="AK83" s="71">
        <f t="shared" si="59"/>
        <v>6.7404909114410003</v>
      </c>
      <c r="AL83" s="71">
        <f t="shared" si="60"/>
        <v>0.14538949672709994</v>
      </c>
      <c r="AM83" s="71">
        <f t="shared" si="71"/>
        <v>0</v>
      </c>
      <c r="AN83" s="188">
        <f t="shared" si="61"/>
        <v>0.34899151625670888</v>
      </c>
      <c r="AO83" s="74">
        <f t="shared" si="72"/>
        <v>0.49438101298380882</v>
      </c>
      <c r="AP83" s="73">
        <f t="shared" si="62"/>
        <v>0.26517061618976751</v>
      </c>
      <c r="AQ83" s="206">
        <f t="shared" si="63"/>
        <v>0.50824368103038775</v>
      </c>
      <c r="AR83" s="206">
        <f t="shared" si="64"/>
        <v>4.7390927326794205</v>
      </c>
      <c r="AS83" s="71">
        <f t="shared" si="65"/>
        <v>0.24000000000000002</v>
      </c>
      <c r="AT83" s="74">
        <f t="shared" si="66"/>
        <v>3.6299999999999995E-5</v>
      </c>
      <c r="AU83" s="73">
        <f t="shared" si="73"/>
        <v>20.832222119603447</v>
      </c>
      <c r="AV83" s="71">
        <f t="shared" si="74"/>
        <v>162.64000000000001</v>
      </c>
      <c r="AW83" s="74">
        <f t="shared" si="75"/>
        <v>88.645571586295418</v>
      </c>
    </row>
    <row r="84" spans="17:49" x14ac:dyDescent="0.25">
      <c r="Q84">
        <v>77</v>
      </c>
      <c r="R84" s="73">
        <f t="shared" si="49"/>
        <v>53.5</v>
      </c>
      <c r="S84" s="71">
        <f t="shared" si="50"/>
        <v>3.08</v>
      </c>
      <c r="T84" s="71">
        <f t="shared" si="51"/>
        <v>11</v>
      </c>
      <c r="U84" s="74">
        <f t="shared" si="52"/>
        <v>14.98</v>
      </c>
      <c r="V84" s="73">
        <f>IF(Variable_Management!$B$20=3,2,IF((S84*R84/T84)&lt;((T84*(1-(T84/R84)))/(2*Lm*Fsw)),1,2))</f>
        <v>2</v>
      </c>
      <c r="W84" s="71">
        <f t="shared" si="53"/>
        <v>0.79439252336448596</v>
      </c>
      <c r="X84" s="74">
        <f t="shared" si="54"/>
        <v>0.20560747663551404</v>
      </c>
      <c r="Y84" s="73">
        <f t="shared" si="55"/>
        <v>5.3282425347617979</v>
      </c>
      <c r="Z84" s="71">
        <f t="shared" si="77"/>
        <v>17.6441212673809</v>
      </c>
      <c r="AA84" s="71">
        <f t="shared" si="78"/>
        <v>15.058759821969751</v>
      </c>
      <c r="AB84" s="71">
        <v>0</v>
      </c>
      <c r="AC84" s="71">
        <f t="shared" si="56"/>
        <v>0.52156236896427211</v>
      </c>
      <c r="AD84" s="74">
        <f t="shared" si="67"/>
        <v>0.52156236896427211</v>
      </c>
      <c r="AE84" s="73">
        <f t="shared" si="76"/>
        <v>11.9</v>
      </c>
      <c r="AF84" s="71">
        <f t="shared" si="68"/>
        <v>13.421676924540149</v>
      </c>
      <c r="AG84" s="71">
        <f t="shared" si="57"/>
        <v>0.57645251669354725</v>
      </c>
      <c r="AH84" s="71">
        <f t="shared" si="58"/>
        <v>13.693155132786748</v>
      </c>
      <c r="AI84" s="74">
        <f t="shared" si="69"/>
        <v>14.269607649480296</v>
      </c>
      <c r="AJ84" s="73">
        <f t="shared" si="70"/>
        <v>3.0800000000000005</v>
      </c>
      <c r="AK84" s="71">
        <f t="shared" si="59"/>
        <v>6.8282381262692438</v>
      </c>
      <c r="AL84" s="71">
        <f t="shared" si="60"/>
        <v>0.14919947490891813</v>
      </c>
      <c r="AM84" s="71">
        <f t="shared" si="71"/>
        <v>0</v>
      </c>
      <c r="AN84" s="188">
        <f t="shared" si="61"/>
        <v>0.35288242534761799</v>
      </c>
      <c r="AO84" s="74">
        <f t="shared" si="72"/>
        <v>0.5020819002565361</v>
      </c>
      <c r="AP84" s="73">
        <f t="shared" si="62"/>
        <v>0.27211949685092451</v>
      </c>
      <c r="AQ84" s="206">
        <f t="shared" si="63"/>
        <v>0.52156236896427211</v>
      </c>
      <c r="AR84" s="206">
        <f t="shared" si="64"/>
        <v>4.7390927326794205</v>
      </c>
      <c r="AS84" s="71">
        <f t="shared" si="65"/>
        <v>0.24000000000000002</v>
      </c>
      <c r="AT84" s="74">
        <f t="shared" si="66"/>
        <v>3.6299999999999995E-5</v>
      </c>
      <c r="AU84" s="73">
        <f t="shared" si="73"/>
        <v>21.066062817195721</v>
      </c>
      <c r="AV84" s="71">
        <f t="shared" si="74"/>
        <v>164.78</v>
      </c>
      <c r="AW84" s="74">
        <f t="shared" si="75"/>
        <v>88.664778528067615</v>
      </c>
    </row>
    <row r="85" spans="17:49" x14ac:dyDescent="0.25">
      <c r="Q85">
        <v>78</v>
      </c>
      <c r="R85" s="73">
        <f t="shared" si="49"/>
        <v>53.5</v>
      </c>
      <c r="S85" s="71">
        <f t="shared" si="50"/>
        <v>3.12</v>
      </c>
      <c r="T85" s="71">
        <f t="shared" si="51"/>
        <v>11</v>
      </c>
      <c r="U85" s="74">
        <f t="shared" si="52"/>
        <v>15.174545454545456</v>
      </c>
      <c r="V85" s="73">
        <f>IF(Variable_Management!$B$20=3,2,IF((S85*R85/T85)&lt;((T85*(1-(T85/R85)))/(2*Lm*Fsw)),1,2))</f>
        <v>2</v>
      </c>
      <c r="W85" s="71">
        <f t="shared" si="53"/>
        <v>0.79439252336448596</v>
      </c>
      <c r="X85" s="74">
        <f t="shared" si="54"/>
        <v>0.20560747663551404</v>
      </c>
      <c r="Y85" s="73">
        <f t="shared" si="55"/>
        <v>5.3282425347617979</v>
      </c>
      <c r="Z85" s="71">
        <f t="shared" si="77"/>
        <v>17.838666721926355</v>
      </c>
      <c r="AA85" s="71">
        <f t="shared" si="78"/>
        <v>15.252300715886655</v>
      </c>
      <c r="AB85" s="71">
        <v>0</v>
      </c>
      <c r="AC85" s="71">
        <f t="shared" si="56"/>
        <v>0.53505515739402409</v>
      </c>
      <c r="AD85" s="74">
        <f t="shared" si="67"/>
        <v>0.53505515739402409</v>
      </c>
      <c r="AE85" s="73">
        <f t="shared" si="76"/>
        <v>12.054545454545455</v>
      </c>
      <c r="AF85" s="71">
        <f t="shared" si="68"/>
        <v>13.594177408016192</v>
      </c>
      <c r="AG85" s="71">
        <f t="shared" si="57"/>
        <v>0.59136531008197712</v>
      </c>
      <c r="AH85" s="71">
        <f t="shared" si="58"/>
        <v>13.870988316329433</v>
      </c>
      <c r="AI85" s="74">
        <f t="shared" si="69"/>
        <v>14.46235362641141</v>
      </c>
      <c r="AJ85" s="73">
        <f t="shared" si="70"/>
        <v>3.1200000000000006</v>
      </c>
      <c r="AK85" s="71">
        <f t="shared" si="59"/>
        <v>6.9159972330256707</v>
      </c>
      <c r="AL85" s="71">
        <f t="shared" si="60"/>
        <v>0.15305925672709997</v>
      </c>
      <c r="AM85" s="71">
        <f t="shared" si="71"/>
        <v>0</v>
      </c>
      <c r="AN85" s="188">
        <f t="shared" si="61"/>
        <v>0.3567733344385271</v>
      </c>
      <c r="AO85" s="74">
        <f t="shared" si="72"/>
        <v>0.50983259116562707</v>
      </c>
      <c r="AP85" s="73">
        <f t="shared" si="62"/>
        <v>0.27915921255340387</v>
      </c>
      <c r="AQ85" s="206">
        <f t="shared" si="63"/>
        <v>0.53505515739402409</v>
      </c>
      <c r="AR85" s="206">
        <f t="shared" si="64"/>
        <v>4.7390927326794205</v>
      </c>
      <c r="AS85" s="71">
        <f t="shared" si="65"/>
        <v>0.24000000000000002</v>
      </c>
      <c r="AT85" s="74">
        <f t="shared" si="66"/>
        <v>3.6299999999999995E-5</v>
      </c>
      <c r="AU85" s="73">
        <f t="shared" si="73"/>
        <v>21.300584777597908</v>
      </c>
      <c r="AV85" s="71">
        <f t="shared" si="74"/>
        <v>166.92000000000002</v>
      </c>
      <c r="AW85" s="74">
        <f t="shared" si="75"/>
        <v>88.683180002460006</v>
      </c>
    </row>
    <row r="86" spans="17:49" x14ac:dyDescent="0.25">
      <c r="Q86">
        <v>79</v>
      </c>
      <c r="R86" s="73">
        <f t="shared" si="49"/>
        <v>53.5</v>
      </c>
      <c r="S86" s="71">
        <f t="shared" si="50"/>
        <v>3.16</v>
      </c>
      <c r="T86" s="71">
        <f t="shared" si="51"/>
        <v>11</v>
      </c>
      <c r="U86" s="74">
        <f t="shared" si="52"/>
        <v>15.369090909090909</v>
      </c>
      <c r="V86" s="73">
        <f>IF(Variable_Management!$B$20=3,2,IF((S86*R86/T86)&lt;((T86*(1-(T86/R86)))/(2*Lm*Fsw)),1,2))</f>
        <v>2</v>
      </c>
      <c r="W86" s="71">
        <f t="shared" si="53"/>
        <v>0.79439252336448596</v>
      </c>
      <c r="X86" s="74">
        <f t="shared" si="54"/>
        <v>0.20560747663551404</v>
      </c>
      <c r="Y86" s="73">
        <f t="shared" si="55"/>
        <v>5.3282425347617979</v>
      </c>
      <c r="Z86" s="71">
        <f t="shared" si="77"/>
        <v>18.033212176471807</v>
      </c>
      <c r="AA86" s="71">
        <f t="shared" si="78"/>
        <v>15.445866849991658</v>
      </c>
      <c r="AB86" s="71">
        <v>0</v>
      </c>
      <c r="AC86" s="71">
        <f t="shared" si="56"/>
        <v>0.54872204631964383</v>
      </c>
      <c r="AD86" s="74">
        <f t="shared" si="67"/>
        <v>0.54872204631964383</v>
      </c>
      <c r="AE86" s="73">
        <f t="shared" si="76"/>
        <v>12.209090909090909</v>
      </c>
      <c r="AF86" s="71">
        <f t="shared" si="68"/>
        <v>13.766700387743862</v>
      </c>
      <c r="AG86" s="71">
        <f t="shared" si="57"/>
        <v>0.60647052661090239</v>
      </c>
      <c r="AH86" s="71">
        <f t="shared" si="58"/>
        <v>14.048821499872117</v>
      </c>
      <c r="AI86" s="74">
        <f t="shared" si="69"/>
        <v>14.65529202648302</v>
      </c>
      <c r="AJ86" s="73">
        <f t="shared" si="70"/>
        <v>3.16</v>
      </c>
      <c r="AK86" s="71">
        <f t="shared" si="59"/>
        <v>7.0037677846830544</v>
      </c>
      <c r="AL86" s="71">
        <f t="shared" si="60"/>
        <v>0.15696884218164536</v>
      </c>
      <c r="AM86" s="71">
        <f t="shared" si="71"/>
        <v>0</v>
      </c>
      <c r="AN86" s="188">
        <f t="shared" si="61"/>
        <v>0.36066424352943616</v>
      </c>
      <c r="AO86" s="74">
        <f t="shared" si="72"/>
        <v>0.51763308571108158</v>
      </c>
      <c r="AP86" s="73">
        <f t="shared" si="62"/>
        <v>0.28628976329720546</v>
      </c>
      <c r="AQ86" s="206">
        <f t="shared" si="63"/>
        <v>0.54872204631964383</v>
      </c>
      <c r="AR86" s="206">
        <f t="shared" si="64"/>
        <v>4.7390927326794205</v>
      </c>
      <c r="AS86" s="71">
        <f t="shared" si="65"/>
        <v>0.24000000000000002</v>
      </c>
      <c r="AT86" s="74">
        <f t="shared" si="66"/>
        <v>3.6299999999999995E-5</v>
      </c>
      <c r="AU86" s="73">
        <f t="shared" si="73"/>
        <v>21.535788000810015</v>
      </c>
      <c r="AV86" s="71">
        <f t="shared" si="74"/>
        <v>169.06</v>
      </c>
      <c r="AW86" s="74">
        <f t="shared" si="75"/>
        <v>88.700805916698172</v>
      </c>
    </row>
    <row r="87" spans="17:49" x14ac:dyDescent="0.25">
      <c r="Q87">
        <v>80</v>
      </c>
      <c r="R87" s="73">
        <f t="shared" si="49"/>
        <v>53.5</v>
      </c>
      <c r="S87" s="71">
        <f t="shared" si="50"/>
        <v>3.2</v>
      </c>
      <c r="T87" s="71">
        <f t="shared" si="51"/>
        <v>11</v>
      </c>
      <c r="U87" s="74">
        <f t="shared" si="52"/>
        <v>15.563636363636364</v>
      </c>
      <c r="V87" s="73">
        <f>IF(Variable_Management!$B$20=3,2,IF((S87*R87/T87)&lt;((T87*(1-(T87/R87)))/(2*Lm*Fsw)),1,2))</f>
        <v>2</v>
      </c>
      <c r="W87" s="71">
        <f t="shared" si="53"/>
        <v>0.79439252336448596</v>
      </c>
      <c r="X87" s="74">
        <f t="shared" si="54"/>
        <v>0.20560747663551404</v>
      </c>
      <c r="Y87" s="73">
        <f t="shared" si="55"/>
        <v>5.3282425347617979</v>
      </c>
      <c r="Z87" s="71">
        <f t="shared" si="77"/>
        <v>18.227757631017262</v>
      </c>
      <c r="AA87" s="71">
        <f t="shared" si="78"/>
        <v>15.63945728710797</v>
      </c>
      <c r="AB87" s="71">
        <v>0</v>
      </c>
      <c r="AC87" s="71">
        <f t="shared" si="56"/>
        <v>0.56256303574113153</v>
      </c>
      <c r="AD87" s="74">
        <f t="shared" si="67"/>
        <v>0.56256303574113153</v>
      </c>
      <c r="AE87" s="73">
        <f t="shared" si="76"/>
        <v>12.363636363636363</v>
      </c>
      <c r="AF87" s="71">
        <f t="shared" si="68"/>
        <v>13.939245028429669</v>
      </c>
      <c r="AG87" s="71">
        <f t="shared" si="57"/>
        <v>0.62176816628032394</v>
      </c>
      <c r="AH87" s="71">
        <f t="shared" si="58"/>
        <v>14.226654683414802</v>
      </c>
      <c r="AI87" s="74">
        <f t="shared" si="69"/>
        <v>14.848422849695126</v>
      </c>
      <c r="AJ87" s="73">
        <f t="shared" si="70"/>
        <v>3.2000000000000006</v>
      </c>
      <c r="AK87" s="71">
        <f t="shared" si="59"/>
        <v>7.0915493562883194</v>
      </c>
      <c r="AL87" s="71">
        <f t="shared" si="60"/>
        <v>0.16092823127255448</v>
      </c>
      <c r="AM87" s="71">
        <f t="shared" si="71"/>
        <v>0</v>
      </c>
      <c r="AN87" s="188">
        <f t="shared" si="61"/>
        <v>0.36455515262034527</v>
      </c>
      <c r="AO87" s="74">
        <f t="shared" si="72"/>
        <v>0.52548338389289972</v>
      </c>
      <c r="AP87" s="73">
        <f t="shared" si="62"/>
        <v>0.29351114908232945</v>
      </c>
      <c r="AQ87" s="206">
        <f t="shared" si="63"/>
        <v>0.56256303574113153</v>
      </c>
      <c r="AR87" s="206">
        <f t="shared" si="64"/>
        <v>4.7390927326794205</v>
      </c>
      <c r="AS87" s="71">
        <f t="shared" si="65"/>
        <v>0.24000000000000002</v>
      </c>
      <c r="AT87" s="74">
        <f t="shared" si="66"/>
        <v>3.6299999999999995E-5</v>
      </c>
      <c r="AU87" s="73">
        <f t="shared" si="73"/>
        <v>21.771672486832038</v>
      </c>
      <c r="AV87" s="71">
        <f t="shared" si="74"/>
        <v>171.20000000000002</v>
      </c>
      <c r="AW87" s="74">
        <f t="shared" si="75"/>
        <v>88.717684722187556</v>
      </c>
    </row>
    <row r="88" spans="17:49" x14ac:dyDescent="0.25">
      <c r="Q88">
        <v>81</v>
      </c>
      <c r="R88" s="73">
        <f t="shared" si="49"/>
        <v>53.5</v>
      </c>
      <c r="S88" s="71">
        <f t="shared" si="50"/>
        <v>3.24</v>
      </c>
      <c r="T88" s="71">
        <f t="shared" si="51"/>
        <v>11</v>
      </c>
      <c r="U88" s="74">
        <f t="shared" si="52"/>
        <v>15.758181818181818</v>
      </c>
      <c r="V88" s="73">
        <f>IF(Variable_Management!$B$20=3,2,IF((S88*R88/T88)&lt;((T88*(1-(T88/R88)))/(2*Lm*Fsw)),1,2))</f>
        <v>2</v>
      </c>
      <c r="W88" s="71">
        <f t="shared" si="53"/>
        <v>0.79439252336448596</v>
      </c>
      <c r="X88" s="74">
        <f t="shared" si="54"/>
        <v>0.20560747663551404</v>
      </c>
      <c r="Y88" s="73">
        <f t="shared" si="55"/>
        <v>5.3282425347617979</v>
      </c>
      <c r="Z88" s="71">
        <f t="shared" si="77"/>
        <v>18.422303085562717</v>
      </c>
      <c r="AA88" s="71">
        <f t="shared" si="78"/>
        <v>15.833071135779262</v>
      </c>
      <c r="AB88" s="71">
        <v>0</v>
      </c>
      <c r="AC88" s="71">
        <f t="shared" si="56"/>
        <v>0.57657812565848676</v>
      </c>
      <c r="AD88" s="74">
        <f t="shared" si="67"/>
        <v>0.57657812565848676</v>
      </c>
      <c r="AE88" s="73">
        <f t="shared" si="76"/>
        <v>12.518181818181818</v>
      </c>
      <c r="AF88" s="71">
        <f t="shared" si="68"/>
        <v>14.111810535530175</v>
      </c>
      <c r="AG88" s="71">
        <f t="shared" si="57"/>
        <v>0.63725822909024143</v>
      </c>
      <c r="AH88" s="71">
        <f t="shared" si="58"/>
        <v>14.404487866957487</v>
      </c>
      <c r="AI88" s="74">
        <f t="shared" si="69"/>
        <v>15.041746096047728</v>
      </c>
      <c r="AJ88" s="73">
        <f t="shared" si="70"/>
        <v>3.24</v>
      </c>
      <c r="AK88" s="71">
        <f t="shared" si="59"/>
        <v>7.1793415436198602</v>
      </c>
      <c r="AL88" s="71">
        <f t="shared" si="60"/>
        <v>0.16493742399982719</v>
      </c>
      <c r="AM88" s="71">
        <f t="shared" si="71"/>
        <v>0</v>
      </c>
      <c r="AN88" s="188">
        <f t="shared" si="61"/>
        <v>0.36844606171125432</v>
      </c>
      <c r="AO88" s="74">
        <f t="shared" si="72"/>
        <v>0.53338348571108152</v>
      </c>
      <c r="AP88" s="73">
        <f t="shared" si="62"/>
        <v>0.30082336990877567</v>
      </c>
      <c r="AQ88" s="206">
        <f t="shared" si="63"/>
        <v>0.57657812565848676</v>
      </c>
      <c r="AR88" s="206">
        <f t="shared" si="64"/>
        <v>4.7390927326794205</v>
      </c>
      <c r="AS88" s="71">
        <f t="shared" si="65"/>
        <v>0.24000000000000002</v>
      </c>
      <c r="AT88" s="74">
        <f t="shared" si="66"/>
        <v>3.6299999999999995E-5</v>
      </c>
      <c r="AU88" s="73">
        <f t="shared" si="73"/>
        <v>22.008238235663978</v>
      </c>
      <c r="AV88" s="71">
        <f t="shared" si="74"/>
        <v>173.34</v>
      </c>
      <c r="AW88" s="74">
        <f t="shared" si="75"/>
        <v>88.733843502026517</v>
      </c>
    </row>
    <row r="89" spans="17:49" x14ac:dyDescent="0.25">
      <c r="Q89">
        <v>82</v>
      </c>
      <c r="R89" s="73">
        <f t="shared" si="49"/>
        <v>53.5</v>
      </c>
      <c r="S89" s="71">
        <f t="shared" si="50"/>
        <v>3.2800000000000002</v>
      </c>
      <c r="T89" s="71">
        <f t="shared" si="51"/>
        <v>11</v>
      </c>
      <c r="U89" s="74">
        <f t="shared" si="52"/>
        <v>15.952727272727275</v>
      </c>
      <c r="V89" s="73">
        <f>IF(Variable_Management!$B$20=3,2,IF((S89*R89/T89)&lt;((T89*(1-(T89/R89)))/(2*Lm*Fsw)),1,2))</f>
        <v>2</v>
      </c>
      <c r="W89" s="71">
        <f t="shared" si="53"/>
        <v>0.79439252336448596</v>
      </c>
      <c r="X89" s="74">
        <f t="shared" si="54"/>
        <v>0.20560747663551404</v>
      </c>
      <c r="Y89" s="73">
        <f t="shared" si="55"/>
        <v>5.3282425347617979</v>
      </c>
      <c r="Z89" s="71">
        <f t="shared" si="77"/>
        <v>18.616848540108172</v>
      </c>
      <c r="AA89" s="71">
        <f t="shared" si="78"/>
        <v>16.026707547521639</v>
      </c>
      <c r="AB89" s="71">
        <v>0</v>
      </c>
      <c r="AC89" s="71">
        <f t="shared" si="56"/>
        <v>0.59076731607171029</v>
      </c>
      <c r="AD89" s="74">
        <f t="shared" si="67"/>
        <v>0.59076731607171029</v>
      </c>
      <c r="AE89" s="73">
        <f t="shared" si="76"/>
        <v>12.672727272727274</v>
      </c>
      <c r="AF89" s="71">
        <f t="shared" si="68"/>
        <v>14.284396152802701</v>
      </c>
      <c r="AG89" s="71">
        <f t="shared" si="57"/>
        <v>0.65294071504065476</v>
      </c>
      <c r="AH89" s="71">
        <f t="shared" si="58"/>
        <v>14.582321050500175</v>
      </c>
      <c r="AI89" s="74">
        <f t="shared" si="69"/>
        <v>15.23526176554083</v>
      </c>
      <c r="AJ89" s="73">
        <f t="shared" si="70"/>
        <v>3.2800000000000007</v>
      </c>
      <c r="AK89" s="71">
        <f t="shared" si="59"/>
        <v>7.2671439619414704</v>
      </c>
      <c r="AL89" s="71">
        <f t="shared" si="60"/>
        <v>0.1689964203634636</v>
      </c>
      <c r="AM89" s="71">
        <f t="shared" si="71"/>
        <v>0</v>
      </c>
      <c r="AN89" s="188">
        <f t="shared" si="61"/>
        <v>0.37233697080216344</v>
      </c>
      <c r="AO89" s="74">
        <f t="shared" si="72"/>
        <v>0.54133339116562706</v>
      </c>
      <c r="AP89" s="73">
        <f t="shared" si="62"/>
        <v>0.30822642577654447</v>
      </c>
      <c r="AQ89" s="206">
        <f t="shared" si="63"/>
        <v>0.59076731607171029</v>
      </c>
      <c r="AR89" s="206">
        <f t="shared" si="64"/>
        <v>4.7390927326794205</v>
      </c>
      <c r="AS89" s="71">
        <f t="shared" si="65"/>
        <v>0.24000000000000002</v>
      </c>
      <c r="AT89" s="74">
        <f t="shared" si="66"/>
        <v>3.6299999999999995E-5</v>
      </c>
      <c r="AU89" s="73">
        <f t="shared" si="73"/>
        <v>22.24548524730584</v>
      </c>
      <c r="AV89" s="71">
        <f t="shared" si="74"/>
        <v>175.48000000000002</v>
      </c>
      <c r="AW89" s="74">
        <f t="shared" si="75"/>
        <v>88.749308052281563</v>
      </c>
    </row>
    <row r="90" spans="17:49" x14ac:dyDescent="0.25">
      <c r="Q90">
        <v>83</v>
      </c>
      <c r="R90" s="73">
        <f t="shared" si="49"/>
        <v>53.5</v>
      </c>
      <c r="S90" s="71">
        <f t="shared" si="50"/>
        <v>3.3200000000000003</v>
      </c>
      <c r="T90" s="71">
        <f t="shared" si="51"/>
        <v>11</v>
      </c>
      <c r="U90" s="74">
        <f t="shared" si="52"/>
        <v>16.147272727272728</v>
      </c>
      <c r="V90" s="73">
        <f>IF(Variable_Management!$B$20=3,2,IF((S90*R90/T90)&lt;((T90*(1-(T90/R90)))/(2*Lm*Fsw)),1,2))</f>
        <v>2</v>
      </c>
      <c r="W90" s="71">
        <f t="shared" si="53"/>
        <v>0.79439252336448596</v>
      </c>
      <c r="X90" s="74">
        <f t="shared" si="54"/>
        <v>0.20560747663551404</v>
      </c>
      <c r="Y90" s="73">
        <f t="shared" si="55"/>
        <v>5.3282425347617979</v>
      </c>
      <c r="Z90" s="71">
        <f t="shared" si="77"/>
        <v>18.811393994653628</v>
      </c>
      <c r="AA90" s="71">
        <f t="shared" si="78"/>
        <v>16.220365714270933</v>
      </c>
      <c r="AB90" s="71">
        <v>0</v>
      </c>
      <c r="AC90" s="71">
        <f t="shared" si="56"/>
        <v>0.60513060698080079</v>
      </c>
      <c r="AD90" s="74">
        <f t="shared" si="67"/>
        <v>0.60513060698080079</v>
      </c>
      <c r="AE90" s="73">
        <f t="shared" si="76"/>
        <v>12.827272727272728</v>
      </c>
      <c r="AF90" s="71">
        <f t="shared" si="68"/>
        <v>14.45700116003017</v>
      </c>
      <c r="AG90" s="71">
        <f t="shared" si="57"/>
        <v>0.66881562413156381</v>
      </c>
      <c r="AH90" s="71">
        <f t="shared" si="58"/>
        <v>14.760154234042858</v>
      </c>
      <c r="AI90" s="74">
        <f t="shared" si="69"/>
        <v>15.428969858174423</v>
      </c>
      <c r="AJ90" s="73">
        <f t="shared" si="70"/>
        <v>3.3200000000000007</v>
      </c>
      <c r="AK90" s="71">
        <f t="shared" si="59"/>
        <v>7.3549562448448578</v>
      </c>
      <c r="AL90" s="71">
        <f t="shared" si="60"/>
        <v>0.1731052203634636</v>
      </c>
      <c r="AM90" s="71">
        <f t="shared" si="71"/>
        <v>0</v>
      </c>
      <c r="AN90" s="188">
        <f t="shared" si="61"/>
        <v>0.37622787989307255</v>
      </c>
      <c r="AO90" s="74">
        <f t="shared" si="72"/>
        <v>0.54933310025653614</v>
      </c>
      <c r="AP90" s="73">
        <f t="shared" si="62"/>
        <v>0.31572031668563522</v>
      </c>
      <c r="AQ90" s="206">
        <f t="shared" si="63"/>
        <v>0.60513060698080079</v>
      </c>
      <c r="AR90" s="206">
        <f t="shared" si="64"/>
        <v>4.7390927326794205</v>
      </c>
      <c r="AS90" s="71">
        <f t="shared" si="65"/>
        <v>0.24000000000000002</v>
      </c>
      <c r="AT90" s="74">
        <f t="shared" si="66"/>
        <v>3.6299999999999995E-5</v>
      </c>
      <c r="AU90" s="73">
        <f t="shared" si="73"/>
        <v>22.483413521757615</v>
      </c>
      <c r="AV90" s="71">
        <f t="shared" si="74"/>
        <v>177.62</v>
      </c>
      <c r="AW90" s="74">
        <f t="shared" si="75"/>
        <v>88.764102957537531</v>
      </c>
    </row>
    <row r="91" spans="17:49" x14ac:dyDescent="0.25">
      <c r="Q91">
        <v>84</v>
      </c>
      <c r="R91" s="73">
        <f t="shared" si="49"/>
        <v>53.5</v>
      </c>
      <c r="S91" s="71">
        <f t="shared" si="50"/>
        <v>3.36</v>
      </c>
      <c r="T91" s="71">
        <f t="shared" si="51"/>
        <v>11</v>
      </c>
      <c r="U91" s="74">
        <f t="shared" si="52"/>
        <v>16.34181818181818</v>
      </c>
      <c r="V91" s="73">
        <f>IF(Variable_Management!$B$20=3,2,IF((S91*R91/T91)&lt;((T91*(1-(T91/R91)))/(2*Lm*Fsw)),1,2))</f>
        <v>2</v>
      </c>
      <c r="W91" s="71">
        <f t="shared" si="53"/>
        <v>0.79439252336448596</v>
      </c>
      <c r="X91" s="74">
        <f t="shared" si="54"/>
        <v>0.20560747663551404</v>
      </c>
      <c r="Y91" s="73">
        <f t="shared" si="55"/>
        <v>5.3282425347617979</v>
      </c>
      <c r="Z91" s="71">
        <f t="shared" si="77"/>
        <v>19.005939449199079</v>
      </c>
      <c r="AA91" s="71">
        <f t="shared" si="78"/>
        <v>16.414044866009526</v>
      </c>
      <c r="AB91" s="71">
        <v>0</v>
      </c>
      <c r="AC91" s="71">
        <f t="shared" si="56"/>
        <v>0.61966799838575948</v>
      </c>
      <c r="AD91" s="74">
        <f t="shared" si="67"/>
        <v>0.61966799838575948</v>
      </c>
      <c r="AE91" s="73">
        <f t="shared" si="76"/>
        <v>12.981818181818181</v>
      </c>
      <c r="AF91" s="71">
        <f t="shared" si="68"/>
        <v>14.629624870905872</v>
      </c>
      <c r="AG91" s="71">
        <f t="shared" si="57"/>
        <v>0.68488295636296848</v>
      </c>
      <c r="AH91" s="71">
        <f t="shared" si="58"/>
        <v>14.937987417585539</v>
      </c>
      <c r="AI91" s="74">
        <f t="shared" si="69"/>
        <v>15.622870373948508</v>
      </c>
      <c r="AJ91" s="73">
        <f t="shared" si="70"/>
        <v>3.36</v>
      </c>
      <c r="AK91" s="71">
        <f t="shared" si="59"/>
        <v>7.4427780431735293</v>
      </c>
      <c r="AL91" s="71">
        <f t="shared" si="60"/>
        <v>0.17726382399982718</v>
      </c>
      <c r="AM91" s="71">
        <f t="shared" si="71"/>
        <v>0</v>
      </c>
      <c r="AN91" s="188">
        <f t="shared" si="61"/>
        <v>0.3801187889839816</v>
      </c>
      <c r="AO91" s="74">
        <f t="shared" si="72"/>
        <v>0.55738261298380876</v>
      </c>
      <c r="AP91" s="73">
        <f t="shared" si="62"/>
        <v>0.32330504263604842</v>
      </c>
      <c r="AQ91" s="206">
        <f t="shared" si="63"/>
        <v>0.61966799838575948</v>
      </c>
      <c r="AR91" s="206">
        <f t="shared" si="64"/>
        <v>4.7390927326794205</v>
      </c>
      <c r="AS91" s="71">
        <f t="shared" si="65"/>
        <v>0.24000000000000002</v>
      </c>
      <c r="AT91" s="74">
        <f t="shared" si="66"/>
        <v>3.6299999999999995E-5</v>
      </c>
      <c r="AU91" s="73">
        <f t="shared" si="73"/>
        <v>22.722023059019303</v>
      </c>
      <c r="AV91" s="71">
        <f t="shared" si="74"/>
        <v>179.76</v>
      </c>
      <c r="AW91" s="74">
        <f t="shared" si="75"/>
        <v>88.778251661187568</v>
      </c>
    </row>
    <row r="92" spans="17:49" x14ac:dyDescent="0.25">
      <c r="Q92">
        <v>85</v>
      </c>
      <c r="R92" s="73">
        <f t="shared" si="49"/>
        <v>53.5</v>
      </c>
      <c r="S92" s="71">
        <f t="shared" si="50"/>
        <v>3.4</v>
      </c>
      <c r="T92" s="71">
        <f t="shared" si="51"/>
        <v>11</v>
      </c>
      <c r="U92" s="74">
        <f t="shared" si="52"/>
        <v>16.536363636363635</v>
      </c>
      <c r="V92" s="73">
        <f>IF(Variable_Management!$B$20=3,2,IF((S92*R92/T92)&lt;((T92*(1-(T92/R92)))/(2*Lm*Fsw)),1,2))</f>
        <v>2</v>
      </c>
      <c r="W92" s="71">
        <f t="shared" si="53"/>
        <v>0.79439252336448596</v>
      </c>
      <c r="X92" s="74">
        <f t="shared" si="54"/>
        <v>0.20560747663551404</v>
      </c>
      <c r="Y92" s="73">
        <f t="shared" si="55"/>
        <v>5.3282425347617979</v>
      </c>
      <c r="Z92" s="71">
        <f t="shared" si="77"/>
        <v>19.200484903744535</v>
      </c>
      <c r="AA92" s="71">
        <f t="shared" si="78"/>
        <v>16.607744268557965</v>
      </c>
      <c r="AB92" s="71">
        <v>0</v>
      </c>
      <c r="AC92" s="71">
        <f t="shared" si="56"/>
        <v>0.6343794902865858</v>
      </c>
      <c r="AD92" s="74">
        <f t="shared" si="67"/>
        <v>0.6343794902865858</v>
      </c>
      <c r="AE92" s="73">
        <f t="shared" si="76"/>
        <v>13.136363636363635</v>
      </c>
      <c r="AF92" s="71">
        <f t="shared" si="68"/>
        <v>14.802266631065212</v>
      </c>
      <c r="AG92" s="71">
        <f t="shared" si="57"/>
        <v>0.70114271173486931</v>
      </c>
      <c r="AH92" s="71">
        <f t="shared" si="58"/>
        <v>15.115820601128226</v>
      </c>
      <c r="AI92" s="74">
        <f t="shared" si="69"/>
        <v>15.816963312863095</v>
      </c>
      <c r="AJ92" s="73">
        <f t="shared" si="70"/>
        <v>3.4000000000000004</v>
      </c>
      <c r="AK92" s="71">
        <f t="shared" si="59"/>
        <v>7.5306090240214481</v>
      </c>
      <c r="AL92" s="71">
        <f t="shared" si="60"/>
        <v>0.18147223127255446</v>
      </c>
      <c r="AM92" s="71">
        <f t="shared" si="71"/>
        <v>0</v>
      </c>
      <c r="AN92" s="188">
        <f t="shared" si="61"/>
        <v>0.38400969807489072</v>
      </c>
      <c r="AO92" s="74">
        <f t="shared" si="72"/>
        <v>0.56548192934744512</v>
      </c>
      <c r="AP92" s="73">
        <f t="shared" si="62"/>
        <v>0.33098060362778386</v>
      </c>
      <c r="AQ92" s="206">
        <f t="shared" si="63"/>
        <v>0.6343794902865858</v>
      </c>
      <c r="AR92" s="206">
        <f t="shared" si="64"/>
        <v>4.7390927326794205</v>
      </c>
      <c r="AS92" s="71">
        <f t="shared" si="65"/>
        <v>0.24000000000000002</v>
      </c>
      <c r="AT92" s="74">
        <f t="shared" si="66"/>
        <v>3.6299999999999995E-5</v>
      </c>
      <c r="AU92" s="73">
        <f t="shared" si="73"/>
        <v>22.961313859090918</v>
      </c>
      <c r="AV92" s="71">
        <f t="shared" si="74"/>
        <v>181.9</v>
      </c>
      <c r="AW92" s="74">
        <f t="shared" si="75"/>
        <v>88.791776530885514</v>
      </c>
    </row>
    <row r="93" spans="17:49" x14ac:dyDescent="0.25">
      <c r="Q93">
        <v>86</v>
      </c>
      <c r="R93" s="73">
        <f t="shared" si="49"/>
        <v>53.5</v>
      </c>
      <c r="S93" s="71">
        <f t="shared" si="50"/>
        <v>3.44</v>
      </c>
      <c r="T93" s="71">
        <f t="shared" si="51"/>
        <v>11</v>
      </c>
      <c r="U93" s="74">
        <f t="shared" si="52"/>
        <v>16.730909090909091</v>
      </c>
      <c r="V93" s="73">
        <f>IF(Variable_Management!$B$20=3,2,IF((S93*R93/T93)&lt;((T93*(1-(T93/R93)))/(2*Lm*Fsw)),1,2))</f>
        <v>2</v>
      </c>
      <c r="W93" s="71">
        <f t="shared" si="53"/>
        <v>0.79439252336448596</v>
      </c>
      <c r="X93" s="74">
        <f t="shared" si="54"/>
        <v>0.20560747663551404</v>
      </c>
      <c r="Y93" s="73">
        <f t="shared" si="55"/>
        <v>5.3282425347617979</v>
      </c>
      <c r="Z93" s="71">
        <f t="shared" si="77"/>
        <v>19.39503035828999</v>
      </c>
      <c r="AA93" s="71">
        <f t="shared" si="78"/>
        <v>16.801463221518382</v>
      </c>
      <c r="AB93" s="71">
        <v>0</v>
      </c>
      <c r="AC93" s="71">
        <f t="shared" si="56"/>
        <v>0.64926508268328009</v>
      </c>
      <c r="AD93" s="74">
        <f t="shared" si="67"/>
        <v>0.64926508268328009</v>
      </c>
      <c r="AE93" s="73">
        <f t="shared" si="76"/>
        <v>13.290909090909091</v>
      </c>
      <c r="AF93" s="71">
        <f t="shared" si="68"/>
        <v>14.974925816252668</v>
      </c>
      <c r="AG93" s="71">
        <f t="shared" si="57"/>
        <v>0.71759489024726608</v>
      </c>
      <c r="AH93" s="71">
        <f t="shared" si="58"/>
        <v>15.293653784670912</v>
      </c>
      <c r="AI93" s="74">
        <f t="shared" si="69"/>
        <v>16.011248674918178</v>
      </c>
      <c r="AJ93" s="73">
        <f t="shared" si="70"/>
        <v>3.4400000000000004</v>
      </c>
      <c r="AK93" s="71">
        <f t="shared" si="59"/>
        <v>7.6184488698004778</v>
      </c>
      <c r="AL93" s="71">
        <f t="shared" si="60"/>
        <v>0.18573044218164539</v>
      </c>
      <c r="AM93" s="71">
        <f t="shared" si="71"/>
        <v>0</v>
      </c>
      <c r="AN93" s="188">
        <f t="shared" si="61"/>
        <v>0.38790060716579983</v>
      </c>
      <c r="AO93" s="74">
        <f t="shared" si="72"/>
        <v>0.57363104934744524</v>
      </c>
      <c r="AP93" s="73">
        <f t="shared" si="62"/>
        <v>0.33874699966084176</v>
      </c>
      <c r="AQ93" s="206">
        <f t="shared" si="63"/>
        <v>0.64926508268328009</v>
      </c>
      <c r="AR93" s="206">
        <f t="shared" si="64"/>
        <v>4.7390927326794205</v>
      </c>
      <c r="AS93" s="71">
        <f t="shared" si="65"/>
        <v>0.24000000000000002</v>
      </c>
      <c r="AT93" s="74">
        <f t="shared" si="66"/>
        <v>3.6299999999999995E-5</v>
      </c>
      <c r="AU93" s="73">
        <f t="shared" si="73"/>
        <v>23.201285921972442</v>
      </c>
      <c r="AV93" s="71">
        <f t="shared" si="74"/>
        <v>184.04</v>
      </c>
      <c r="AW93" s="74">
        <f t="shared" si="75"/>
        <v>88.804698919544506</v>
      </c>
    </row>
    <row r="94" spans="17:49" x14ac:dyDescent="0.25">
      <c r="Q94">
        <v>87</v>
      </c>
      <c r="R94" s="73">
        <f t="shared" si="49"/>
        <v>53.5</v>
      </c>
      <c r="S94" s="71">
        <f t="shared" si="50"/>
        <v>3.48</v>
      </c>
      <c r="T94" s="71">
        <f t="shared" si="51"/>
        <v>11</v>
      </c>
      <c r="U94" s="74">
        <f t="shared" si="52"/>
        <v>16.925454545454546</v>
      </c>
      <c r="V94" s="73">
        <f>IF(Variable_Management!$B$20=3,2,IF((S94*R94/T94)&lt;((T94*(1-(T94/R94)))/(2*Lm*Fsw)),1,2))</f>
        <v>2</v>
      </c>
      <c r="W94" s="71">
        <f t="shared" si="53"/>
        <v>0.79439252336448596</v>
      </c>
      <c r="X94" s="74">
        <f t="shared" si="54"/>
        <v>0.20560747663551404</v>
      </c>
      <c r="Y94" s="73">
        <f t="shared" si="55"/>
        <v>5.3282425347617979</v>
      </c>
      <c r="Z94" s="71">
        <f t="shared" si="77"/>
        <v>19.589575812835445</v>
      </c>
      <c r="AA94" s="71">
        <f t="shared" si="78"/>
        <v>16.995201056357594</v>
      </c>
      <c r="AB94" s="71">
        <v>0</v>
      </c>
      <c r="AC94" s="71">
        <f t="shared" si="56"/>
        <v>0.66432477557584202</v>
      </c>
      <c r="AD94" s="74">
        <f t="shared" si="67"/>
        <v>0.66432477557584202</v>
      </c>
      <c r="AE94" s="73">
        <f t="shared" si="76"/>
        <v>13.445454545454545</v>
      </c>
      <c r="AF94" s="71">
        <f t="shared" si="68"/>
        <v>15.147601830613308</v>
      </c>
      <c r="AG94" s="71">
        <f t="shared" si="57"/>
        <v>0.73423949190015891</v>
      </c>
      <c r="AH94" s="71">
        <f t="shared" si="58"/>
        <v>15.471486968213595</v>
      </c>
      <c r="AI94" s="74">
        <f t="shared" si="69"/>
        <v>16.205726460113755</v>
      </c>
      <c r="AJ94" s="73">
        <f t="shared" si="70"/>
        <v>3.4800000000000004</v>
      </c>
      <c r="AK94" s="71">
        <f t="shared" si="59"/>
        <v>7.7062972773711973</v>
      </c>
      <c r="AL94" s="71">
        <f t="shared" si="60"/>
        <v>0.19003845672709993</v>
      </c>
      <c r="AM94" s="71">
        <f t="shared" si="71"/>
        <v>0</v>
      </c>
      <c r="AN94" s="188">
        <f t="shared" si="61"/>
        <v>0.39179151625670894</v>
      </c>
      <c r="AO94" s="74">
        <f t="shared" si="72"/>
        <v>0.5818299729838089</v>
      </c>
      <c r="AP94" s="73">
        <f t="shared" si="62"/>
        <v>0.3466042307352219</v>
      </c>
      <c r="AQ94" s="206">
        <f t="shared" si="63"/>
        <v>0.66432477557584202</v>
      </c>
      <c r="AR94" s="206">
        <f t="shared" si="64"/>
        <v>4.7390927326794205</v>
      </c>
      <c r="AS94" s="71">
        <f t="shared" si="65"/>
        <v>0.24000000000000002</v>
      </c>
      <c r="AT94" s="74">
        <f t="shared" si="66"/>
        <v>3.6299999999999995E-5</v>
      </c>
      <c r="AU94" s="73">
        <f t="shared" si="73"/>
        <v>23.441939247663893</v>
      </c>
      <c r="AV94" s="71">
        <f t="shared" si="74"/>
        <v>186.18</v>
      </c>
      <c r="AW94" s="74">
        <f t="shared" si="75"/>
        <v>88.817039222231529</v>
      </c>
    </row>
    <row r="95" spans="17:49" x14ac:dyDescent="0.25">
      <c r="Q95">
        <v>88</v>
      </c>
      <c r="R95" s="73">
        <f t="shared" si="49"/>
        <v>53.5</v>
      </c>
      <c r="S95" s="71">
        <f t="shared" si="50"/>
        <v>3.52</v>
      </c>
      <c r="T95" s="71">
        <f t="shared" si="51"/>
        <v>11</v>
      </c>
      <c r="U95" s="74">
        <f t="shared" si="52"/>
        <v>17.12</v>
      </c>
      <c r="V95" s="73">
        <f>IF(Variable_Management!$B$20=3,2,IF((S95*R95/T95)&lt;((T95*(1-(T95/R95)))/(2*Lm*Fsw)),1,2))</f>
        <v>2</v>
      </c>
      <c r="W95" s="71">
        <f t="shared" si="53"/>
        <v>0.79439252336448596</v>
      </c>
      <c r="X95" s="74">
        <f t="shared" si="54"/>
        <v>0.20560747663551404</v>
      </c>
      <c r="Y95" s="73">
        <f t="shared" si="55"/>
        <v>5.3282425347617979</v>
      </c>
      <c r="Z95" s="71">
        <f t="shared" si="77"/>
        <v>19.7841212673809</v>
      </c>
      <c r="AA95" s="71">
        <f t="shared" si="78"/>
        <v>17.188957134619027</v>
      </c>
      <c r="AB95" s="71">
        <v>0</v>
      </c>
      <c r="AC95" s="71">
        <f t="shared" si="56"/>
        <v>0.6795585689642718</v>
      </c>
      <c r="AD95" s="74">
        <f t="shared" si="67"/>
        <v>0.6795585689642718</v>
      </c>
      <c r="AE95" s="73">
        <f t="shared" si="76"/>
        <v>13.6</v>
      </c>
      <c r="AF95" s="71">
        <f t="shared" si="68"/>
        <v>15.320294105099077</v>
      </c>
      <c r="AG95" s="71">
        <f t="shared" si="57"/>
        <v>0.75107651669354736</v>
      </c>
      <c r="AH95" s="71">
        <f t="shared" si="58"/>
        <v>15.649320151756283</v>
      </c>
      <c r="AI95" s="74">
        <f t="shared" si="69"/>
        <v>16.400396668449829</v>
      </c>
      <c r="AJ95" s="73">
        <f t="shared" si="70"/>
        <v>3.5200000000000005</v>
      </c>
      <c r="AK95" s="71">
        <f t="shared" si="59"/>
        <v>7.7941539572321075</v>
      </c>
      <c r="AL95" s="71">
        <f t="shared" si="60"/>
        <v>0.19439627490891814</v>
      </c>
      <c r="AM95" s="71">
        <f t="shared" si="71"/>
        <v>0</v>
      </c>
      <c r="AN95" s="188">
        <f t="shared" si="61"/>
        <v>0.39568242534761799</v>
      </c>
      <c r="AO95" s="74">
        <f t="shared" si="72"/>
        <v>0.59007870025653619</v>
      </c>
      <c r="AP95" s="73">
        <f t="shared" si="62"/>
        <v>0.35455229685092438</v>
      </c>
      <c r="AQ95" s="206">
        <f t="shared" si="63"/>
        <v>0.6795585689642718</v>
      </c>
      <c r="AR95" s="206">
        <f t="shared" si="64"/>
        <v>4.7390927326794205</v>
      </c>
      <c r="AS95" s="71">
        <f t="shared" si="65"/>
        <v>0.24000000000000002</v>
      </c>
      <c r="AT95" s="74">
        <f t="shared" si="66"/>
        <v>3.6299999999999995E-5</v>
      </c>
      <c r="AU95" s="73">
        <f t="shared" si="73"/>
        <v>23.683273836165252</v>
      </c>
      <c r="AV95" s="71">
        <f t="shared" si="74"/>
        <v>188.32</v>
      </c>
      <c r="AW95" s="74">
        <f t="shared" si="75"/>
        <v>88.828816929276513</v>
      </c>
    </row>
    <row r="96" spans="17:49" x14ac:dyDescent="0.25">
      <c r="Q96">
        <v>89</v>
      </c>
      <c r="R96" s="73">
        <f t="shared" si="49"/>
        <v>53.5</v>
      </c>
      <c r="S96" s="71">
        <f t="shared" si="50"/>
        <v>3.56</v>
      </c>
      <c r="T96" s="71">
        <f t="shared" si="51"/>
        <v>11</v>
      </c>
      <c r="U96" s="74">
        <f t="shared" si="52"/>
        <v>17.314545454545456</v>
      </c>
      <c r="V96" s="73">
        <f>IF(Variable_Management!$B$20=3,2,IF((S96*R96/T96)&lt;((T96*(1-(T96/R96)))/(2*Lm*Fsw)),1,2))</f>
        <v>2</v>
      </c>
      <c r="W96" s="71">
        <f t="shared" si="53"/>
        <v>0.79439252336448596</v>
      </c>
      <c r="X96" s="74">
        <f t="shared" si="54"/>
        <v>0.20560747663551404</v>
      </c>
      <c r="Y96" s="73">
        <f t="shared" si="55"/>
        <v>5.3282425347617979</v>
      </c>
      <c r="Z96" s="71">
        <f t="shared" si="77"/>
        <v>19.978666721926356</v>
      </c>
      <c r="AA96" s="71">
        <f t="shared" si="78"/>
        <v>17.382730846253448</v>
      </c>
      <c r="AB96" s="71">
        <v>0</v>
      </c>
      <c r="AC96" s="71">
        <f t="shared" si="56"/>
        <v>0.69496646284856955</v>
      </c>
      <c r="AD96" s="74">
        <f t="shared" si="67"/>
        <v>0.69496646284856955</v>
      </c>
      <c r="AE96" s="73">
        <f t="shared" si="76"/>
        <v>13.754545454545456</v>
      </c>
      <c r="AF96" s="71">
        <f t="shared" si="68"/>
        <v>15.493002095981025</v>
      </c>
      <c r="AG96" s="71">
        <f t="shared" si="57"/>
        <v>0.76810596462743186</v>
      </c>
      <c r="AH96" s="71">
        <f t="shared" si="58"/>
        <v>15.827153335298968</v>
      </c>
      <c r="AI96" s="74">
        <f t="shared" si="69"/>
        <v>16.595259299926401</v>
      </c>
      <c r="AJ96" s="73">
        <f t="shared" si="70"/>
        <v>3.5600000000000009</v>
      </c>
      <c r="AK96" s="71">
        <f t="shared" si="59"/>
        <v>7.8820186327627226</v>
      </c>
      <c r="AL96" s="71">
        <f t="shared" si="60"/>
        <v>0.19880389672709997</v>
      </c>
      <c r="AM96" s="71">
        <f t="shared" si="71"/>
        <v>0</v>
      </c>
      <c r="AN96" s="188">
        <f t="shared" si="61"/>
        <v>0.39957333443852711</v>
      </c>
      <c r="AO96" s="74">
        <f t="shared" si="72"/>
        <v>0.59837723116562702</v>
      </c>
      <c r="AP96" s="73">
        <f t="shared" si="62"/>
        <v>0.36259119800794926</v>
      </c>
      <c r="AQ96" s="206">
        <f t="shared" si="63"/>
        <v>0.69496646284856955</v>
      </c>
      <c r="AR96" s="206">
        <f t="shared" si="64"/>
        <v>4.7390927326794205</v>
      </c>
      <c r="AS96" s="71">
        <f t="shared" si="65"/>
        <v>0.24000000000000002</v>
      </c>
      <c r="AT96" s="74">
        <f t="shared" si="66"/>
        <v>3.6299999999999995E-5</v>
      </c>
      <c r="AU96" s="73">
        <f t="shared" si="73"/>
        <v>23.925289687476536</v>
      </c>
      <c r="AV96" s="71">
        <f t="shared" si="74"/>
        <v>190.46</v>
      </c>
      <c r="AW96" s="74">
        <f t="shared" si="75"/>
        <v>88.840050675886388</v>
      </c>
    </row>
    <row r="97" spans="17:49" x14ac:dyDescent="0.25">
      <c r="Q97">
        <v>90</v>
      </c>
      <c r="R97" s="73">
        <f t="shared" si="49"/>
        <v>53.5</v>
      </c>
      <c r="S97" s="71">
        <f t="shared" si="50"/>
        <v>3.6</v>
      </c>
      <c r="T97" s="71">
        <f t="shared" si="51"/>
        <v>11</v>
      </c>
      <c r="U97" s="74">
        <f t="shared" si="52"/>
        <v>17.509090909090908</v>
      </c>
      <c r="V97" s="73">
        <f>IF(Variable_Management!$B$20=3,2,IF((S97*R97/T97)&lt;((T97*(1-(T97/R97)))/(2*Lm*Fsw)),1,2))</f>
        <v>2</v>
      </c>
      <c r="W97" s="71">
        <f t="shared" si="53"/>
        <v>0.79439252336448596</v>
      </c>
      <c r="X97" s="74">
        <f t="shared" si="54"/>
        <v>0.20560747663551404</v>
      </c>
      <c r="Y97" s="73">
        <f t="shared" si="55"/>
        <v>5.3282425347617979</v>
      </c>
      <c r="Z97" s="71">
        <f t="shared" si="77"/>
        <v>20.173212176471807</v>
      </c>
      <c r="AA97" s="71">
        <f t="shared" si="78"/>
        <v>17.576521608059434</v>
      </c>
      <c r="AB97" s="71">
        <v>0</v>
      </c>
      <c r="AC97" s="71">
        <f t="shared" si="56"/>
        <v>0.71054845722873439</v>
      </c>
      <c r="AD97" s="74">
        <f t="shared" si="67"/>
        <v>0.71054845722873439</v>
      </c>
      <c r="AE97" s="73">
        <f t="shared" si="76"/>
        <v>13.909090909090908</v>
      </c>
      <c r="AF97" s="71">
        <f t="shared" si="68"/>
        <v>15.665725283459304</v>
      </c>
      <c r="AG97" s="71">
        <f t="shared" si="57"/>
        <v>0.78532783570181164</v>
      </c>
      <c r="AH97" s="71">
        <f t="shared" si="58"/>
        <v>16.004986518841651</v>
      </c>
      <c r="AI97" s="74">
        <f t="shared" si="69"/>
        <v>16.790314354543462</v>
      </c>
      <c r="AJ97" s="73">
        <f t="shared" si="70"/>
        <v>3.6</v>
      </c>
      <c r="AK97" s="71">
        <f t="shared" si="59"/>
        <v>7.9698910395164235</v>
      </c>
      <c r="AL97" s="71">
        <f t="shared" si="60"/>
        <v>0.20326132218164539</v>
      </c>
      <c r="AM97" s="71">
        <f t="shared" si="71"/>
        <v>0</v>
      </c>
      <c r="AN97" s="188">
        <f t="shared" si="61"/>
        <v>0.40346424352943616</v>
      </c>
      <c r="AO97" s="74">
        <f t="shared" si="72"/>
        <v>0.60672556571108149</v>
      </c>
      <c r="AP97" s="73">
        <f t="shared" si="62"/>
        <v>0.3707209342062962</v>
      </c>
      <c r="AQ97" s="206">
        <f t="shared" si="63"/>
        <v>0.71054845722873439</v>
      </c>
      <c r="AR97" s="206">
        <f t="shared" si="64"/>
        <v>4.7390927326794205</v>
      </c>
      <c r="AS97" s="71">
        <f t="shared" si="65"/>
        <v>0.24000000000000002</v>
      </c>
      <c r="AT97" s="74">
        <f t="shared" si="66"/>
        <v>3.6299999999999995E-5</v>
      </c>
      <c r="AU97" s="73">
        <f t="shared" si="73"/>
        <v>24.167986801597731</v>
      </c>
      <c r="AV97" s="71">
        <f t="shared" si="74"/>
        <v>192.6</v>
      </c>
      <c r="AW97" s="74">
        <f t="shared" si="75"/>
        <v>88.850758288529903</v>
      </c>
    </row>
    <row r="98" spans="17:49" x14ac:dyDescent="0.25">
      <c r="Q98">
        <v>91</v>
      </c>
      <c r="R98" s="73">
        <f t="shared" si="49"/>
        <v>53.5</v>
      </c>
      <c r="S98" s="71">
        <f t="shared" si="50"/>
        <v>3.64</v>
      </c>
      <c r="T98" s="71">
        <f t="shared" si="51"/>
        <v>11</v>
      </c>
      <c r="U98" s="74">
        <f t="shared" si="52"/>
        <v>17.703636363636363</v>
      </c>
      <c r="V98" s="73">
        <f>IF(Variable_Management!$B$20=3,2,IF((S98*R98/T98)&lt;((T98*(1-(T98/R98)))/(2*Lm*Fsw)),1,2))</f>
        <v>2</v>
      </c>
      <c r="W98" s="71">
        <f t="shared" si="53"/>
        <v>0.79439252336448596</v>
      </c>
      <c r="X98" s="74">
        <f t="shared" si="54"/>
        <v>0.20560747663551404</v>
      </c>
      <c r="Y98" s="73">
        <f t="shared" si="55"/>
        <v>5.3282425347617979</v>
      </c>
      <c r="Z98" s="71">
        <f t="shared" si="77"/>
        <v>20.367757631017263</v>
      </c>
      <c r="AA98" s="71">
        <f t="shared" si="78"/>
        <v>17.77032886222532</v>
      </c>
      <c r="AB98" s="71">
        <v>0</v>
      </c>
      <c r="AC98" s="71">
        <f t="shared" si="56"/>
        <v>0.72630455210476785</v>
      </c>
      <c r="AD98" s="74">
        <f t="shared" si="67"/>
        <v>0.72630455210476785</v>
      </c>
      <c r="AE98" s="73">
        <f t="shared" si="76"/>
        <v>14.063636363636363</v>
      </c>
      <c r="AF98" s="71">
        <f t="shared" si="68"/>
        <v>15.838463170363621</v>
      </c>
      <c r="AG98" s="71">
        <f t="shared" si="57"/>
        <v>0.80274212991668747</v>
      </c>
      <c r="AH98" s="71">
        <f t="shared" si="58"/>
        <v>16.182819702384336</v>
      </c>
      <c r="AI98" s="74">
        <f t="shared" si="69"/>
        <v>16.985561832301023</v>
      </c>
      <c r="AJ98" s="73">
        <f t="shared" si="70"/>
        <v>3.64</v>
      </c>
      <c r="AK98" s="71">
        <f t="shared" si="59"/>
        <v>8.0577709245593017</v>
      </c>
      <c r="AL98" s="71">
        <f t="shared" si="60"/>
        <v>0.20776855127255445</v>
      </c>
      <c r="AM98" s="71">
        <f t="shared" si="71"/>
        <v>0</v>
      </c>
      <c r="AN98" s="188">
        <f t="shared" si="61"/>
        <v>0.40735515262034527</v>
      </c>
      <c r="AO98" s="74">
        <f t="shared" si="72"/>
        <v>0.61512370389289972</v>
      </c>
      <c r="AP98" s="73">
        <f t="shared" si="62"/>
        <v>0.37894150544596583</v>
      </c>
      <c r="AQ98" s="206">
        <f t="shared" si="63"/>
        <v>0.72630455210476785</v>
      </c>
      <c r="AR98" s="206">
        <f t="shared" si="64"/>
        <v>4.7390927326794205</v>
      </c>
      <c r="AS98" s="71">
        <f t="shared" si="65"/>
        <v>0.24000000000000002</v>
      </c>
      <c r="AT98" s="74">
        <f t="shared" si="66"/>
        <v>3.6299999999999995E-5</v>
      </c>
      <c r="AU98" s="73">
        <f t="shared" si="73"/>
        <v>24.411365178528847</v>
      </c>
      <c r="AV98" s="71">
        <f t="shared" si="74"/>
        <v>194.74</v>
      </c>
      <c r="AW98" s="74">
        <f t="shared" si="75"/>
        <v>88.860956828335318</v>
      </c>
    </row>
    <row r="99" spans="17:49" x14ac:dyDescent="0.25">
      <c r="Q99">
        <v>92</v>
      </c>
      <c r="R99" s="73">
        <f t="shared" si="49"/>
        <v>53.5</v>
      </c>
      <c r="S99" s="71">
        <f t="shared" si="50"/>
        <v>3.68</v>
      </c>
      <c r="T99" s="71">
        <f t="shared" si="51"/>
        <v>11</v>
      </c>
      <c r="U99" s="74">
        <f t="shared" si="52"/>
        <v>17.898181818181818</v>
      </c>
      <c r="V99" s="73">
        <f>IF(Variable_Management!$B$20=3,2,IF((S99*R99/T99)&lt;((T99*(1-(T99/R99)))/(2*Lm*Fsw)),1,2))</f>
        <v>2</v>
      </c>
      <c r="W99" s="71">
        <f t="shared" si="53"/>
        <v>0.79439252336448596</v>
      </c>
      <c r="X99" s="74">
        <f t="shared" si="54"/>
        <v>0.20560747663551404</v>
      </c>
      <c r="Y99" s="73">
        <f t="shared" si="55"/>
        <v>5.3282425347617979</v>
      </c>
      <c r="Z99" s="71">
        <f t="shared" si="77"/>
        <v>20.562303085562718</v>
      </c>
      <c r="AA99" s="71">
        <f t="shared" si="78"/>
        <v>17.964152074964868</v>
      </c>
      <c r="AB99" s="71">
        <v>0</v>
      </c>
      <c r="AC99" s="71">
        <f t="shared" si="56"/>
        <v>0.74223474747666851</v>
      </c>
      <c r="AD99" s="74">
        <f t="shared" si="67"/>
        <v>0.74223474747666851</v>
      </c>
      <c r="AE99" s="73">
        <f t="shared" si="76"/>
        <v>14.218181818181819</v>
      </c>
      <c r="AF99" s="71">
        <f t="shared" si="68"/>
        <v>16.011215280937254</v>
      </c>
      <c r="AG99" s="71">
        <f t="shared" si="57"/>
        <v>0.82034884727205959</v>
      </c>
      <c r="AH99" s="71">
        <f t="shared" si="58"/>
        <v>16.360652885927024</v>
      </c>
      <c r="AI99" s="74">
        <f t="shared" si="69"/>
        <v>17.181001733199082</v>
      </c>
      <c r="AJ99" s="73">
        <f t="shared" si="70"/>
        <v>3.6800000000000006</v>
      </c>
      <c r="AK99" s="71">
        <f t="shared" si="59"/>
        <v>8.145658045851544</v>
      </c>
      <c r="AL99" s="71">
        <f t="shared" si="60"/>
        <v>0.21232558399982718</v>
      </c>
      <c r="AM99" s="71">
        <f t="shared" si="71"/>
        <v>0</v>
      </c>
      <c r="AN99" s="188">
        <f t="shared" si="61"/>
        <v>0.41124606171125438</v>
      </c>
      <c r="AO99" s="74">
        <f t="shared" si="72"/>
        <v>0.62357164571108159</v>
      </c>
      <c r="AP99" s="73">
        <f t="shared" si="62"/>
        <v>0.38725291172695747</v>
      </c>
      <c r="AQ99" s="206">
        <f t="shared" si="63"/>
        <v>0.74223474747666851</v>
      </c>
      <c r="AR99" s="206">
        <f t="shared" si="64"/>
        <v>4.7390927326794205</v>
      </c>
      <c r="AS99" s="71">
        <f t="shared" si="65"/>
        <v>0.24000000000000002</v>
      </c>
      <c r="AT99" s="74">
        <f t="shared" si="66"/>
        <v>3.6299999999999995E-5</v>
      </c>
      <c r="AU99" s="73">
        <f t="shared" si="73"/>
        <v>24.655424818269879</v>
      </c>
      <c r="AV99" s="71">
        <f t="shared" si="74"/>
        <v>196.88</v>
      </c>
      <c r="AW99" s="74">
        <f t="shared" si="75"/>
        <v>88.870662631723476</v>
      </c>
    </row>
    <row r="100" spans="17:49" x14ac:dyDescent="0.25">
      <c r="Q100">
        <v>93</v>
      </c>
      <c r="R100" s="73">
        <f t="shared" si="49"/>
        <v>53.5</v>
      </c>
      <c r="S100" s="71">
        <f t="shared" si="50"/>
        <v>3.72</v>
      </c>
      <c r="T100" s="71">
        <f t="shared" si="51"/>
        <v>11</v>
      </c>
      <c r="U100" s="74">
        <f t="shared" si="52"/>
        <v>18.092727272727274</v>
      </c>
      <c r="V100" s="73">
        <f>IF(Variable_Management!$B$20=3,2,IF((S100*R100/T100)&lt;((T100*(1-(T100/R100)))/(2*Lm*Fsw)),1,2))</f>
        <v>2</v>
      </c>
      <c r="W100" s="71">
        <f t="shared" si="53"/>
        <v>0.79439252336448596</v>
      </c>
      <c r="X100" s="74">
        <f t="shared" si="54"/>
        <v>0.20560747663551404</v>
      </c>
      <c r="Y100" s="73">
        <f t="shared" si="55"/>
        <v>5.3282425347617979</v>
      </c>
      <c r="Z100" s="71">
        <f t="shared" si="77"/>
        <v>20.756848540108173</v>
      </c>
      <c r="AA100" s="71">
        <f t="shared" si="78"/>
        <v>18.157990735239945</v>
      </c>
      <c r="AB100" s="71">
        <v>0</v>
      </c>
      <c r="AC100" s="71">
        <f t="shared" si="56"/>
        <v>0.75833904334443736</v>
      </c>
      <c r="AD100" s="74">
        <f t="shared" si="67"/>
        <v>0.75833904334443736</v>
      </c>
      <c r="AE100" s="73">
        <f t="shared" si="76"/>
        <v>14.372727272727273</v>
      </c>
      <c r="AF100" s="71">
        <f t="shared" si="68"/>
        <v>16.18398115969854</v>
      </c>
      <c r="AG100" s="71">
        <f t="shared" si="57"/>
        <v>0.83814798776792743</v>
      </c>
      <c r="AH100" s="71">
        <f t="shared" si="58"/>
        <v>16.538486069469709</v>
      </c>
      <c r="AI100" s="74">
        <f t="shared" si="69"/>
        <v>17.376634057237638</v>
      </c>
      <c r="AJ100" s="73">
        <f t="shared" si="70"/>
        <v>3.7200000000000006</v>
      </c>
      <c r="AK100" s="71">
        <f t="shared" si="59"/>
        <v>8.2335521716682152</v>
      </c>
      <c r="AL100" s="71">
        <f t="shared" si="60"/>
        <v>0.21693242036346366</v>
      </c>
      <c r="AM100" s="71">
        <f t="shared" si="71"/>
        <v>0</v>
      </c>
      <c r="AN100" s="188">
        <f t="shared" si="61"/>
        <v>0.4151369708021635</v>
      </c>
      <c r="AO100" s="74">
        <f t="shared" si="72"/>
        <v>0.63206939116562721</v>
      </c>
      <c r="AP100" s="73">
        <f t="shared" si="62"/>
        <v>0.39565515304927162</v>
      </c>
      <c r="AQ100" s="206">
        <f t="shared" si="63"/>
        <v>0.75833904334443736</v>
      </c>
      <c r="AR100" s="206">
        <f t="shared" si="64"/>
        <v>4.7390927326794205</v>
      </c>
      <c r="AS100" s="71">
        <f t="shared" si="65"/>
        <v>0.24000000000000002</v>
      </c>
      <c r="AT100" s="74">
        <f t="shared" si="66"/>
        <v>3.6299999999999995E-5</v>
      </c>
      <c r="AU100" s="73">
        <f t="shared" si="73"/>
        <v>24.900165720820834</v>
      </c>
      <c r="AV100" s="71">
        <f t="shared" si="74"/>
        <v>199.02</v>
      </c>
      <c r="AW100" s="74">
        <f t="shared" si="75"/>
        <v>88.879891348479148</v>
      </c>
    </row>
    <row r="101" spans="17:49" x14ac:dyDescent="0.25">
      <c r="Q101">
        <v>94</v>
      </c>
      <c r="R101" s="73">
        <f t="shared" si="49"/>
        <v>53.5</v>
      </c>
      <c r="S101" s="71">
        <f t="shared" si="50"/>
        <v>3.7600000000000002</v>
      </c>
      <c r="T101" s="71">
        <f t="shared" si="51"/>
        <v>11</v>
      </c>
      <c r="U101" s="74">
        <f t="shared" si="52"/>
        <v>18.287272727272729</v>
      </c>
      <c r="V101" s="73">
        <f>IF(Variable_Management!$B$20=3,2,IF((S101*R101/T101)&lt;((T101*(1-(T101/R101)))/(2*Lm*Fsw)),1,2))</f>
        <v>2</v>
      </c>
      <c r="W101" s="71">
        <f t="shared" si="53"/>
        <v>0.79439252336448596</v>
      </c>
      <c r="X101" s="74">
        <f t="shared" si="54"/>
        <v>0.20560747663551404</v>
      </c>
      <c r="Y101" s="73">
        <f t="shared" si="55"/>
        <v>5.3282425347617979</v>
      </c>
      <c r="Z101" s="71">
        <f t="shared" si="77"/>
        <v>20.951393994653628</v>
      </c>
      <c r="AA101" s="71">
        <f t="shared" si="78"/>
        <v>18.351844353563575</v>
      </c>
      <c r="AB101" s="71">
        <v>0</v>
      </c>
      <c r="AC101" s="71">
        <f t="shared" si="56"/>
        <v>0.77461743970807351</v>
      </c>
      <c r="AD101" s="74">
        <f t="shared" si="67"/>
        <v>0.77461743970807351</v>
      </c>
      <c r="AE101" s="73">
        <f t="shared" si="76"/>
        <v>14.527272727272727</v>
      </c>
      <c r="AF101" s="71">
        <f t="shared" si="68"/>
        <v>16.356760370374111</v>
      </c>
      <c r="AG101" s="71">
        <f t="shared" si="57"/>
        <v>0.85613955140429143</v>
      </c>
      <c r="AH101" s="71">
        <f t="shared" si="58"/>
        <v>16.716319253012394</v>
      </c>
      <c r="AI101" s="74">
        <f t="shared" si="69"/>
        <v>17.572458804416684</v>
      </c>
      <c r="AJ101" s="73">
        <f t="shared" si="70"/>
        <v>3.7600000000000007</v>
      </c>
      <c r="AK101" s="71">
        <f t="shared" si="59"/>
        <v>8.3214530800565338</v>
      </c>
      <c r="AL101" s="71">
        <f t="shared" si="60"/>
        <v>0.22158906036346362</v>
      </c>
      <c r="AM101" s="71">
        <f t="shared" si="71"/>
        <v>0</v>
      </c>
      <c r="AN101" s="188">
        <f t="shared" si="61"/>
        <v>0.41902787989307255</v>
      </c>
      <c r="AO101" s="74">
        <f t="shared" si="72"/>
        <v>0.64061694025653615</v>
      </c>
      <c r="AP101" s="73">
        <f t="shared" si="62"/>
        <v>0.40414822941290784</v>
      </c>
      <c r="AQ101" s="206">
        <f t="shared" si="63"/>
        <v>0.77461743970807351</v>
      </c>
      <c r="AR101" s="206">
        <f t="shared" si="64"/>
        <v>4.7390927326794205</v>
      </c>
      <c r="AS101" s="71">
        <f t="shared" si="65"/>
        <v>0.24000000000000002</v>
      </c>
      <c r="AT101" s="74">
        <f t="shared" si="66"/>
        <v>3.6299999999999995E-5</v>
      </c>
      <c r="AU101" s="73">
        <f t="shared" si="73"/>
        <v>25.145587886181694</v>
      </c>
      <c r="AV101" s="71">
        <f t="shared" si="74"/>
        <v>201.16000000000003</v>
      </c>
      <c r="AW101" s="74">
        <f t="shared" si="75"/>
        <v>88.888657977447551</v>
      </c>
    </row>
    <row r="102" spans="17:49" x14ac:dyDescent="0.25">
      <c r="Q102">
        <v>95</v>
      </c>
      <c r="R102" s="73">
        <f t="shared" si="49"/>
        <v>53.5</v>
      </c>
      <c r="S102" s="71">
        <f t="shared" si="50"/>
        <v>3.8000000000000003</v>
      </c>
      <c r="T102" s="71">
        <f t="shared" si="51"/>
        <v>11</v>
      </c>
      <c r="U102" s="74">
        <f t="shared" si="52"/>
        <v>18.481818181818184</v>
      </c>
      <c r="V102" s="73">
        <f>IF(Variable_Management!$B$20=3,2,IF((S102*R102/T102)&lt;((T102*(1-(T102/R102)))/(2*Lm*Fsw)),1,2))</f>
        <v>2</v>
      </c>
      <c r="W102" s="71">
        <f t="shared" si="53"/>
        <v>0.79439252336448596</v>
      </c>
      <c r="X102" s="74">
        <f t="shared" si="54"/>
        <v>0.20560747663551404</v>
      </c>
      <c r="Y102" s="73">
        <f t="shared" si="55"/>
        <v>5.3282425347617979</v>
      </c>
      <c r="Z102" s="71">
        <f t="shared" si="77"/>
        <v>21.145939449199084</v>
      </c>
      <c r="AA102" s="71">
        <f t="shared" si="78"/>
        <v>18.545712460877731</v>
      </c>
      <c r="AB102" s="71">
        <v>0</v>
      </c>
      <c r="AC102" s="71">
        <f t="shared" si="56"/>
        <v>0.79106993656757774</v>
      </c>
      <c r="AD102" s="74">
        <f t="shared" si="67"/>
        <v>0.79106993656757774</v>
      </c>
      <c r="AE102" s="73">
        <f t="shared" si="76"/>
        <v>14.681818181818183</v>
      </c>
      <c r="AF102" s="71">
        <f t="shared" si="68"/>
        <v>16.529552494898635</v>
      </c>
      <c r="AG102" s="71">
        <f t="shared" si="57"/>
        <v>0.87432353818115105</v>
      </c>
      <c r="AH102" s="71">
        <f t="shared" si="58"/>
        <v>16.894152436555078</v>
      </c>
      <c r="AI102" s="74">
        <f t="shared" si="69"/>
        <v>17.76847597473623</v>
      </c>
      <c r="AJ102" s="73">
        <f t="shared" si="70"/>
        <v>3.8000000000000007</v>
      </c>
      <c r="AK102" s="71">
        <f t="shared" si="59"/>
        <v>8.4093605583270143</v>
      </c>
      <c r="AL102" s="71">
        <f t="shared" si="60"/>
        <v>0.22629550399982731</v>
      </c>
      <c r="AM102" s="71">
        <f t="shared" si="71"/>
        <v>0</v>
      </c>
      <c r="AN102" s="188">
        <f t="shared" si="61"/>
        <v>0.42291878898398166</v>
      </c>
      <c r="AO102" s="74">
        <f t="shared" si="72"/>
        <v>0.64921429298380895</v>
      </c>
      <c r="AP102" s="73">
        <f t="shared" si="62"/>
        <v>0.41273214081786658</v>
      </c>
      <c r="AQ102" s="206">
        <f t="shared" si="63"/>
        <v>0.79106993656757774</v>
      </c>
      <c r="AR102" s="206">
        <f t="shared" si="64"/>
        <v>4.7390927326794205</v>
      </c>
      <c r="AS102" s="71">
        <f t="shared" si="65"/>
        <v>0.24000000000000002</v>
      </c>
      <c r="AT102" s="74">
        <f t="shared" si="66"/>
        <v>3.6299999999999995E-5</v>
      </c>
      <c r="AU102" s="73">
        <f t="shared" si="73"/>
        <v>25.391691314352482</v>
      </c>
      <c r="AV102" s="71">
        <f t="shared" si="74"/>
        <v>203.3</v>
      </c>
      <c r="AW102" s="74">
        <f t="shared" si="75"/>
        <v>88.896976900026587</v>
      </c>
    </row>
    <row r="103" spans="17:49" x14ac:dyDescent="0.25">
      <c r="Q103">
        <v>96</v>
      </c>
      <c r="R103" s="73">
        <f t="shared" si="49"/>
        <v>53.5</v>
      </c>
      <c r="S103" s="71">
        <f t="shared" ref="S103:S134" si="79">Q103*$O$12</f>
        <v>3.84</v>
      </c>
      <c r="T103" s="71">
        <f t="shared" si="51"/>
        <v>11</v>
      </c>
      <c r="U103" s="74">
        <f t="shared" ref="U103:U134" si="80">(R103*S103)/(T103*EFF_est)</f>
        <v>18.676363636363636</v>
      </c>
      <c r="V103" s="73">
        <f>IF(Variable_Management!$B$20=3,2,IF((S103*R103/T103)&lt;((T103*(1-(T103/R103)))/(2*Lm*Fsw)),1,2))</f>
        <v>2</v>
      </c>
      <c r="W103" s="71">
        <f t="shared" ref="W103:W134" si="81">CHOOSE(V103,SQRT((2*S103*Lm*Fsw*(R103-T103))/((T103)^2)),1-(T103/R103))</f>
        <v>0.79439252336448596</v>
      </c>
      <c r="X103" s="74">
        <f t="shared" ref="X103:X134" si="82">CHOOSE(V103,(Lm*Z103*Fsw)/(R103-T103),1-W103)</f>
        <v>0.20560747663551404</v>
      </c>
      <c r="Y103" s="73">
        <f t="shared" ref="Y103:Y134" si="83">(T103*W103)/(Lm*Fsw)</f>
        <v>5.3282425347617979</v>
      </c>
      <c r="Z103" s="71">
        <f t="shared" si="77"/>
        <v>21.340484903744535</v>
      </c>
      <c r="AA103" s="71">
        <f t="shared" si="78"/>
        <v>18.739594607500354</v>
      </c>
      <c r="AB103" s="71">
        <v>0</v>
      </c>
      <c r="AC103" s="71">
        <f t="shared" ref="AC103:AC134" si="84">(AA103^2)*Rdcr</f>
        <v>0.8076965339229496</v>
      </c>
      <c r="AD103" s="74">
        <f t="shared" si="67"/>
        <v>0.8076965339229496</v>
      </c>
      <c r="AE103" s="73">
        <f t="shared" si="76"/>
        <v>14.836363636363636</v>
      </c>
      <c r="AF103" s="71">
        <f t="shared" si="68"/>
        <v>16.702357132476337</v>
      </c>
      <c r="AG103" s="71">
        <f t="shared" ref="AG103:AG134" si="85">(AF103^2)*RDS_on</f>
        <v>0.89269994809850617</v>
      </c>
      <c r="AH103" s="71">
        <f t="shared" ref="AH103:AH134" si="86">((R103*U103)/2)*Fsw*(tr_sw+tf_sw)</f>
        <v>17.07198562009776</v>
      </c>
      <c r="AI103" s="74">
        <f t="shared" si="69"/>
        <v>17.964685568196266</v>
      </c>
      <c r="AJ103" s="73">
        <f t="shared" si="70"/>
        <v>3.8400000000000003</v>
      </c>
      <c r="AK103" s="71">
        <f t="shared" ref="AK103:AK134" si="87">CHOOSE(V103,Z103*SQRT(X103/3),SQRT(X103*((Z103^2)+((Y103^2)/3)-(Y103*Z103))))</f>
        <v>8.4972744025759965</v>
      </c>
      <c r="AL103" s="71">
        <f t="shared" ref="AL103:AL134" si="88">(AK103^2)*RDS_on_HS</f>
        <v>0.23105175127255445</v>
      </c>
      <c r="AM103" s="71">
        <f t="shared" si="71"/>
        <v>0</v>
      </c>
      <c r="AN103" s="188">
        <f t="shared" ref="AN103:AN134" si="89">Vd_rect*t_dead*Fsw*Z103</f>
        <v>0.42680969807489072</v>
      </c>
      <c r="AO103" s="74">
        <f t="shared" si="72"/>
        <v>0.65786144934744517</v>
      </c>
      <c r="AP103" s="73">
        <f t="shared" ref="AP103:AP134" si="90">(AA103^2)*R_cs</f>
        <v>0.4214068872641476</v>
      </c>
      <c r="AQ103" s="206">
        <f t="shared" ref="AQ103:AQ134" si="91">Rdcr*AA103^2</f>
        <v>0.8076965339229496</v>
      </c>
      <c r="AR103" s="206">
        <f t="shared" ref="AR103:AR134" si="92">ABS(7.759*10^-3*Fsw^0.9458*(0.00787*Y103)^2.304)</f>
        <v>4.7390927326794205</v>
      </c>
      <c r="AS103" s="71">
        <f t="shared" ref="AS103:AS134" si="93">(Qg_tot+Qg_tot_HS)*Vcc*Fsw</f>
        <v>0.24000000000000002</v>
      </c>
      <c r="AT103" s="74">
        <f t="shared" ref="AT103:AT134" si="94">IQ*T103</f>
        <v>3.6299999999999995E-5</v>
      </c>
      <c r="AU103" s="73">
        <f t="shared" si="73"/>
        <v>25.638476005333178</v>
      </c>
      <c r="AV103" s="71">
        <f t="shared" si="74"/>
        <v>205.44</v>
      </c>
      <c r="AW103" s="74">
        <f t="shared" si="75"/>
        <v>88.904861911612457</v>
      </c>
    </row>
    <row r="104" spans="17:49" x14ac:dyDescent="0.25">
      <c r="Q104">
        <v>97</v>
      </c>
      <c r="R104" s="73">
        <f t="shared" si="49"/>
        <v>53.5</v>
      </c>
      <c r="S104" s="71">
        <f t="shared" si="79"/>
        <v>3.88</v>
      </c>
      <c r="T104" s="71">
        <f t="shared" si="51"/>
        <v>11</v>
      </c>
      <c r="U104" s="74">
        <f t="shared" si="80"/>
        <v>18.870909090909091</v>
      </c>
      <c r="V104" s="73">
        <f>IF(Variable_Management!$B$20=3,2,IF((S104*R104/T104)&lt;((T104*(1-(T104/R104)))/(2*Lm*Fsw)),1,2))</f>
        <v>2</v>
      </c>
      <c r="W104" s="71">
        <f t="shared" si="81"/>
        <v>0.79439252336448596</v>
      </c>
      <c r="X104" s="74">
        <f t="shared" si="82"/>
        <v>0.20560747663551404</v>
      </c>
      <c r="Y104" s="73">
        <f t="shared" si="83"/>
        <v>5.3282425347617979</v>
      </c>
      <c r="Z104" s="71">
        <f t="shared" si="77"/>
        <v>21.53503035828999</v>
      </c>
      <c r="AA104" s="71">
        <f t="shared" si="78"/>
        <v>18.933490362136766</v>
      </c>
      <c r="AB104" s="71">
        <v>0</v>
      </c>
      <c r="AC104" s="71">
        <f t="shared" si="84"/>
        <v>0.82449723177418943</v>
      </c>
      <c r="AD104" s="74">
        <f t="shared" si="67"/>
        <v>0.82449723177418943</v>
      </c>
      <c r="AE104" s="73">
        <f t="shared" si="76"/>
        <v>14.99090909090909</v>
      </c>
      <c r="AF104" s="71">
        <f t="shared" si="68"/>
        <v>16.875173898699877</v>
      </c>
      <c r="AG104" s="71">
        <f t="shared" si="85"/>
        <v>0.91126878115635723</v>
      </c>
      <c r="AH104" s="71">
        <f t="shared" si="86"/>
        <v>17.249818803640448</v>
      </c>
      <c r="AI104" s="74">
        <f t="shared" si="69"/>
        <v>18.161087584796807</v>
      </c>
      <c r="AJ104" s="73">
        <f t="shared" si="70"/>
        <v>3.8800000000000003</v>
      </c>
      <c r="AK104" s="71">
        <f t="shared" si="87"/>
        <v>8.585194417237398</v>
      </c>
      <c r="AL104" s="71">
        <f t="shared" si="88"/>
        <v>0.23585780218164543</v>
      </c>
      <c r="AM104" s="71">
        <f t="shared" ref="AM104:AM135" si="95">CHOOSE(V104,(R104+Vd_rect)*Qrr*Fsw,(R104+Vd_rect)*Qrr*Fsw)</f>
        <v>0</v>
      </c>
      <c r="AN104" s="188">
        <f t="shared" si="89"/>
        <v>0.43070060716579983</v>
      </c>
      <c r="AO104" s="74">
        <f t="shared" si="72"/>
        <v>0.66655840934744526</v>
      </c>
      <c r="AP104" s="73">
        <f t="shared" si="90"/>
        <v>0.43017246875175097</v>
      </c>
      <c r="AQ104" s="206">
        <f t="shared" si="91"/>
        <v>0.82449723177418943</v>
      </c>
      <c r="AR104" s="206">
        <f t="shared" si="92"/>
        <v>4.7390927326794205</v>
      </c>
      <c r="AS104" s="71">
        <f t="shared" si="93"/>
        <v>0.24000000000000002</v>
      </c>
      <c r="AT104" s="74">
        <f t="shared" si="94"/>
        <v>3.6299999999999995E-5</v>
      </c>
      <c r="AU104" s="73">
        <f t="shared" si="73"/>
        <v>25.885941959123802</v>
      </c>
      <c r="AV104" s="71">
        <f t="shared" si="74"/>
        <v>207.57999999999998</v>
      </c>
      <c r="AW104" s="74">
        <f t="shared" si="75"/>
        <v>88.912326251142858</v>
      </c>
    </row>
    <row r="105" spans="17:49" x14ac:dyDescent="0.25">
      <c r="Q105">
        <v>98</v>
      </c>
      <c r="R105" s="73">
        <f t="shared" si="49"/>
        <v>53.5</v>
      </c>
      <c r="S105" s="71">
        <f t="shared" si="79"/>
        <v>3.92</v>
      </c>
      <c r="T105" s="71">
        <f t="shared" si="51"/>
        <v>11</v>
      </c>
      <c r="U105" s="74">
        <f t="shared" si="80"/>
        <v>19.065454545454546</v>
      </c>
      <c r="V105" s="73">
        <f>IF(Variable_Management!$B$20=3,2,IF((S105*R105/T105)&lt;((T105*(1-(T105/R105)))/(2*Lm*Fsw)),1,2))</f>
        <v>2</v>
      </c>
      <c r="W105" s="71">
        <f t="shared" si="81"/>
        <v>0.79439252336448596</v>
      </c>
      <c r="X105" s="74">
        <f t="shared" si="82"/>
        <v>0.20560747663551404</v>
      </c>
      <c r="Y105" s="73">
        <f t="shared" si="83"/>
        <v>5.3282425347617979</v>
      </c>
      <c r="Z105" s="71">
        <f t="shared" si="77"/>
        <v>21.729575812835446</v>
      </c>
      <c r="AA105" s="71">
        <f t="shared" si="78"/>
        <v>19.127399310950867</v>
      </c>
      <c r="AB105" s="71">
        <v>0</v>
      </c>
      <c r="AC105" s="71">
        <f t="shared" si="84"/>
        <v>0.84147203012129657</v>
      </c>
      <c r="AD105" s="74">
        <f t="shared" si="67"/>
        <v>0.84147203012129657</v>
      </c>
      <c r="AE105" s="73">
        <f t="shared" si="76"/>
        <v>15.145454545454546</v>
      </c>
      <c r="AF105" s="71">
        <f t="shared" si="68"/>
        <v>17.048002424722526</v>
      </c>
      <c r="AG105" s="71">
        <f t="shared" si="85"/>
        <v>0.93003003735470446</v>
      </c>
      <c r="AH105" s="71">
        <f t="shared" si="86"/>
        <v>17.427651987183133</v>
      </c>
      <c r="AI105" s="74">
        <f t="shared" si="69"/>
        <v>18.357682024537837</v>
      </c>
      <c r="AJ105" s="73">
        <f t="shared" si="70"/>
        <v>3.9200000000000008</v>
      </c>
      <c r="AK105" s="71">
        <f t="shared" si="87"/>
        <v>8.6731204146615397</v>
      </c>
      <c r="AL105" s="71">
        <f t="shared" si="88"/>
        <v>0.24071365672710004</v>
      </c>
      <c r="AM105" s="71">
        <f t="shared" si="95"/>
        <v>0</v>
      </c>
      <c r="AN105" s="188">
        <f t="shared" si="89"/>
        <v>0.43459151625670894</v>
      </c>
      <c r="AO105" s="74">
        <f t="shared" si="72"/>
        <v>0.67530517298380899</v>
      </c>
      <c r="AP105" s="73">
        <f t="shared" si="90"/>
        <v>0.43902888528067641</v>
      </c>
      <c r="AQ105" s="206">
        <f t="shared" si="91"/>
        <v>0.84147203012129657</v>
      </c>
      <c r="AR105" s="206">
        <f t="shared" si="92"/>
        <v>4.7390927326794205</v>
      </c>
      <c r="AS105" s="71">
        <f t="shared" si="93"/>
        <v>0.24000000000000002</v>
      </c>
      <c r="AT105" s="74">
        <f t="shared" si="94"/>
        <v>3.6299999999999995E-5</v>
      </c>
      <c r="AU105" s="73">
        <f t="shared" si="73"/>
        <v>26.134089175724334</v>
      </c>
      <c r="AV105" s="71">
        <f t="shared" si="74"/>
        <v>209.72</v>
      </c>
      <c r="AW105" s="74">
        <f t="shared" si="75"/>
        <v>88.919382628870608</v>
      </c>
    </row>
    <row r="106" spans="17:49" x14ac:dyDescent="0.25">
      <c r="Q106">
        <v>99</v>
      </c>
      <c r="R106" s="73">
        <f t="shared" si="49"/>
        <v>53.5</v>
      </c>
      <c r="S106" s="71">
        <f t="shared" si="79"/>
        <v>3.96</v>
      </c>
      <c r="T106" s="71">
        <f t="shared" si="51"/>
        <v>11</v>
      </c>
      <c r="U106" s="74">
        <f t="shared" si="80"/>
        <v>19.259999999999998</v>
      </c>
      <c r="V106" s="73">
        <f>IF(Variable_Management!$B$20=3,2,IF((S106*R106/T106)&lt;((T106*(1-(T106/R106)))/(2*Lm*Fsw)),1,2))</f>
        <v>2</v>
      </c>
      <c r="W106" s="71">
        <f t="shared" si="81"/>
        <v>0.79439252336448596</v>
      </c>
      <c r="X106" s="74">
        <f t="shared" si="82"/>
        <v>0.20560747663551404</v>
      </c>
      <c r="Y106" s="73">
        <f t="shared" si="83"/>
        <v>5.3282425347617979</v>
      </c>
      <c r="Z106" s="71">
        <f t="shared" si="77"/>
        <v>21.924121267380897</v>
      </c>
      <c r="AA106" s="71">
        <f t="shared" si="78"/>
        <v>19.321321056692017</v>
      </c>
      <c r="AB106" s="71">
        <v>0</v>
      </c>
      <c r="AC106" s="71">
        <f t="shared" si="84"/>
        <v>0.85862092896427178</v>
      </c>
      <c r="AD106" s="74">
        <f t="shared" si="67"/>
        <v>0.85862092896427178</v>
      </c>
      <c r="AE106" s="73">
        <f t="shared" si="76"/>
        <v>15.299999999999997</v>
      </c>
      <c r="AF106" s="71">
        <f t="shared" si="68"/>
        <v>17.220842356479938</v>
      </c>
      <c r="AG106" s="71">
        <f t="shared" si="85"/>
        <v>0.94898371669354731</v>
      </c>
      <c r="AH106" s="71">
        <f t="shared" si="86"/>
        <v>17.605485170725814</v>
      </c>
      <c r="AI106" s="74">
        <f t="shared" si="69"/>
        <v>18.554468887419361</v>
      </c>
      <c r="AJ106" s="73">
        <f t="shared" si="70"/>
        <v>3.96</v>
      </c>
      <c r="AK106" s="71">
        <f t="shared" si="87"/>
        <v>8.7610522147192391</v>
      </c>
      <c r="AL106" s="71">
        <f t="shared" si="88"/>
        <v>0.24561931490891803</v>
      </c>
      <c r="AM106" s="71">
        <f t="shared" si="95"/>
        <v>0</v>
      </c>
      <c r="AN106" s="188">
        <f t="shared" si="89"/>
        <v>0.43848242534761794</v>
      </c>
      <c r="AO106" s="74">
        <f t="shared" si="72"/>
        <v>0.68410174025653592</v>
      </c>
      <c r="AP106" s="73">
        <f t="shared" si="90"/>
        <v>0.44797613685092436</v>
      </c>
      <c r="AQ106" s="206">
        <f t="shared" si="91"/>
        <v>0.85862092896427178</v>
      </c>
      <c r="AR106" s="206">
        <f t="shared" si="92"/>
        <v>4.7390927326794205</v>
      </c>
      <c r="AS106" s="71">
        <f t="shared" si="93"/>
        <v>0.24000000000000002</v>
      </c>
      <c r="AT106" s="74">
        <f t="shared" si="94"/>
        <v>3.6299999999999995E-5</v>
      </c>
      <c r="AU106" s="73">
        <f t="shared" si="73"/>
        <v>26.382917655134783</v>
      </c>
      <c r="AV106" s="71">
        <f t="shared" si="74"/>
        <v>211.85999999999999</v>
      </c>
      <c r="AW106" s="74">
        <f t="shared" si="75"/>
        <v>88.926043252490288</v>
      </c>
    </row>
    <row r="107" spans="17:49" x14ac:dyDescent="0.25">
      <c r="Q107">
        <v>100</v>
      </c>
      <c r="R107" s="73">
        <f t="shared" si="49"/>
        <v>53.5</v>
      </c>
      <c r="S107" s="71">
        <f t="shared" si="79"/>
        <v>4</v>
      </c>
      <c r="T107" s="71">
        <f t="shared" si="51"/>
        <v>11</v>
      </c>
      <c r="U107" s="74">
        <f t="shared" si="80"/>
        <v>19.454545454545453</v>
      </c>
      <c r="V107" s="73">
        <f>IF(Variable_Management!$B$20=3,2,IF((S107*R107/T107)&lt;((T107*(1-(T107/R107)))/(2*Lm*Fsw)),1,2))</f>
        <v>2</v>
      </c>
      <c r="W107" s="71">
        <f t="shared" si="81"/>
        <v>0.79439252336448596</v>
      </c>
      <c r="X107" s="74">
        <f t="shared" si="82"/>
        <v>0.20560747663551404</v>
      </c>
      <c r="Y107" s="73">
        <f t="shared" si="83"/>
        <v>5.3282425347617979</v>
      </c>
      <c r="Z107" s="71">
        <f t="shared" si="77"/>
        <v>22.118666721926353</v>
      </c>
      <c r="AA107" s="71">
        <f t="shared" si="78"/>
        <v>19.515255217873673</v>
      </c>
      <c r="AB107" s="71">
        <v>0</v>
      </c>
      <c r="AC107" s="71">
        <f t="shared" si="84"/>
        <v>0.87594392830311485</v>
      </c>
      <c r="AD107" s="74">
        <f t="shared" si="67"/>
        <v>0.87594392830311485</v>
      </c>
      <c r="AE107" s="73">
        <f t="shared" si="76"/>
        <v>15.454545454545453</v>
      </c>
      <c r="AF107" s="71">
        <f t="shared" si="68"/>
        <v>17.393693353958117</v>
      </c>
      <c r="AG107" s="71">
        <f t="shared" si="85"/>
        <v>0.96812981917288565</v>
      </c>
      <c r="AH107" s="71">
        <f t="shared" si="86"/>
        <v>17.783318354268502</v>
      </c>
      <c r="AI107" s="74">
        <f t="shared" si="69"/>
        <v>18.751448173441389</v>
      </c>
      <c r="AJ107" s="73">
        <f t="shared" si="70"/>
        <v>4</v>
      </c>
      <c r="AK107" s="71">
        <f t="shared" si="87"/>
        <v>8.8489896444293965</v>
      </c>
      <c r="AL107" s="71">
        <f t="shared" si="88"/>
        <v>0.25057477672709982</v>
      </c>
      <c r="AM107" s="71">
        <f t="shared" si="95"/>
        <v>0</v>
      </c>
      <c r="AN107" s="188">
        <f t="shared" si="89"/>
        <v>0.44237333443852705</v>
      </c>
      <c r="AO107" s="74">
        <f t="shared" si="72"/>
        <v>0.69294811116562682</v>
      </c>
      <c r="AP107" s="73">
        <f t="shared" si="90"/>
        <v>0.45701422346249465</v>
      </c>
      <c r="AQ107" s="206">
        <f t="shared" si="91"/>
        <v>0.87594392830311485</v>
      </c>
      <c r="AR107" s="206">
        <f t="shared" si="92"/>
        <v>4.7390927326794205</v>
      </c>
      <c r="AS107" s="71">
        <f t="shared" si="93"/>
        <v>0.24000000000000002</v>
      </c>
      <c r="AT107" s="74">
        <f t="shared" si="94"/>
        <v>3.6299999999999995E-5</v>
      </c>
      <c r="AU107" s="73">
        <f t="shared" si="73"/>
        <v>26.632427397355162</v>
      </c>
      <c r="AV107" s="71">
        <f t="shared" si="74"/>
        <v>214</v>
      </c>
      <c r="AW107" s="74">
        <f t="shared" si="75"/>
        <v>88.932319851730881</v>
      </c>
    </row>
    <row r="108" spans="17:49" x14ac:dyDescent="0.25">
      <c r="Q108">
        <v>101</v>
      </c>
      <c r="R108" s="73">
        <f t="shared" si="49"/>
        <v>53.5</v>
      </c>
      <c r="S108" s="71">
        <f t="shared" si="79"/>
        <v>4.04</v>
      </c>
      <c r="T108" s="71">
        <f t="shared" si="51"/>
        <v>11</v>
      </c>
      <c r="U108" s="74">
        <f t="shared" si="80"/>
        <v>19.649090909090912</v>
      </c>
      <c r="V108" s="73">
        <f>IF(Variable_Management!$B$20=3,2,IF((S108*R108/T108)&lt;((T108*(1-(T108/R108)))/(2*Lm*Fsw)),1,2))</f>
        <v>2</v>
      </c>
      <c r="W108" s="71">
        <f t="shared" si="81"/>
        <v>0.79439252336448596</v>
      </c>
      <c r="X108" s="74">
        <f t="shared" si="82"/>
        <v>0.20560747663551404</v>
      </c>
      <c r="Y108" s="73">
        <f t="shared" si="83"/>
        <v>5.3282425347617979</v>
      </c>
      <c r="Z108" s="71">
        <f t="shared" si="77"/>
        <v>22.313212176471811</v>
      </c>
      <c r="AA108" s="71">
        <f t="shared" si="78"/>
        <v>19.709201428000313</v>
      </c>
      <c r="AB108" s="71">
        <v>0</v>
      </c>
      <c r="AC108" s="71">
        <f t="shared" si="84"/>
        <v>0.893441028137826</v>
      </c>
      <c r="AD108" s="74">
        <f t="shared" si="67"/>
        <v>0.893441028137826</v>
      </c>
      <c r="AE108" s="73">
        <f t="shared" si="76"/>
        <v>15.609090909090911</v>
      </c>
      <c r="AF108" s="71">
        <f t="shared" si="68"/>
        <v>17.56655509050438</v>
      </c>
      <c r="AG108" s="71">
        <f t="shared" si="85"/>
        <v>0.98746834479272116</v>
      </c>
      <c r="AH108" s="71">
        <f t="shared" si="86"/>
        <v>17.96115153781119</v>
      </c>
      <c r="AI108" s="74">
        <f t="shared" si="69"/>
        <v>18.948619882603911</v>
      </c>
      <c r="AJ108" s="73">
        <f t="shared" si="70"/>
        <v>4.0400000000000009</v>
      </c>
      <c r="AK108" s="71">
        <f t="shared" si="87"/>
        <v>8.9369325376084277</v>
      </c>
      <c r="AL108" s="71">
        <f t="shared" si="88"/>
        <v>0.25558004218164548</v>
      </c>
      <c r="AM108" s="71">
        <f t="shared" si="95"/>
        <v>0</v>
      </c>
      <c r="AN108" s="188">
        <f t="shared" si="89"/>
        <v>0.44626424352943622</v>
      </c>
      <c r="AO108" s="74">
        <f t="shared" si="72"/>
        <v>0.70184428571108171</v>
      </c>
      <c r="AP108" s="73">
        <f t="shared" si="90"/>
        <v>0.46614314511538746</v>
      </c>
      <c r="AQ108" s="206">
        <f t="shared" si="91"/>
        <v>0.893441028137826</v>
      </c>
      <c r="AR108" s="206">
        <f t="shared" si="92"/>
        <v>4.7390927326794205</v>
      </c>
      <c r="AS108" s="71">
        <f t="shared" si="93"/>
        <v>0.24000000000000002</v>
      </c>
      <c r="AT108" s="74">
        <f t="shared" si="94"/>
        <v>3.6299999999999995E-5</v>
      </c>
      <c r="AU108" s="73">
        <f t="shared" si="73"/>
        <v>26.88261840238545</v>
      </c>
      <c r="AV108" s="71">
        <f t="shared" si="74"/>
        <v>216.14000000000001</v>
      </c>
      <c r="AW108" s="74">
        <f t="shared" si="75"/>
        <v>88.938223701517998</v>
      </c>
    </row>
    <row r="109" spans="17:49" x14ac:dyDescent="0.25">
      <c r="Q109">
        <v>102</v>
      </c>
      <c r="R109" s="73">
        <f t="shared" si="49"/>
        <v>53.5</v>
      </c>
      <c r="S109" s="71">
        <f t="shared" si="79"/>
        <v>4.08</v>
      </c>
      <c r="T109" s="71">
        <f t="shared" si="51"/>
        <v>11</v>
      </c>
      <c r="U109" s="74">
        <f t="shared" si="80"/>
        <v>19.843636363636364</v>
      </c>
      <c r="V109" s="73">
        <f>IF(Variable_Management!$B$20=3,2,IF((S109*R109/T109)&lt;((T109*(1-(T109/R109)))/(2*Lm*Fsw)),1,2))</f>
        <v>2</v>
      </c>
      <c r="W109" s="71">
        <f t="shared" si="81"/>
        <v>0.79439252336448596</v>
      </c>
      <c r="X109" s="74">
        <f t="shared" si="82"/>
        <v>0.20560747663551404</v>
      </c>
      <c r="Y109" s="73">
        <f t="shared" si="83"/>
        <v>5.3282425347617979</v>
      </c>
      <c r="Z109" s="71">
        <f t="shared" si="77"/>
        <v>22.507757631017263</v>
      </c>
      <c r="AA109" s="71">
        <f t="shared" si="78"/>
        <v>19.903159334839327</v>
      </c>
      <c r="AB109" s="71">
        <v>0</v>
      </c>
      <c r="AC109" s="71">
        <f t="shared" si="84"/>
        <v>0.91111222846840412</v>
      </c>
      <c r="AD109" s="74">
        <f t="shared" si="67"/>
        <v>0.91111222846840412</v>
      </c>
      <c r="AE109" s="73">
        <f t="shared" si="76"/>
        <v>15.763636363636364</v>
      </c>
      <c r="AF109" s="71">
        <f t="shared" si="68"/>
        <v>17.739427252178366</v>
      </c>
      <c r="AG109" s="71">
        <f t="shared" si="85"/>
        <v>1.0069992935530512</v>
      </c>
      <c r="AH109" s="71">
        <f t="shared" si="86"/>
        <v>18.138984721353875</v>
      </c>
      <c r="AI109" s="74">
        <f t="shared" si="69"/>
        <v>19.145984014906926</v>
      </c>
      <c r="AJ109" s="73">
        <f t="shared" si="70"/>
        <v>4.08</v>
      </c>
      <c r="AK109" s="71">
        <f t="shared" si="87"/>
        <v>9.0248807345401136</v>
      </c>
      <c r="AL109" s="71">
        <f t="shared" si="88"/>
        <v>0.26063511127255456</v>
      </c>
      <c r="AM109" s="71">
        <f t="shared" si="95"/>
        <v>0</v>
      </c>
      <c r="AN109" s="188">
        <f t="shared" si="89"/>
        <v>0.45015515262034528</v>
      </c>
      <c r="AO109" s="74">
        <f t="shared" si="72"/>
        <v>0.71079026389289979</v>
      </c>
      <c r="AP109" s="73">
        <f t="shared" si="90"/>
        <v>0.47536290180960211</v>
      </c>
      <c r="AQ109" s="206">
        <f t="shared" si="91"/>
        <v>0.91111222846840412</v>
      </c>
      <c r="AR109" s="206">
        <f t="shared" si="92"/>
        <v>4.7390927326794205</v>
      </c>
      <c r="AS109" s="71">
        <f t="shared" si="93"/>
        <v>0.24000000000000002</v>
      </c>
      <c r="AT109" s="74">
        <f t="shared" si="94"/>
        <v>3.6299999999999995E-5</v>
      </c>
      <c r="AU109" s="73">
        <f t="shared" si="73"/>
        <v>27.133490670225658</v>
      </c>
      <c r="AV109" s="71">
        <f t="shared" si="74"/>
        <v>218.28</v>
      </c>
      <c r="AW109" s="74">
        <f t="shared" si="75"/>
        <v>88.943765643802251</v>
      </c>
    </row>
    <row r="110" spans="17:49" x14ac:dyDescent="0.25">
      <c r="Q110">
        <v>103</v>
      </c>
      <c r="R110" s="73">
        <f t="shared" si="49"/>
        <v>53.5</v>
      </c>
      <c r="S110" s="71">
        <f t="shared" si="79"/>
        <v>4.12</v>
      </c>
      <c r="T110" s="71">
        <f t="shared" si="51"/>
        <v>11</v>
      </c>
      <c r="U110" s="74">
        <f t="shared" si="80"/>
        <v>20.038181818181819</v>
      </c>
      <c r="V110" s="73">
        <f>IF(Variable_Management!$B$20=3,2,IF((S110*R110/T110)&lt;((T110*(1-(T110/R110)))/(2*Lm*Fsw)),1,2))</f>
        <v>2</v>
      </c>
      <c r="W110" s="71">
        <f t="shared" si="81"/>
        <v>0.79439252336448596</v>
      </c>
      <c r="X110" s="74">
        <f t="shared" si="82"/>
        <v>0.20560747663551404</v>
      </c>
      <c r="Y110" s="73">
        <f t="shared" si="83"/>
        <v>5.3282425347617979</v>
      </c>
      <c r="Z110" s="71">
        <f t="shared" si="77"/>
        <v>22.702303085562718</v>
      </c>
      <c r="AA110" s="71">
        <f t="shared" si="78"/>
        <v>20.097128599734909</v>
      </c>
      <c r="AB110" s="71">
        <v>0</v>
      </c>
      <c r="AC110" s="71">
        <f t="shared" si="84"/>
        <v>0.92895752929485043</v>
      </c>
      <c r="AD110" s="74">
        <f t="shared" si="67"/>
        <v>0.92895752929485043</v>
      </c>
      <c r="AE110" s="73">
        <f t="shared" si="76"/>
        <v>15.918181818181818</v>
      </c>
      <c r="AF110" s="71">
        <f t="shared" si="68"/>
        <v>17.912309537140565</v>
      </c>
      <c r="AG110" s="71">
        <f t="shared" si="85"/>
        <v>1.0267226654538779</v>
      </c>
      <c r="AH110" s="71">
        <f t="shared" si="86"/>
        <v>18.316817904896556</v>
      </c>
      <c r="AI110" s="74">
        <f t="shared" si="69"/>
        <v>19.343540570350434</v>
      </c>
      <c r="AJ110" s="73">
        <f t="shared" si="70"/>
        <v>4.120000000000001</v>
      </c>
      <c r="AK110" s="71">
        <f t="shared" si="87"/>
        <v>9.1128340816644968</v>
      </c>
      <c r="AL110" s="71">
        <f t="shared" si="88"/>
        <v>0.26573998399982723</v>
      </c>
      <c r="AM110" s="71">
        <f t="shared" si="95"/>
        <v>0</v>
      </c>
      <c r="AN110" s="188">
        <f t="shared" si="89"/>
        <v>0.45404606171125439</v>
      </c>
      <c r="AO110" s="74">
        <f t="shared" si="72"/>
        <v>0.71978604571108162</v>
      </c>
      <c r="AP110" s="73">
        <f t="shared" si="90"/>
        <v>0.48467349354513933</v>
      </c>
      <c r="AQ110" s="206">
        <f t="shared" si="91"/>
        <v>0.92895752929485043</v>
      </c>
      <c r="AR110" s="206">
        <f t="shared" si="92"/>
        <v>4.7390927326794205</v>
      </c>
      <c r="AS110" s="71">
        <f t="shared" si="93"/>
        <v>0.24000000000000002</v>
      </c>
      <c r="AT110" s="74">
        <f t="shared" si="94"/>
        <v>3.6299999999999995E-5</v>
      </c>
      <c r="AU110" s="73">
        <f t="shared" si="73"/>
        <v>27.385044200875779</v>
      </c>
      <c r="AV110" s="71">
        <f t="shared" si="74"/>
        <v>220.42000000000002</v>
      </c>
      <c r="AW110" s="74">
        <f t="shared" si="75"/>
        <v>88.948956108142454</v>
      </c>
    </row>
    <row r="111" spans="17:49" x14ac:dyDescent="0.25">
      <c r="Q111">
        <v>104</v>
      </c>
      <c r="R111" s="73">
        <f t="shared" si="49"/>
        <v>53.5</v>
      </c>
      <c r="S111" s="71">
        <f t="shared" si="79"/>
        <v>4.16</v>
      </c>
      <c r="T111" s="71">
        <f t="shared" si="51"/>
        <v>11</v>
      </c>
      <c r="U111" s="74">
        <f t="shared" si="80"/>
        <v>20.232727272727274</v>
      </c>
      <c r="V111" s="73">
        <f>IF(Variable_Management!$B$20=3,2,IF((S111*R111/T111)&lt;((T111*(1-(T111/R111)))/(2*Lm*Fsw)),1,2))</f>
        <v>2</v>
      </c>
      <c r="W111" s="71">
        <f t="shared" si="81"/>
        <v>0.79439252336448596</v>
      </c>
      <c r="X111" s="74">
        <f t="shared" si="82"/>
        <v>0.20560747663551404</v>
      </c>
      <c r="Y111" s="73">
        <f t="shared" si="83"/>
        <v>5.3282425347617979</v>
      </c>
      <c r="Z111" s="71">
        <f t="shared" si="77"/>
        <v>22.896848540108174</v>
      </c>
      <c r="AA111" s="71">
        <f t="shared" si="78"/>
        <v>20.291108896961063</v>
      </c>
      <c r="AB111" s="71">
        <v>0</v>
      </c>
      <c r="AC111" s="71">
        <f t="shared" si="84"/>
        <v>0.94697693061716448</v>
      </c>
      <c r="AD111" s="74">
        <f t="shared" si="67"/>
        <v>0.94697693061716448</v>
      </c>
      <c r="AE111" s="73">
        <f t="shared" si="76"/>
        <v>16.072727272727274</v>
      </c>
      <c r="AF111" s="71">
        <f t="shared" si="68"/>
        <v>18.085201655075622</v>
      </c>
      <c r="AG111" s="71">
        <f t="shared" si="85"/>
        <v>1.0466384604951999</v>
      </c>
      <c r="AH111" s="71">
        <f t="shared" si="86"/>
        <v>18.494651088439245</v>
      </c>
      <c r="AI111" s="74">
        <f t="shared" si="69"/>
        <v>19.541289548934444</v>
      </c>
      <c r="AJ111" s="73">
        <f t="shared" si="70"/>
        <v>4.160000000000001</v>
      </c>
      <c r="AK111" s="71">
        <f t="shared" si="87"/>
        <v>9.2007924312845137</v>
      </c>
      <c r="AL111" s="71">
        <f t="shared" si="88"/>
        <v>0.27089466036346366</v>
      </c>
      <c r="AM111" s="71">
        <f t="shared" si="95"/>
        <v>0</v>
      </c>
      <c r="AN111" s="188">
        <f t="shared" si="89"/>
        <v>0.4579369708021635</v>
      </c>
      <c r="AO111" s="74">
        <f t="shared" si="72"/>
        <v>0.7288316311656271</v>
      </c>
      <c r="AP111" s="73">
        <f t="shared" si="90"/>
        <v>0.49407492032199885</v>
      </c>
      <c r="AQ111" s="206">
        <f t="shared" si="91"/>
        <v>0.94697693061716448</v>
      </c>
      <c r="AR111" s="206">
        <f t="shared" si="92"/>
        <v>4.7390927326794205</v>
      </c>
      <c r="AS111" s="71">
        <f t="shared" si="93"/>
        <v>0.24000000000000002</v>
      </c>
      <c r="AT111" s="74">
        <f t="shared" si="94"/>
        <v>3.6299999999999995E-5</v>
      </c>
      <c r="AU111" s="73">
        <f t="shared" si="73"/>
        <v>27.637278994335819</v>
      </c>
      <c r="AV111" s="71">
        <f t="shared" si="74"/>
        <v>222.56</v>
      </c>
      <c r="AW111" s="74">
        <f t="shared" si="75"/>
        <v>88.953805131125549</v>
      </c>
    </row>
    <row r="112" spans="17:49" x14ac:dyDescent="0.25">
      <c r="Q112">
        <v>105</v>
      </c>
      <c r="R112" s="73">
        <f t="shared" si="49"/>
        <v>53.5</v>
      </c>
      <c r="S112" s="71">
        <f t="shared" si="79"/>
        <v>4.2</v>
      </c>
      <c r="T112" s="71">
        <f t="shared" si="51"/>
        <v>11</v>
      </c>
      <c r="U112" s="74">
        <f t="shared" si="80"/>
        <v>20.427272727272729</v>
      </c>
      <c r="V112" s="73">
        <f>IF(Variable_Management!$B$20=3,2,IF((S112*R112/T112)&lt;((T112*(1-(T112/R112)))/(2*Lm*Fsw)),1,2))</f>
        <v>2</v>
      </c>
      <c r="W112" s="71">
        <f t="shared" si="81"/>
        <v>0.79439252336448596</v>
      </c>
      <c r="X112" s="74">
        <f t="shared" si="82"/>
        <v>0.20560747663551404</v>
      </c>
      <c r="Y112" s="73">
        <f t="shared" si="83"/>
        <v>5.3282425347617979</v>
      </c>
      <c r="Z112" s="71">
        <f t="shared" si="77"/>
        <v>23.091393994653629</v>
      </c>
      <c r="AA112" s="71">
        <f t="shared" si="78"/>
        <v>20.485099913111252</v>
      </c>
      <c r="AB112" s="71">
        <v>0</v>
      </c>
      <c r="AC112" s="71">
        <f t="shared" si="84"/>
        <v>0.9651704324353465</v>
      </c>
      <c r="AD112" s="74">
        <f t="shared" si="67"/>
        <v>0.9651704324353465</v>
      </c>
      <c r="AE112" s="73">
        <f t="shared" si="76"/>
        <v>16.22727272727273</v>
      </c>
      <c r="AF112" s="71">
        <f t="shared" si="68"/>
        <v>18.258103326648374</v>
      </c>
      <c r="AG112" s="71">
        <f t="shared" si="85"/>
        <v>1.066746678677019</v>
      </c>
      <c r="AH112" s="71">
        <f t="shared" si="86"/>
        <v>18.672484271981929</v>
      </c>
      <c r="AI112" s="74">
        <f t="shared" si="69"/>
        <v>19.73923095065895</v>
      </c>
      <c r="AJ112" s="73">
        <f t="shared" si="70"/>
        <v>4.2000000000000011</v>
      </c>
      <c r="AK112" s="71">
        <f t="shared" si="87"/>
        <v>9.2887556412892263</v>
      </c>
      <c r="AL112" s="71">
        <f t="shared" si="88"/>
        <v>0.27609914036346378</v>
      </c>
      <c r="AM112" s="71">
        <f t="shared" si="95"/>
        <v>0</v>
      </c>
      <c r="AN112" s="188">
        <f t="shared" si="89"/>
        <v>0.46182787989307261</v>
      </c>
      <c r="AO112" s="74">
        <f t="shared" si="72"/>
        <v>0.73792702025653645</v>
      </c>
      <c r="AP112" s="73">
        <f t="shared" si="90"/>
        <v>0.5035671821401807</v>
      </c>
      <c r="AQ112" s="206">
        <f t="shared" si="91"/>
        <v>0.9651704324353465</v>
      </c>
      <c r="AR112" s="206">
        <f t="shared" si="92"/>
        <v>4.7390927326794205</v>
      </c>
      <c r="AS112" s="71">
        <f t="shared" si="93"/>
        <v>0.24000000000000002</v>
      </c>
      <c r="AT112" s="74">
        <f t="shared" si="94"/>
        <v>3.6299999999999995E-5</v>
      </c>
      <c r="AU112" s="73">
        <f t="shared" si="73"/>
        <v>27.890195050605779</v>
      </c>
      <c r="AV112" s="71">
        <f t="shared" si="74"/>
        <v>224.70000000000002</v>
      </c>
      <c r="AW112" s="74">
        <f t="shared" si="75"/>
        <v>88.958322374699449</v>
      </c>
    </row>
    <row r="113" spans="17:49" x14ac:dyDescent="0.25">
      <c r="Q113">
        <v>106</v>
      </c>
      <c r="R113" s="73">
        <f t="shared" si="49"/>
        <v>53.5</v>
      </c>
      <c r="S113" s="71">
        <f t="shared" si="79"/>
        <v>4.24</v>
      </c>
      <c r="T113" s="71">
        <f t="shared" si="51"/>
        <v>11</v>
      </c>
      <c r="U113" s="74">
        <f t="shared" si="80"/>
        <v>20.621818181818181</v>
      </c>
      <c r="V113" s="73">
        <f>IF(Variable_Management!$B$20=3,2,IF((S113*R113/T113)&lt;((T113*(1-(T113/R113)))/(2*Lm*Fsw)),1,2))</f>
        <v>2</v>
      </c>
      <c r="W113" s="71">
        <f t="shared" si="81"/>
        <v>0.79439252336448596</v>
      </c>
      <c r="X113" s="74">
        <f t="shared" si="82"/>
        <v>0.20560747663551404</v>
      </c>
      <c r="Y113" s="73">
        <f t="shared" si="83"/>
        <v>5.3282425347617979</v>
      </c>
      <c r="Z113" s="71">
        <f t="shared" si="77"/>
        <v>23.285939449199081</v>
      </c>
      <c r="AA113" s="71">
        <f t="shared" si="78"/>
        <v>20.679101346522224</v>
      </c>
      <c r="AB113" s="71">
        <v>0</v>
      </c>
      <c r="AC113" s="71">
        <f t="shared" si="84"/>
        <v>0.98353803474939561</v>
      </c>
      <c r="AD113" s="74">
        <f t="shared" si="67"/>
        <v>0.98353803474939561</v>
      </c>
      <c r="AE113" s="73">
        <f t="shared" si="76"/>
        <v>16.381818181818179</v>
      </c>
      <c r="AF113" s="71">
        <f t="shared" si="68"/>
        <v>18.431014282990272</v>
      </c>
      <c r="AG113" s="71">
        <f t="shared" si="85"/>
        <v>1.0870473199993325</v>
      </c>
      <c r="AH113" s="71">
        <f t="shared" si="86"/>
        <v>18.850317455524614</v>
      </c>
      <c r="AI113" s="74">
        <f t="shared" si="69"/>
        <v>19.937364775523946</v>
      </c>
      <c r="AJ113" s="73">
        <f t="shared" si="70"/>
        <v>4.24</v>
      </c>
      <c r="AK113" s="71">
        <f t="shared" si="87"/>
        <v>9.3767235748925657</v>
      </c>
      <c r="AL113" s="71">
        <f t="shared" si="88"/>
        <v>0.28135342399982727</v>
      </c>
      <c r="AM113" s="71">
        <f t="shared" si="95"/>
        <v>0</v>
      </c>
      <c r="AN113" s="188">
        <f t="shared" si="89"/>
        <v>0.46571878898398161</v>
      </c>
      <c r="AO113" s="74">
        <f t="shared" si="72"/>
        <v>0.74707221298380888</v>
      </c>
      <c r="AP113" s="73">
        <f t="shared" si="90"/>
        <v>0.51315027899968468</v>
      </c>
      <c r="AQ113" s="206">
        <f t="shared" si="91"/>
        <v>0.98353803474939561</v>
      </c>
      <c r="AR113" s="206">
        <f t="shared" si="92"/>
        <v>4.7390927326794205</v>
      </c>
      <c r="AS113" s="71">
        <f t="shared" si="93"/>
        <v>0.24000000000000002</v>
      </c>
      <c r="AT113" s="74">
        <f t="shared" si="94"/>
        <v>3.6299999999999995E-5</v>
      </c>
      <c r="AU113" s="73">
        <f t="shared" si="73"/>
        <v>28.143792369685652</v>
      </c>
      <c r="AV113" s="71">
        <f t="shared" si="74"/>
        <v>226.84</v>
      </c>
      <c r="AW113" s="74">
        <f t="shared" si="75"/>
        <v>88.962517143489009</v>
      </c>
    </row>
    <row r="114" spans="17:49" x14ac:dyDescent="0.25">
      <c r="Q114">
        <v>107</v>
      </c>
      <c r="R114" s="73">
        <f t="shared" si="49"/>
        <v>53.5</v>
      </c>
      <c r="S114" s="71">
        <f t="shared" si="79"/>
        <v>4.28</v>
      </c>
      <c r="T114" s="71">
        <f t="shared" si="51"/>
        <v>11</v>
      </c>
      <c r="U114" s="74">
        <f t="shared" si="80"/>
        <v>20.816363636363636</v>
      </c>
      <c r="V114" s="73">
        <f>IF(Variable_Management!$B$20=3,2,IF((S114*R114/T114)&lt;((T114*(1-(T114/R114)))/(2*Lm*Fsw)),1,2))</f>
        <v>2</v>
      </c>
      <c r="W114" s="71">
        <f t="shared" si="81"/>
        <v>0.79439252336448596</v>
      </c>
      <c r="X114" s="74">
        <f t="shared" si="82"/>
        <v>0.20560747663551404</v>
      </c>
      <c r="Y114" s="73">
        <f t="shared" si="83"/>
        <v>5.3282425347617979</v>
      </c>
      <c r="Z114" s="71">
        <f t="shared" si="77"/>
        <v>23.480484903744536</v>
      </c>
      <c r="AA114" s="71">
        <f t="shared" si="78"/>
        <v>20.873112906729862</v>
      </c>
      <c r="AB114" s="71">
        <v>0</v>
      </c>
      <c r="AC114" s="71">
        <f t="shared" si="84"/>
        <v>1.0020797375593133</v>
      </c>
      <c r="AD114" s="74">
        <f t="shared" si="67"/>
        <v>1.0020797375593133</v>
      </c>
      <c r="AE114" s="73">
        <f t="shared" si="76"/>
        <v>16.536363636363635</v>
      </c>
      <c r="AF114" s="71">
        <f t="shared" si="68"/>
        <v>18.603934265214427</v>
      </c>
      <c r="AG114" s="71">
        <f t="shared" si="85"/>
        <v>1.1075403844621423</v>
      </c>
      <c r="AH114" s="71">
        <f t="shared" si="86"/>
        <v>19.028150639067295</v>
      </c>
      <c r="AI114" s="74">
        <f t="shared" si="69"/>
        <v>20.135691023529439</v>
      </c>
      <c r="AJ114" s="73">
        <f t="shared" si="70"/>
        <v>4.28</v>
      </c>
      <c r="AK114" s="71">
        <f t="shared" si="87"/>
        <v>9.4646961003865986</v>
      </c>
      <c r="AL114" s="71">
        <f t="shared" si="88"/>
        <v>0.28665751127255457</v>
      </c>
      <c r="AM114" s="71">
        <f t="shared" si="95"/>
        <v>0</v>
      </c>
      <c r="AN114" s="188">
        <f t="shared" si="89"/>
        <v>0.46960969807489072</v>
      </c>
      <c r="AO114" s="74">
        <f t="shared" si="72"/>
        <v>0.75626720934744529</v>
      </c>
      <c r="AP114" s="73">
        <f t="shared" si="90"/>
        <v>0.52282421090051123</v>
      </c>
      <c r="AQ114" s="206">
        <f t="shared" si="91"/>
        <v>1.0020797375593133</v>
      </c>
      <c r="AR114" s="206">
        <f t="shared" si="92"/>
        <v>4.7390927326794205</v>
      </c>
      <c r="AS114" s="71">
        <f t="shared" si="93"/>
        <v>0.24000000000000002</v>
      </c>
      <c r="AT114" s="74">
        <f t="shared" si="94"/>
        <v>3.6299999999999995E-5</v>
      </c>
      <c r="AU114" s="73">
        <f t="shared" si="73"/>
        <v>28.398070951575445</v>
      </c>
      <c r="AV114" s="71">
        <f t="shared" si="74"/>
        <v>228.98000000000002</v>
      </c>
      <c r="AW114" s="74">
        <f t="shared" si="75"/>
        <v>88.966398401160447</v>
      </c>
    </row>
    <row r="115" spans="17:49" x14ac:dyDescent="0.25">
      <c r="Q115">
        <v>108</v>
      </c>
      <c r="R115" s="73">
        <f t="shared" si="49"/>
        <v>53.5</v>
      </c>
      <c r="S115" s="71">
        <f t="shared" si="79"/>
        <v>4.32</v>
      </c>
      <c r="T115" s="71">
        <f t="shared" si="51"/>
        <v>11</v>
      </c>
      <c r="U115" s="74">
        <f t="shared" si="80"/>
        <v>21.010909090909092</v>
      </c>
      <c r="V115" s="73">
        <f>IF(Variable_Management!$B$20=3,2,IF((S115*R115/T115)&lt;((T115*(1-(T115/R115)))/(2*Lm*Fsw)),1,2))</f>
        <v>2</v>
      </c>
      <c r="W115" s="71">
        <f t="shared" si="81"/>
        <v>0.79439252336448596</v>
      </c>
      <c r="X115" s="74">
        <f t="shared" si="82"/>
        <v>0.20560747663551404</v>
      </c>
      <c r="Y115" s="73">
        <f t="shared" si="83"/>
        <v>5.3282425347617979</v>
      </c>
      <c r="Z115" s="71">
        <f t="shared" si="77"/>
        <v>23.675030358289991</v>
      </c>
      <c r="AA115" s="71">
        <f t="shared" si="78"/>
        <v>21.067134313954917</v>
      </c>
      <c r="AB115" s="71">
        <v>0</v>
      </c>
      <c r="AC115" s="71">
        <f t="shared" si="84"/>
        <v>1.0207955408650984</v>
      </c>
      <c r="AD115" s="74">
        <f t="shared" si="67"/>
        <v>1.0207955408650984</v>
      </c>
      <c r="AE115" s="73">
        <f t="shared" si="76"/>
        <v>16.690909090909091</v>
      </c>
      <c r="AF115" s="71">
        <f t="shared" si="68"/>
        <v>18.776863023957237</v>
      </c>
      <c r="AG115" s="71">
        <f t="shared" si="85"/>
        <v>1.1282258720654481</v>
      </c>
      <c r="AH115" s="71">
        <f t="shared" si="86"/>
        <v>19.205983822609983</v>
      </c>
      <c r="AI115" s="74">
        <f t="shared" si="69"/>
        <v>20.334209694675433</v>
      </c>
      <c r="AJ115" s="73">
        <f t="shared" si="70"/>
        <v>4.32</v>
      </c>
      <c r="AK115" s="71">
        <f t="shared" si="87"/>
        <v>9.5526730909083355</v>
      </c>
      <c r="AL115" s="71">
        <f t="shared" si="88"/>
        <v>0.29201140218164545</v>
      </c>
      <c r="AM115" s="71">
        <f t="shared" si="95"/>
        <v>0</v>
      </c>
      <c r="AN115" s="188">
        <f t="shared" si="89"/>
        <v>0.47350060716579984</v>
      </c>
      <c r="AO115" s="74">
        <f t="shared" si="72"/>
        <v>0.76551200934744523</v>
      </c>
      <c r="AP115" s="73">
        <f t="shared" si="90"/>
        <v>0.53258897784266002</v>
      </c>
      <c r="AQ115" s="206">
        <f t="shared" si="91"/>
        <v>1.0207955408650984</v>
      </c>
      <c r="AR115" s="206">
        <f t="shared" si="92"/>
        <v>4.7390927326794205</v>
      </c>
      <c r="AS115" s="71">
        <f t="shared" si="93"/>
        <v>0.24000000000000002</v>
      </c>
      <c r="AT115" s="74">
        <f t="shared" si="94"/>
        <v>3.6299999999999995E-5</v>
      </c>
      <c r="AU115" s="73">
        <f t="shared" si="73"/>
        <v>28.653030796275154</v>
      </c>
      <c r="AV115" s="71">
        <f t="shared" si="74"/>
        <v>231.12</v>
      </c>
      <c r="AW115" s="74">
        <f t="shared" si="75"/>
        <v>88.969974785894507</v>
      </c>
    </row>
    <row r="116" spans="17:49" x14ac:dyDescent="0.25">
      <c r="Q116">
        <v>109</v>
      </c>
      <c r="R116" s="73">
        <f t="shared" si="49"/>
        <v>53.5</v>
      </c>
      <c r="S116" s="71">
        <f t="shared" si="79"/>
        <v>4.3600000000000003</v>
      </c>
      <c r="T116" s="71">
        <f t="shared" si="51"/>
        <v>11</v>
      </c>
      <c r="U116" s="74">
        <f t="shared" si="80"/>
        <v>21.205454545454547</v>
      </c>
      <c r="V116" s="73">
        <f>IF(Variable_Management!$B$20=3,2,IF((S116*R116/T116)&lt;((T116*(1-(T116/R116)))/(2*Lm*Fsw)),1,2))</f>
        <v>2</v>
      </c>
      <c r="W116" s="71">
        <f t="shared" si="81"/>
        <v>0.79439252336448596</v>
      </c>
      <c r="X116" s="74">
        <f t="shared" si="82"/>
        <v>0.20560747663551404</v>
      </c>
      <c r="Y116" s="73">
        <f t="shared" si="83"/>
        <v>5.3282425347617979</v>
      </c>
      <c r="Z116" s="71">
        <f t="shared" si="77"/>
        <v>23.869575812835446</v>
      </c>
      <c r="AA116" s="71">
        <f t="shared" si="78"/>
        <v>21.261165298616849</v>
      </c>
      <c r="AB116" s="71">
        <v>0</v>
      </c>
      <c r="AC116" s="71">
        <f t="shared" si="84"/>
        <v>1.0396854446667512</v>
      </c>
      <c r="AD116" s="74">
        <f t="shared" si="67"/>
        <v>1.0396854446667512</v>
      </c>
      <c r="AE116" s="73">
        <f t="shared" si="76"/>
        <v>16.845454545454547</v>
      </c>
      <c r="AF116" s="71">
        <f t="shared" si="68"/>
        <v>18.949800318945069</v>
      </c>
      <c r="AG116" s="71">
        <f t="shared" si="85"/>
        <v>1.1491037828092503</v>
      </c>
      <c r="AH116" s="71">
        <f t="shared" si="86"/>
        <v>19.383817006152668</v>
      </c>
      <c r="AI116" s="74">
        <f t="shared" si="69"/>
        <v>20.532920788961917</v>
      </c>
      <c r="AJ116" s="73">
        <f t="shared" si="70"/>
        <v>4.3600000000000012</v>
      </c>
      <c r="AK116" s="71">
        <f t="shared" si="87"/>
        <v>9.6406544242192798</v>
      </c>
      <c r="AL116" s="71">
        <f t="shared" si="88"/>
        <v>0.29741509672710009</v>
      </c>
      <c r="AM116" s="71">
        <f t="shared" si="95"/>
        <v>0</v>
      </c>
      <c r="AN116" s="188">
        <f t="shared" si="89"/>
        <v>0.47739151625670895</v>
      </c>
      <c r="AO116" s="74">
        <f t="shared" si="72"/>
        <v>0.77480661298380904</v>
      </c>
      <c r="AP116" s="73">
        <f t="shared" si="90"/>
        <v>0.54244457982613103</v>
      </c>
      <c r="AQ116" s="206">
        <f t="shared" si="91"/>
        <v>1.0396854446667512</v>
      </c>
      <c r="AR116" s="206">
        <f t="shared" si="92"/>
        <v>4.7390927326794205</v>
      </c>
      <c r="AS116" s="71">
        <f t="shared" si="93"/>
        <v>0.24000000000000002</v>
      </c>
      <c r="AT116" s="74">
        <f t="shared" si="94"/>
        <v>3.6299999999999995E-5</v>
      </c>
      <c r="AU116" s="73">
        <f t="shared" si="73"/>
        <v>28.908671903784782</v>
      </c>
      <c r="AV116" s="71">
        <f t="shared" si="74"/>
        <v>233.26000000000002</v>
      </c>
      <c r="AW116" s="74">
        <f t="shared" si="75"/>
        <v>88.973254625024694</v>
      </c>
    </row>
    <row r="117" spans="17:49" x14ac:dyDescent="0.25">
      <c r="Q117">
        <v>110</v>
      </c>
      <c r="R117" s="73">
        <f t="shared" si="49"/>
        <v>53.5</v>
      </c>
      <c r="S117" s="71">
        <f t="shared" si="79"/>
        <v>4.4000000000000004</v>
      </c>
      <c r="T117" s="71">
        <f t="shared" si="51"/>
        <v>11</v>
      </c>
      <c r="U117" s="74">
        <f t="shared" si="80"/>
        <v>21.400000000000002</v>
      </c>
      <c r="V117" s="73">
        <f>IF(Variable_Management!$B$20=3,2,IF((S117*R117/T117)&lt;((T117*(1-(T117/R117)))/(2*Lm*Fsw)),1,2))</f>
        <v>2</v>
      </c>
      <c r="W117" s="71">
        <f t="shared" si="81"/>
        <v>0.79439252336448596</v>
      </c>
      <c r="X117" s="74">
        <f t="shared" si="82"/>
        <v>0.20560747663551404</v>
      </c>
      <c r="Y117" s="73">
        <f t="shared" si="83"/>
        <v>5.3282425347617979</v>
      </c>
      <c r="Z117" s="71">
        <f t="shared" si="77"/>
        <v>24.064121267380902</v>
      </c>
      <c r="AA117" s="71">
        <f t="shared" si="78"/>
        <v>21.455205600873892</v>
      </c>
      <c r="AB117" s="71">
        <v>0</v>
      </c>
      <c r="AC117" s="71">
        <f t="shared" si="84"/>
        <v>1.0587494489642719</v>
      </c>
      <c r="AD117" s="74">
        <f t="shared" si="67"/>
        <v>1.0587494489642719</v>
      </c>
      <c r="AE117" s="73">
        <f t="shared" si="76"/>
        <v>17</v>
      </c>
      <c r="AF117" s="71">
        <f t="shared" si="68"/>
        <v>19.122745918584329</v>
      </c>
      <c r="AG117" s="71">
        <f t="shared" si="85"/>
        <v>1.1701741166935475</v>
      </c>
      <c r="AH117" s="71">
        <f t="shared" si="86"/>
        <v>19.561650189695353</v>
      </c>
      <c r="AI117" s="74">
        <f t="shared" si="69"/>
        <v>20.731824306388901</v>
      </c>
      <c r="AJ117" s="73">
        <f t="shared" si="70"/>
        <v>4.4000000000000012</v>
      </c>
      <c r="AK117" s="71">
        <f t="shared" si="87"/>
        <v>9.7286399824968832</v>
      </c>
      <c r="AL117" s="71">
        <f t="shared" si="88"/>
        <v>0.30286859490891826</v>
      </c>
      <c r="AM117" s="71">
        <f t="shared" si="95"/>
        <v>0</v>
      </c>
      <c r="AN117" s="188">
        <f t="shared" si="89"/>
        <v>0.48128242534761806</v>
      </c>
      <c r="AO117" s="74">
        <f t="shared" si="72"/>
        <v>0.78415102025653627</v>
      </c>
      <c r="AP117" s="73">
        <f t="shared" si="90"/>
        <v>0.55239101685092451</v>
      </c>
      <c r="AQ117" s="206">
        <f t="shared" si="91"/>
        <v>1.0587494489642719</v>
      </c>
      <c r="AR117" s="206">
        <f t="shared" si="92"/>
        <v>4.7390927326794205</v>
      </c>
      <c r="AS117" s="71">
        <f t="shared" si="93"/>
        <v>0.24000000000000002</v>
      </c>
      <c r="AT117" s="74">
        <f t="shared" si="94"/>
        <v>3.6299999999999995E-5</v>
      </c>
      <c r="AU117" s="73">
        <f t="shared" si="73"/>
        <v>29.164994274104323</v>
      </c>
      <c r="AV117" s="71">
        <f t="shared" si="74"/>
        <v>235.4</v>
      </c>
      <c r="AW117" s="74">
        <f t="shared" si="75"/>
        <v>88.976245948892341</v>
      </c>
    </row>
    <row r="118" spans="17:49" x14ac:dyDescent="0.25">
      <c r="Q118">
        <v>111</v>
      </c>
      <c r="R118" s="73">
        <f t="shared" si="49"/>
        <v>53.5</v>
      </c>
      <c r="S118" s="71">
        <f t="shared" si="79"/>
        <v>4.4400000000000004</v>
      </c>
      <c r="T118" s="71">
        <f t="shared" si="51"/>
        <v>11</v>
      </c>
      <c r="U118" s="74">
        <f t="shared" si="80"/>
        <v>21.594545454545457</v>
      </c>
      <c r="V118" s="73">
        <f>IF(Variable_Management!$B$20=3,2,IF((S118*R118/T118)&lt;((T118*(1-(T118/R118)))/(2*Lm*Fsw)),1,2))</f>
        <v>2</v>
      </c>
      <c r="W118" s="71">
        <f t="shared" si="81"/>
        <v>0.79439252336448596</v>
      </c>
      <c r="X118" s="74">
        <f t="shared" si="82"/>
        <v>0.20560747663551404</v>
      </c>
      <c r="Y118" s="73">
        <f t="shared" si="83"/>
        <v>5.3282425347617979</v>
      </c>
      <c r="Z118" s="71">
        <f t="shared" si="77"/>
        <v>24.258666721926357</v>
      </c>
      <c r="AA118" s="71">
        <f t="shared" si="78"/>
        <v>21.64925497018778</v>
      </c>
      <c r="AB118" s="71">
        <v>0</v>
      </c>
      <c r="AC118" s="71">
        <f t="shared" si="84"/>
        <v>1.0779875537576606</v>
      </c>
      <c r="AD118" s="74">
        <f t="shared" si="67"/>
        <v>1.0779875537576606</v>
      </c>
      <c r="AE118" s="73">
        <f t="shared" si="76"/>
        <v>17.154545454545456</v>
      </c>
      <c r="AF118" s="71">
        <f t="shared" si="68"/>
        <v>19.295699599573517</v>
      </c>
      <c r="AG118" s="71">
        <f t="shared" si="85"/>
        <v>1.1914368737183412</v>
      </c>
      <c r="AH118" s="71">
        <f t="shared" si="86"/>
        <v>19.739483373238041</v>
      </c>
      <c r="AI118" s="74">
        <f t="shared" si="69"/>
        <v>20.930920246956383</v>
      </c>
      <c r="AJ118" s="73">
        <f t="shared" si="70"/>
        <v>4.4400000000000013</v>
      </c>
      <c r="AK118" s="71">
        <f t="shared" si="87"/>
        <v>9.8166296521371716</v>
      </c>
      <c r="AL118" s="71">
        <f t="shared" si="88"/>
        <v>0.30837189672710008</v>
      </c>
      <c r="AM118" s="71">
        <f t="shared" si="95"/>
        <v>0</v>
      </c>
      <c r="AN118" s="188">
        <f t="shared" si="89"/>
        <v>0.48517333443852717</v>
      </c>
      <c r="AO118" s="74">
        <f t="shared" si="72"/>
        <v>0.79354523116562725</v>
      </c>
      <c r="AP118" s="73">
        <f t="shared" si="90"/>
        <v>0.56242828891704022</v>
      </c>
      <c r="AQ118" s="206">
        <f t="shared" si="91"/>
        <v>1.0779875537576606</v>
      </c>
      <c r="AR118" s="206">
        <f t="shared" si="92"/>
        <v>4.7390927326794205</v>
      </c>
      <c r="AS118" s="71">
        <f t="shared" si="93"/>
        <v>0.24000000000000002</v>
      </c>
      <c r="AT118" s="74">
        <f t="shared" si="94"/>
        <v>3.6299999999999995E-5</v>
      </c>
      <c r="AU118" s="73">
        <f t="shared" si="73"/>
        <v>29.421997907233795</v>
      </c>
      <c r="AV118" s="71">
        <f t="shared" si="74"/>
        <v>237.54000000000002</v>
      </c>
      <c r="AW118" s="74">
        <f t="shared" si="75"/>
        <v>88.978956503967439</v>
      </c>
    </row>
    <row r="119" spans="17:49" x14ac:dyDescent="0.25">
      <c r="Q119">
        <v>112</v>
      </c>
      <c r="R119" s="73">
        <f t="shared" si="49"/>
        <v>53.5</v>
      </c>
      <c r="S119" s="71">
        <f t="shared" si="79"/>
        <v>4.4800000000000004</v>
      </c>
      <c r="T119" s="71">
        <f t="shared" si="51"/>
        <v>11</v>
      </c>
      <c r="U119" s="74">
        <f t="shared" si="80"/>
        <v>21.789090909090913</v>
      </c>
      <c r="V119" s="73">
        <f>IF(Variable_Management!$B$20=3,2,IF((S119*R119/T119)&lt;((T119*(1-(T119/R119)))/(2*Lm*Fsw)),1,2))</f>
        <v>2</v>
      </c>
      <c r="W119" s="71">
        <f t="shared" si="81"/>
        <v>0.79439252336448596</v>
      </c>
      <c r="X119" s="74">
        <f t="shared" si="82"/>
        <v>0.20560747663551404</v>
      </c>
      <c r="Y119" s="73">
        <f t="shared" si="83"/>
        <v>5.3282425347617979</v>
      </c>
      <c r="Z119" s="71">
        <f t="shared" si="77"/>
        <v>24.453212176471812</v>
      </c>
      <c r="AA119" s="71">
        <f t="shared" si="78"/>
        <v>21.84331316491156</v>
      </c>
      <c r="AB119" s="71">
        <v>0</v>
      </c>
      <c r="AC119" s="71">
        <f t="shared" si="84"/>
        <v>1.0973997590469169</v>
      </c>
      <c r="AD119" s="74">
        <f t="shared" si="67"/>
        <v>1.0973997590469169</v>
      </c>
      <c r="AE119" s="73">
        <f t="shared" si="76"/>
        <v>17.309090909090912</v>
      </c>
      <c r="AF119" s="71">
        <f t="shared" si="68"/>
        <v>19.468661146535847</v>
      </c>
      <c r="AG119" s="71">
        <f t="shared" si="85"/>
        <v>1.2128920538836305</v>
      </c>
      <c r="AH119" s="71">
        <f t="shared" si="86"/>
        <v>19.91731655678073</v>
      </c>
      <c r="AI119" s="74">
        <f t="shared" si="69"/>
        <v>21.130208610664361</v>
      </c>
      <c r="AJ119" s="73">
        <f t="shared" si="70"/>
        <v>4.4800000000000013</v>
      </c>
      <c r="AK119" s="71">
        <f t="shared" si="87"/>
        <v>9.9046233235678507</v>
      </c>
      <c r="AL119" s="71">
        <f t="shared" si="88"/>
        <v>0.31392500218164565</v>
      </c>
      <c r="AM119" s="71">
        <f t="shared" si="95"/>
        <v>0</v>
      </c>
      <c r="AN119" s="188">
        <f t="shared" si="89"/>
        <v>0.48906424352943623</v>
      </c>
      <c r="AO119" s="74">
        <f t="shared" si="72"/>
        <v>0.80298924571108188</v>
      </c>
      <c r="AP119" s="73">
        <f t="shared" si="90"/>
        <v>0.57255639602447839</v>
      </c>
      <c r="AQ119" s="206">
        <f t="shared" si="91"/>
        <v>1.0973997590469169</v>
      </c>
      <c r="AR119" s="206">
        <f t="shared" si="92"/>
        <v>4.7390927326794205</v>
      </c>
      <c r="AS119" s="71">
        <f t="shared" si="93"/>
        <v>0.24000000000000002</v>
      </c>
      <c r="AT119" s="74">
        <f t="shared" si="94"/>
        <v>3.6299999999999995E-5</v>
      </c>
      <c r="AU119" s="73">
        <f t="shared" si="73"/>
        <v>29.679682803173172</v>
      </c>
      <c r="AV119" s="71">
        <f t="shared" si="74"/>
        <v>239.68000000000004</v>
      </c>
      <c r="AW119" s="74">
        <f t="shared" si="75"/>
        <v>88.981393765279734</v>
      </c>
    </row>
    <row r="120" spans="17:49" x14ac:dyDescent="0.25">
      <c r="Q120">
        <v>113</v>
      </c>
      <c r="R120" s="73">
        <f t="shared" si="49"/>
        <v>53.5</v>
      </c>
      <c r="S120" s="71">
        <f t="shared" si="79"/>
        <v>4.5200000000000005</v>
      </c>
      <c r="T120" s="71">
        <f t="shared" si="51"/>
        <v>11</v>
      </c>
      <c r="U120" s="74">
        <f t="shared" si="80"/>
        <v>21.983636363636364</v>
      </c>
      <c r="V120" s="73">
        <f>IF(Variable_Management!$B$20=3,2,IF((S120*R120/T120)&lt;((T120*(1-(T120/R120)))/(2*Lm*Fsw)),1,2))</f>
        <v>2</v>
      </c>
      <c r="W120" s="71">
        <f t="shared" si="81"/>
        <v>0.79439252336448596</v>
      </c>
      <c r="X120" s="74">
        <f t="shared" si="82"/>
        <v>0.20560747663551404</v>
      </c>
      <c r="Y120" s="73">
        <f t="shared" si="83"/>
        <v>5.3282425347617979</v>
      </c>
      <c r="Z120" s="71">
        <f t="shared" si="77"/>
        <v>24.647757631017264</v>
      </c>
      <c r="AA120" s="71">
        <f t="shared" si="78"/>
        <v>22.037379951899126</v>
      </c>
      <c r="AB120" s="71">
        <v>0</v>
      </c>
      <c r="AC120" s="71">
        <f t="shared" si="84"/>
        <v>1.1169860648320407</v>
      </c>
      <c r="AD120" s="74">
        <f t="shared" si="67"/>
        <v>1.1169860648320407</v>
      </c>
      <c r="AE120" s="73">
        <f t="shared" si="76"/>
        <v>17.463636363636365</v>
      </c>
      <c r="AF120" s="71">
        <f t="shared" si="68"/>
        <v>19.641630351671225</v>
      </c>
      <c r="AG120" s="71">
        <f t="shared" si="85"/>
        <v>1.2345396571894154</v>
      </c>
      <c r="AH120" s="71">
        <f t="shared" si="86"/>
        <v>20.095149740323407</v>
      </c>
      <c r="AI120" s="74">
        <f t="shared" si="69"/>
        <v>21.329689397512823</v>
      </c>
      <c r="AJ120" s="73">
        <f t="shared" si="70"/>
        <v>4.5200000000000005</v>
      </c>
      <c r="AK120" s="71">
        <f t="shared" si="87"/>
        <v>9.9926208910712369</v>
      </c>
      <c r="AL120" s="71">
        <f t="shared" si="88"/>
        <v>0.31952791127255464</v>
      </c>
      <c r="AM120" s="71">
        <f t="shared" si="95"/>
        <v>0</v>
      </c>
      <c r="AN120" s="188">
        <f t="shared" si="89"/>
        <v>0.49295515262034528</v>
      </c>
      <c r="AO120" s="74">
        <f t="shared" si="72"/>
        <v>0.81248306389289993</v>
      </c>
      <c r="AP120" s="73">
        <f t="shared" si="90"/>
        <v>0.58277533817323857</v>
      </c>
      <c r="AQ120" s="206">
        <f t="shared" si="91"/>
        <v>1.1169860648320407</v>
      </c>
      <c r="AR120" s="206">
        <f t="shared" si="92"/>
        <v>4.7390927326794205</v>
      </c>
      <c r="AS120" s="71">
        <f t="shared" si="93"/>
        <v>0.24000000000000002</v>
      </c>
      <c r="AT120" s="74">
        <f t="shared" si="94"/>
        <v>3.6299999999999995E-5</v>
      </c>
      <c r="AU120" s="73">
        <f t="shared" si="73"/>
        <v>29.938048961922462</v>
      </c>
      <c r="AV120" s="71">
        <f t="shared" si="74"/>
        <v>241.82000000000002</v>
      </c>
      <c r="AW120" s="74">
        <f t="shared" si="75"/>
        <v>88.983564948202414</v>
      </c>
    </row>
    <row r="121" spans="17:49" x14ac:dyDescent="0.25">
      <c r="Q121">
        <v>114</v>
      </c>
      <c r="R121" s="73">
        <f t="shared" si="49"/>
        <v>53.5</v>
      </c>
      <c r="S121" s="71">
        <f t="shared" si="79"/>
        <v>4.5600000000000005</v>
      </c>
      <c r="T121" s="71">
        <f t="shared" si="51"/>
        <v>11</v>
      </c>
      <c r="U121" s="74">
        <f t="shared" si="80"/>
        <v>22.178181818181823</v>
      </c>
      <c r="V121" s="73">
        <f>IF(Variable_Management!$B$20=3,2,IF((S121*R121/T121)&lt;((T121*(1-(T121/R121)))/(2*Lm*Fsw)),1,2))</f>
        <v>2</v>
      </c>
      <c r="W121" s="71">
        <f t="shared" si="81"/>
        <v>0.79439252336448596</v>
      </c>
      <c r="X121" s="74">
        <f t="shared" si="82"/>
        <v>0.20560747663551404</v>
      </c>
      <c r="Y121" s="73">
        <f t="shared" si="83"/>
        <v>5.3282425347617979</v>
      </c>
      <c r="Z121" s="71">
        <f t="shared" si="77"/>
        <v>24.842303085562722</v>
      </c>
      <c r="AA121" s="71">
        <f t="shared" si="78"/>
        <v>22.231455106135115</v>
      </c>
      <c r="AB121" s="71">
        <v>0</v>
      </c>
      <c r="AC121" s="71">
        <f t="shared" si="84"/>
        <v>1.1367464711130326</v>
      </c>
      <c r="AD121" s="74">
        <f t="shared" si="67"/>
        <v>1.1367464711130326</v>
      </c>
      <c r="AE121" s="73">
        <f t="shared" si="76"/>
        <v>17.618181818181821</v>
      </c>
      <c r="AF121" s="71">
        <f t="shared" si="68"/>
        <v>19.814607014426382</v>
      </c>
      <c r="AG121" s="71">
        <f t="shared" si="85"/>
        <v>1.2563796836356969</v>
      </c>
      <c r="AH121" s="71">
        <f t="shared" si="86"/>
        <v>20.272982923866095</v>
      </c>
      <c r="AI121" s="74">
        <f t="shared" si="69"/>
        <v>21.529362607501792</v>
      </c>
      <c r="AJ121" s="73">
        <f t="shared" si="70"/>
        <v>4.5600000000000014</v>
      </c>
      <c r="AK121" s="71">
        <f t="shared" si="87"/>
        <v>10.080622252616456</v>
      </c>
      <c r="AL121" s="71">
        <f t="shared" si="88"/>
        <v>0.32518062399982745</v>
      </c>
      <c r="AM121" s="71">
        <f t="shared" si="95"/>
        <v>0</v>
      </c>
      <c r="AN121" s="188">
        <f t="shared" si="89"/>
        <v>0.49684606171125445</v>
      </c>
      <c r="AO121" s="74">
        <f t="shared" si="72"/>
        <v>0.82202668571108184</v>
      </c>
      <c r="AP121" s="73">
        <f t="shared" si="90"/>
        <v>0.59308511536332131</v>
      </c>
      <c r="AQ121" s="206">
        <f t="shared" si="91"/>
        <v>1.1367464711130326</v>
      </c>
      <c r="AR121" s="206">
        <f t="shared" si="92"/>
        <v>4.7390927326794205</v>
      </c>
      <c r="AS121" s="71">
        <f t="shared" si="93"/>
        <v>0.24000000000000002</v>
      </c>
      <c r="AT121" s="74">
        <f t="shared" si="94"/>
        <v>3.6299999999999995E-5</v>
      </c>
      <c r="AU121" s="73">
        <f t="shared" si="73"/>
        <v>30.197096383481679</v>
      </c>
      <c r="AV121" s="71">
        <f t="shared" si="74"/>
        <v>243.96000000000004</v>
      </c>
      <c r="AW121" s="74">
        <f t="shared" si="75"/>
        <v>88.985477019627098</v>
      </c>
    </row>
    <row r="122" spans="17:49" x14ac:dyDescent="0.25">
      <c r="Q122">
        <v>115</v>
      </c>
      <c r="R122" s="73">
        <f t="shared" si="49"/>
        <v>53.5</v>
      </c>
      <c r="S122" s="71">
        <f t="shared" si="79"/>
        <v>4.6000000000000005</v>
      </c>
      <c r="T122" s="71">
        <f t="shared" si="51"/>
        <v>11</v>
      </c>
      <c r="U122" s="74">
        <f t="shared" si="80"/>
        <v>22.372727272727275</v>
      </c>
      <c r="V122" s="73">
        <f>IF(Variable_Management!$B$20=3,2,IF((S122*R122/T122)&lt;((T122*(1-(T122/R122)))/(2*Lm*Fsw)),1,2))</f>
        <v>2</v>
      </c>
      <c r="W122" s="71">
        <f t="shared" si="81"/>
        <v>0.79439252336448596</v>
      </c>
      <c r="X122" s="74">
        <f t="shared" si="82"/>
        <v>0.20560747663551404</v>
      </c>
      <c r="Y122" s="73">
        <f t="shared" si="83"/>
        <v>5.3282425347617979</v>
      </c>
      <c r="Z122" s="71">
        <f t="shared" si="77"/>
        <v>25.036848540108174</v>
      </c>
      <c r="AA122" s="71">
        <f t="shared" si="78"/>
        <v>22.425538410383933</v>
      </c>
      <c r="AB122" s="71">
        <v>0</v>
      </c>
      <c r="AC122" s="71">
        <f t="shared" si="84"/>
        <v>1.1566809778898919</v>
      </c>
      <c r="AD122" s="74">
        <f t="shared" si="67"/>
        <v>1.1566809778898919</v>
      </c>
      <c r="AE122" s="73">
        <f t="shared" si="76"/>
        <v>17.772727272727273</v>
      </c>
      <c r="AF122" s="71">
        <f t="shared" si="68"/>
        <v>19.987590941182056</v>
      </c>
      <c r="AG122" s="71">
        <f t="shared" si="85"/>
        <v>1.2784121332224736</v>
      </c>
      <c r="AH122" s="71">
        <f t="shared" si="86"/>
        <v>20.45081610740878</v>
      </c>
      <c r="AI122" s="74">
        <f t="shared" si="69"/>
        <v>21.729228240631254</v>
      </c>
      <c r="AJ122" s="73">
        <f t="shared" si="70"/>
        <v>4.6000000000000005</v>
      </c>
      <c r="AK122" s="71">
        <f t="shared" si="87"/>
        <v>10.168627309700282</v>
      </c>
      <c r="AL122" s="71">
        <f t="shared" si="88"/>
        <v>0.33088314036346372</v>
      </c>
      <c r="AM122" s="71">
        <f t="shared" si="95"/>
        <v>0</v>
      </c>
      <c r="AN122" s="188">
        <f t="shared" si="89"/>
        <v>0.50073697080216351</v>
      </c>
      <c r="AO122" s="74">
        <f t="shared" si="72"/>
        <v>0.83162011116562717</v>
      </c>
      <c r="AP122" s="73">
        <f t="shared" si="90"/>
        <v>0.60348572759472607</v>
      </c>
      <c r="AQ122" s="206">
        <f t="shared" si="91"/>
        <v>1.1566809778898919</v>
      </c>
      <c r="AR122" s="206">
        <f t="shared" si="92"/>
        <v>4.7390927326794205</v>
      </c>
      <c r="AS122" s="71">
        <f t="shared" si="93"/>
        <v>0.24000000000000002</v>
      </c>
      <c r="AT122" s="74">
        <f t="shared" si="94"/>
        <v>3.6299999999999995E-5</v>
      </c>
      <c r="AU122" s="73">
        <f t="shared" si="73"/>
        <v>30.456825067850811</v>
      </c>
      <c r="AV122" s="71">
        <f t="shared" si="74"/>
        <v>246.10000000000002</v>
      </c>
      <c r="AW122" s="74">
        <f t="shared" si="75"/>
        <v>88.98713670856668</v>
      </c>
    </row>
    <row r="123" spans="17:49" x14ac:dyDescent="0.25">
      <c r="Q123">
        <v>116</v>
      </c>
      <c r="R123" s="73">
        <f t="shared" si="49"/>
        <v>53.5</v>
      </c>
      <c r="S123" s="71">
        <f t="shared" si="79"/>
        <v>4.6399999999999997</v>
      </c>
      <c r="T123" s="71">
        <f t="shared" si="51"/>
        <v>11</v>
      </c>
      <c r="U123" s="74">
        <f t="shared" si="80"/>
        <v>22.567272727272726</v>
      </c>
      <c r="V123" s="73">
        <f>IF(Variable_Management!$B$20=3,2,IF((S123*R123/T123)&lt;((T123*(1-(T123/R123)))/(2*Lm*Fsw)),1,2))</f>
        <v>2</v>
      </c>
      <c r="W123" s="71">
        <f t="shared" si="81"/>
        <v>0.79439252336448596</v>
      </c>
      <c r="X123" s="74">
        <f t="shared" si="82"/>
        <v>0.20560747663551404</v>
      </c>
      <c r="Y123" s="73">
        <f t="shared" si="83"/>
        <v>5.3282425347617979</v>
      </c>
      <c r="Z123" s="71">
        <f t="shared" si="77"/>
        <v>25.231393994653626</v>
      </c>
      <c r="AA123" s="71">
        <f t="shared" si="78"/>
        <v>22.619629654856812</v>
      </c>
      <c r="AB123" s="71">
        <v>0</v>
      </c>
      <c r="AC123" s="71">
        <f t="shared" si="84"/>
        <v>1.1767895851626187</v>
      </c>
      <c r="AD123" s="74">
        <f t="shared" si="67"/>
        <v>1.1767895851626187</v>
      </c>
      <c r="AE123" s="73">
        <f t="shared" si="76"/>
        <v>17.927272727272726</v>
      </c>
      <c r="AF123" s="71">
        <f t="shared" si="68"/>
        <v>20.160581944956238</v>
      </c>
      <c r="AG123" s="71">
        <f t="shared" si="85"/>
        <v>1.3006370059497454</v>
      </c>
      <c r="AH123" s="71">
        <f t="shared" si="86"/>
        <v>20.628649290951461</v>
      </c>
      <c r="AI123" s="74">
        <f t="shared" si="69"/>
        <v>21.929286296901207</v>
      </c>
      <c r="AJ123" s="73">
        <f t="shared" si="70"/>
        <v>4.6400000000000006</v>
      </c>
      <c r="AK123" s="71">
        <f t="shared" si="87"/>
        <v>10.256635967196182</v>
      </c>
      <c r="AL123" s="71">
        <f t="shared" si="88"/>
        <v>0.33663546036346359</v>
      </c>
      <c r="AM123" s="71">
        <f t="shared" si="95"/>
        <v>0</v>
      </c>
      <c r="AN123" s="188">
        <f t="shared" si="89"/>
        <v>0.50462787989307256</v>
      </c>
      <c r="AO123" s="74">
        <f t="shared" si="72"/>
        <v>0.84126334025653615</v>
      </c>
      <c r="AP123" s="73">
        <f t="shared" si="90"/>
        <v>0.61397717486745318</v>
      </c>
      <c r="AQ123" s="206">
        <f t="shared" si="91"/>
        <v>1.1767895851626187</v>
      </c>
      <c r="AR123" s="206">
        <f t="shared" si="92"/>
        <v>4.7390927326794205</v>
      </c>
      <c r="AS123" s="71">
        <f t="shared" si="93"/>
        <v>0.24000000000000002</v>
      </c>
      <c r="AT123" s="74">
        <f t="shared" si="94"/>
        <v>3.6299999999999995E-5</v>
      </c>
      <c r="AU123" s="73">
        <f t="shared" si="73"/>
        <v>30.717235015029857</v>
      </c>
      <c r="AV123" s="71">
        <f t="shared" si="74"/>
        <v>248.23999999999998</v>
      </c>
      <c r="AW123" s="74">
        <f t="shared" si="75"/>
        <v>88.98855051621986</v>
      </c>
    </row>
    <row r="124" spans="17:49" x14ac:dyDescent="0.25">
      <c r="Q124">
        <v>117</v>
      </c>
      <c r="R124" s="73">
        <f t="shared" si="49"/>
        <v>53.5</v>
      </c>
      <c r="S124" s="71">
        <f t="shared" si="79"/>
        <v>4.68</v>
      </c>
      <c r="T124" s="71">
        <f t="shared" si="51"/>
        <v>11</v>
      </c>
      <c r="U124" s="74">
        <f t="shared" si="80"/>
        <v>22.761818181818182</v>
      </c>
      <c r="V124" s="73">
        <f>IF(Variable_Management!$B$20=3,2,IF((S124*R124/T124)&lt;((T124*(1-(T124/R124)))/(2*Lm*Fsw)),1,2))</f>
        <v>2</v>
      </c>
      <c r="W124" s="71">
        <f t="shared" si="81"/>
        <v>0.79439252336448596</v>
      </c>
      <c r="X124" s="74">
        <f t="shared" si="82"/>
        <v>0.20560747663551404</v>
      </c>
      <c r="Y124" s="73">
        <f t="shared" si="83"/>
        <v>5.3282425347617979</v>
      </c>
      <c r="Z124" s="71">
        <f t="shared" si="77"/>
        <v>25.425939449199081</v>
      </c>
      <c r="AA124" s="71">
        <f t="shared" si="78"/>
        <v>22.813728636895792</v>
      </c>
      <c r="AB124" s="71">
        <v>0</v>
      </c>
      <c r="AC124" s="71">
        <f t="shared" si="84"/>
        <v>1.1970722929312141</v>
      </c>
      <c r="AD124" s="74">
        <f t="shared" si="67"/>
        <v>1.1970722929312141</v>
      </c>
      <c r="AE124" s="73">
        <f t="shared" si="76"/>
        <v>18.081818181818182</v>
      </c>
      <c r="AF124" s="71">
        <f t="shared" si="68"/>
        <v>20.333579845122529</v>
      </c>
      <c r="AG124" s="71">
        <f t="shared" si="85"/>
        <v>1.323054301817514</v>
      </c>
      <c r="AH124" s="71">
        <f t="shared" si="86"/>
        <v>20.806482474494146</v>
      </c>
      <c r="AI124" s="74">
        <f t="shared" si="69"/>
        <v>22.12953677631166</v>
      </c>
      <c r="AJ124" s="73">
        <f t="shared" si="70"/>
        <v>4.6800000000000006</v>
      </c>
      <c r="AK124" s="71">
        <f t="shared" si="87"/>
        <v>10.344648133211008</v>
      </c>
      <c r="AL124" s="71">
        <f t="shared" si="88"/>
        <v>0.34243758399982716</v>
      </c>
      <c r="AM124" s="71">
        <f t="shared" si="95"/>
        <v>0</v>
      </c>
      <c r="AN124" s="188">
        <f t="shared" si="89"/>
        <v>0.50851878898398162</v>
      </c>
      <c r="AO124" s="74">
        <f t="shared" si="72"/>
        <v>0.85095637298380877</v>
      </c>
      <c r="AP124" s="73">
        <f t="shared" si="90"/>
        <v>0.62455945718150296</v>
      </c>
      <c r="AQ124" s="206">
        <f t="shared" si="91"/>
        <v>1.1970722929312141</v>
      </c>
      <c r="AR124" s="206">
        <f t="shared" si="92"/>
        <v>4.7390927326794205</v>
      </c>
      <c r="AS124" s="71">
        <f t="shared" si="93"/>
        <v>0.24000000000000002</v>
      </c>
      <c r="AT124" s="74">
        <f t="shared" si="94"/>
        <v>3.6299999999999995E-5</v>
      </c>
      <c r="AU124" s="73">
        <f t="shared" si="73"/>
        <v>30.978326225018819</v>
      </c>
      <c r="AV124" s="71">
        <f t="shared" si="74"/>
        <v>250.38</v>
      </c>
      <c r="AW124" s="74">
        <f t="shared" si="75"/>
        <v>88.989724725528959</v>
      </c>
    </row>
    <row r="125" spans="17:49" x14ac:dyDescent="0.25">
      <c r="Q125">
        <v>118</v>
      </c>
      <c r="R125" s="73">
        <f t="shared" si="49"/>
        <v>53.5</v>
      </c>
      <c r="S125" s="71">
        <f t="shared" si="79"/>
        <v>4.72</v>
      </c>
      <c r="T125" s="71">
        <f t="shared" si="51"/>
        <v>11</v>
      </c>
      <c r="U125" s="74">
        <f t="shared" si="80"/>
        <v>22.956363636363633</v>
      </c>
      <c r="V125" s="73">
        <f>IF(Variable_Management!$B$20=3,2,IF((S125*R125/T125)&lt;((T125*(1-(T125/R125)))/(2*Lm*Fsw)),1,2))</f>
        <v>2</v>
      </c>
      <c r="W125" s="71">
        <f t="shared" si="81"/>
        <v>0.79439252336448596</v>
      </c>
      <c r="X125" s="74">
        <f t="shared" si="82"/>
        <v>0.20560747663551404</v>
      </c>
      <c r="Y125" s="73">
        <f t="shared" si="83"/>
        <v>5.3282425347617979</v>
      </c>
      <c r="Z125" s="71">
        <f t="shared" si="77"/>
        <v>25.620484903744533</v>
      </c>
      <c r="AA125" s="71">
        <f t="shared" si="78"/>
        <v>23.007835160673611</v>
      </c>
      <c r="AB125" s="71">
        <v>0</v>
      </c>
      <c r="AC125" s="71">
        <f t="shared" si="84"/>
        <v>1.2175291011956766</v>
      </c>
      <c r="AD125" s="74">
        <f t="shared" si="67"/>
        <v>1.2175291011956766</v>
      </c>
      <c r="AE125" s="73">
        <f t="shared" si="76"/>
        <v>18.236363636363635</v>
      </c>
      <c r="AF125" s="71">
        <f t="shared" si="68"/>
        <v>20.506584467142638</v>
      </c>
      <c r="AG125" s="71">
        <f t="shared" si="85"/>
        <v>1.3456640208257784</v>
      </c>
      <c r="AH125" s="71">
        <f t="shared" si="86"/>
        <v>20.984315658036831</v>
      </c>
      <c r="AI125" s="74">
        <f t="shared" si="69"/>
        <v>22.32997967886261</v>
      </c>
      <c r="AJ125" s="73">
        <f t="shared" si="70"/>
        <v>4.72</v>
      </c>
      <c r="AK125" s="71">
        <f t="shared" si="87"/>
        <v>10.432663718948927</v>
      </c>
      <c r="AL125" s="71">
        <f t="shared" si="88"/>
        <v>0.34828951127255442</v>
      </c>
      <c r="AM125" s="71">
        <f t="shared" si="95"/>
        <v>0</v>
      </c>
      <c r="AN125" s="188">
        <f t="shared" si="89"/>
        <v>0.51240969807489067</v>
      </c>
      <c r="AO125" s="74">
        <f t="shared" si="72"/>
        <v>0.86069920934744504</v>
      </c>
      <c r="AP125" s="73">
        <f t="shared" si="90"/>
        <v>0.63523257453687465</v>
      </c>
      <c r="AQ125" s="206">
        <f t="shared" si="91"/>
        <v>1.2175291011956766</v>
      </c>
      <c r="AR125" s="206">
        <f t="shared" si="92"/>
        <v>4.7390927326794205</v>
      </c>
      <c r="AS125" s="71">
        <f t="shared" si="93"/>
        <v>0.24000000000000002</v>
      </c>
      <c r="AT125" s="74">
        <f t="shared" si="94"/>
        <v>3.6299999999999995E-5</v>
      </c>
      <c r="AU125" s="73">
        <f t="shared" si="73"/>
        <v>31.240098697817704</v>
      </c>
      <c r="AV125" s="71">
        <f t="shared" si="74"/>
        <v>252.51999999999998</v>
      </c>
      <c r="AW125" s="74">
        <f t="shared" si="75"/>
        <v>88.990665410260533</v>
      </c>
    </row>
    <row r="126" spans="17:49" x14ac:dyDescent="0.25">
      <c r="Q126">
        <v>119</v>
      </c>
      <c r="R126" s="73">
        <f t="shared" si="49"/>
        <v>53.5</v>
      </c>
      <c r="S126" s="71">
        <f t="shared" si="79"/>
        <v>4.76</v>
      </c>
      <c r="T126" s="71">
        <f t="shared" si="51"/>
        <v>11</v>
      </c>
      <c r="U126" s="74">
        <f t="shared" si="80"/>
        <v>23.150909090909092</v>
      </c>
      <c r="V126" s="73">
        <f>IF(Variable_Management!$B$20=3,2,IF((S126*R126/T126)&lt;((T126*(1-(T126/R126)))/(2*Lm*Fsw)),1,2))</f>
        <v>2</v>
      </c>
      <c r="W126" s="71">
        <f t="shared" si="81"/>
        <v>0.79439252336448596</v>
      </c>
      <c r="X126" s="74">
        <f t="shared" si="82"/>
        <v>0.20560747663551404</v>
      </c>
      <c r="Y126" s="73">
        <f t="shared" si="83"/>
        <v>5.3282425347617979</v>
      </c>
      <c r="Z126" s="71">
        <f t="shared" si="77"/>
        <v>25.815030358289992</v>
      </c>
      <c r="AA126" s="71">
        <f t="shared" si="78"/>
        <v>23.20194903690868</v>
      </c>
      <c r="AB126" s="71">
        <v>0</v>
      </c>
      <c r="AC126" s="71">
        <f t="shared" si="84"/>
        <v>1.2381600099560073</v>
      </c>
      <c r="AD126" s="74">
        <f t="shared" si="67"/>
        <v>1.2381600099560073</v>
      </c>
      <c r="AE126" s="73">
        <f t="shared" si="76"/>
        <v>18.390909090909091</v>
      </c>
      <c r="AF126" s="71">
        <f t="shared" si="68"/>
        <v>20.679595642312339</v>
      </c>
      <c r="AG126" s="71">
        <f t="shared" si="85"/>
        <v>1.3684661629745392</v>
      </c>
      <c r="AH126" s="71">
        <f t="shared" si="86"/>
        <v>21.162148841579519</v>
      </c>
      <c r="AI126" s="74">
        <f t="shared" si="69"/>
        <v>22.530615004554058</v>
      </c>
      <c r="AJ126" s="73">
        <f t="shared" si="70"/>
        <v>4.7600000000000007</v>
      </c>
      <c r="AK126" s="71">
        <f t="shared" si="87"/>
        <v>10.520682638582167</v>
      </c>
      <c r="AL126" s="71">
        <f t="shared" si="88"/>
        <v>0.3541912421816456</v>
      </c>
      <c r="AM126" s="71">
        <f t="shared" si="95"/>
        <v>0</v>
      </c>
      <c r="AN126" s="188">
        <f t="shared" si="89"/>
        <v>0.51630060716579984</v>
      </c>
      <c r="AO126" s="74">
        <f t="shared" si="72"/>
        <v>0.87049184934744539</v>
      </c>
      <c r="AP126" s="73">
        <f t="shared" si="90"/>
        <v>0.64599652693356902</v>
      </c>
      <c r="AQ126" s="206">
        <f t="shared" si="91"/>
        <v>1.2381600099560073</v>
      </c>
      <c r="AR126" s="206">
        <f t="shared" si="92"/>
        <v>4.7390927326794205</v>
      </c>
      <c r="AS126" s="71">
        <f t="shared" si="93"/>
        <v>0.24000000000000002</v>
      </c>
      <c r="AT126" s="74">
        <f t="shared" si="94"/>
        <v>3.6299999999999995E-5</v>
      </c>
      <c r="AU126" s="73">
        <f t="shared" si="73"/>
        <v>31.502552433426509</v>
      </c>
      <c r="AV126" s="71">
        <f t="shared" si="74"/>
        <v>254.66</v>
      </c>
      <c r="AW126" s="74">
        <f t="shared" si="75"/>
        <v>88.991378443636378</v>
      </c>
    </row>
    <row r="127" spans="17:49" x14ac:dyDescent="0.25">
      <c r="Q127">
        <v>120</v>
      </c>
      <c r="R127" s="73">
        <f t="shared" si="49"/>
        <v>53.5</v>
      </c>
      <c r="S127" s="71">
        <f t="shared" si="79"/>
        <v>4.8</v>
      </c>
      <c r="T127" s="71">
        <f t="shared" si="51"/>
        <v>11</v>
      </c>
      <c r="U127" s="74">
        <f t="shared" si="80"/>
        <v>23.345454545454547</v>
      </c>
      <c r="V127" s="73">
        <f>IF(Variable_Management!$B$20=3,2,IF((S127*R127/T127)&lt;((T127*(1-(T127/R127)))/(2*Lm*Fsw)),1,2))</f>
        <v>2</v>
      </c>
      <c r="W127" s="71">
        <f t="shared" si="81"/>
        <v>0.79439252336448596</v>
      </c>
      <c r="X127" s="74">
        <f t="shared" si="82"/>
        <v>0.20560747663551404</v>
      </c>
      <c r="Y127" s="73">
        <f t="shared" si="83"/>
        <v>5.3282425347617979</v>
      </c>
      <c r="Z127" s="71">
        <f t="shared" si="77"/>
        <v>26.009575812835447</v>
      </c>
      <c r="AA127" s="71">
        <f t="shared" si="78"/>
        <v>23.396070082594104</v>
      </c>
      <c r="AB127" s="71">
        <v>0</v>
      </c>
      <c r="AC127" s="71">
        <f t="shared" si="84"/>
        <v>1.2589650192122062</v>
      </c>
      <c r="AD127" s="74">
        <f t="shared" si="67"/>
        <v>1.2589650192122062</v>
      </c>
      <c r="AE127" s="73">
        <f t="shared" si="76"/>
        <v>18.545454545454547</v>
      </c>
      <c r="AF127" s="71">
        <f t="shared" si="68"/>
        <v>20.852613207519965</v>
      </c>
      <c r="AG127" s="71">
        <f t="shared" si="85"/>
        <v>1.3914607282637956</v>
      </c>
      <c r="AH127" s="71">
        <f t="shared" si="86"/>
        <v>21.339982025122204</v>
      </c>
      <c r="AI127" s="74">
        <f t="shared" si="69"/>
        <v>22.731442753385998</v>
      </c>
      <c r="AJ127" s="73">
        <f t="shared" si="70"/>
        <v>4.8000000000000007</v>
      </c>
      <c r="AK127" s="71">
        <f t="shared" si="87"/>
        <v>10.608704809128151</v>
      </c>
      <c r="AL127" s="71">
        <f t="shared" si="88"/>
        <v>0.36014277672709999</v>
      </c>
      <c r="AM127" s="71">
        <f t="shared" si="95"/>
        <v>0</v>
      </c>
      <c r="AN127" s="188">
        <f t="shared" si="89"/>
        <v>0.5201915162567089</v>
      </c>
      <c r="AO127" s="74">
        <f t="shared" si="72"/>
        <v>0.88033429298380894</v>
      </c>
      <c r="AP127" s="73">
        <f t="shared" si="90"/>
        <v>0.65685131437158573</v>
      </c>
      <c r="AQ127" s="206">
        <f t="shared" si="91"/>
        <v>1.2589650192122062</v>
      </c>
      <c r="AR127" s="206">
        <f t="shared" si="92"/>
        <v>4.7390927326794205</v>
      </c>
      <c r="AS127" s="71">
        <f t="shared" si="93"/>
        <v>0.24000000000000002</v>
      </c>
      <c r="AT127" s="74">
        <f t="shared" si="94"/>
        <v>3.6299999999999995E-5</v>
      </c>
      <c r="AU127" s="73">
        <f t="shared" si="73"/>
        <v>31.765687431845222</v>
      </c>
      <c r="AV127" s="71">
        <f t="shared" si="74"/>
        <v>256.8</v>
      </c>
      <c r="AW127" s="74">
        <f t="shared" si="75"/>
        <v>88.991869506540766</v>
      </c>
    </row>
    <row r="128" spans="17:49" x14ac:dyDescent="0.25">
      <c r="Q128">
        <v>121</v>
      </c>
      <c r="R128" s="73">
        <f t="shared" si="49"/>
        <v>53.5</v>
      </c>
      <c r="S128" s="71">
        <f t="shared" si="79"/>
        <v>4.84</v>
      </c>
      <c r="T128" s="71">
        <f t="shared" si="51"/>
        <v>11</v>
      </c>
      <c r="U128" s="74">
        <f t="shared" si="80"/>
        <v>23.54</v>
      </c>
      <c r="V128" s="73">
        <f>IF(Variable_Management!$B$20=3,2,IF((S128*R128/T128)&lt;((T128*(1-(T128/R128)))/(2*Lm*Fsw)),1,2))</f>
        <v>2</v>
      </c>
      <c r="W128" s="71">
        <f t="shared" si="81"/>
        <v>0.79439252336448596</v>
      </c>
      <c r="X128" s="74">
        <f t="shared" si="82"/>
        <v>0.20560747663551404</v>
      </c>
      <c r="Y128" s="73">
        <f t="shared" si="83"/>
        <v>5.3282425347617979</v>
      </c>
      <c r="Z128" s="71">
        <f t="shared" si="77"/>
        <v>26.204121267380899</v>
      </c>
      <c r="AA128" s="71">
        <f t="shared" si="78"/>
        <v>23.590198120740112</v>
      </c>
      <c r="AB128" s="71">
        <v>0</v>
      </c>
      <c r="AC128" s="71">
        <f t="shared" si="84"/>
        <v>1.2799441289642717</v>
      </c>
      <c r="AD128" s="74">
        <f t="shared" si="67"/>
        <v>1.2799441289642717</v>
      </c>
      <c r="AE128" s="73">
        <f t="shared" si="76"/>
        <v>18.7</v>
      </c>
      <c r="AF128" s="71">
        <f t="shared" si="68"/>
        <v>21.02563700501684</v>
      </c>
      <c r="AG128" s="71">
        <f t="shared" si="85"/>
        <v>1.4146477166935474</v>
      </c>
      <c r="AH128" s="71">
        <f t="shared" si="86"/>
        <v>21.517815208664885</v>
      </c>
      <c r="AI128" s="74">
        <f t="shared" si="69"/>
        <v>22.932462925358433</v>
      </c>
      <c r="AJ128" s="73">
        <f t="shared" si="70"/>
        <v>4.8400000000000007</v>
      </c>
      <c r="AK128" s="71">
        <f t="shared" si="87"/>
        <v>10.696730150332714</v>
      </c>
      <c r="AL128" s="71">
        <f t="shared" si="88"/>
        <v>0.36614411490891818</v>
      </c>
      <c r="AM128" s="71">
        <f t="shared" si="95"/>
        <v>0</v>
      </c>
      <c r="AN128" s="188">
        <f t="shared" si="89"/>
        <v>0.52408242534761795</v>
      </c>
      <c r="AO128" s="74">
        <f t="shared" si="72"/>
        <v>0.89022654025653614</v>
      </c>
      <c r="AP128" s="73">
        <f t="shared" si="90"/>
        <v>0.66779693685092434</v>
      </c>
      <c r="AQ128" s="206">
        <f t="shared" si="91"/>
        <v>1.2799441289642717</v>
      </c>
      <c r="AR128" s="206">
        <f t="shared" si="92"/>
        <v>4.7390927326794205</v>
      </c>
      <c r="AS128" s="71">
        <f t="shared" si="93"/>
        <v>0.24000000000000002</v>
      </c>
      <c r="AT128" s="74">
        <f t="shared" si="94"/>
        <v>3.6299999999999995E-5</v>
      </c>
      <c r="AU128" s="73">
        <f t="shared" si="73"/>
        <v>32.029503693073856</v>
      </c>
      <c r="AV128" s="71">
        <f t="shared" si="74"/>
        <v>258.94</v>
      </c>
      <c r="AW128" s="74">
        <f t="shared" si="75"/>
        <v>88.992144095327646</v>
      </c>
    </row>
    <row r="129" spans="17:49" x14ac:dyDescent="0.25">
      <c r="Q129">
        <v>122</v>
      </c>
      <c r="R129" s="73">
        <f t="shared" si="49"/>
        <v>53.5</v>
      </c>
      <c r="S129" s="71">
        <f t="shared" si="79"/>
        <v>4.88</v>
      </c>
      <c r="T129" s="71">
        <f t="shared" si="51"/>
        <v>11</v>
      </c>
      <c r="U129" s="74">
        <f t="shared" si="80"/>
        <v>23.734545454545454</v>
      </c>
      <c r="V129" s="73">
        <f>IF(Variable_Management!$B$20=3,2,IF((S129*R129/T129)&lt;((T129*(1-(T129/R129)))/(2*Lm*Fsw)),1,2))</f>
        <v>2</v>
      </c>
      <c r="W129" s="71">
        <f t="shared" si="81"/>
        <v>0.79439252336448596</v>
      </c>
      <c r="X129" s="74">
        <f t="shared" si="82"/>
        <v>0.20560747663551404</v>
      </c>
      <c r="Y129" s="73">
        <f t="shared" si="83"/>
        <v>5.3282425347617979</v>
      </c>
      <c r="Z129" s="71">
        <f t="shared" si="77"/>
        <v>26.398666721926354</v>
      </c>
      <c r="AA129" s="71">
        <f t="shared" si="78"/>
        <v>23.784332980129058</v>
      </c>
      <c r="AB129" s="71">
        <v>0</v>
      </c>
      <c r="AC129" s="71">
        <f t="shared" si="84"/>
        <v>1.301097339212206</v>
      </c>
      <c r="AD129" s="74">
        <f t="shared" si="67"/>
        <v>1.301097339212206</v>
      </c>
      <c r="AE129" s="73">
        <f t="shared" si="76"/>
        <v>18.854545454545455</v>
      </c>
      <c r="AF129" s="71">
        <f t="shared" si="68"/>
        <v>21.198666882198889</v>
      </c>
      <c r="AG129" s="71">
        <f t="shared" si="85"/>
        <v>1.4380271282637953</v>
      </c>
      <c r="AH129" s="71">
        <f t="shared" si="86"/>
        <v>21.69564839220757</v>
      </c>
      <c r="AI129" s="74">
        <f t="shared" si="69"/>
        <v>23.133675520471364</v>
      </c>
      <c r="AJ129" s="73">
        <f t="shared" si="70"/>
        <v>4.8800000000000008</v>
      </c>
      <c r="AK129" s="71">
        <f t="shared" si="87"/>
        <v>10.784758584558986</v>
      </c>
      <c r="AL129" s="71">
        <f t="shared" si="88"/>
        <v>0.37219525672709997</v>
      </c>
      <c r="AM129" s="71">
        <f t="shared" si="95"/>
        <v>0</v>
      </c>
      <c r="AN129" s="188">
        <f t="shared" si="89"/>
        <v>0.52797333443852712</v>
      </c>
      <c r="AO129" s="74">
        <f t="shared" si="72"/>
        <v>0.90016859116562709</v>
      </c>
      <c r="AP129" s="73">
        <f t="shared" si="90"/>
        <v>0.67883339437158574</v>
      </c>
      <c r="AQ129" s="206">
        <f t="shared" si="91"/>
        <v>1.301097339212206</v>
      </c>
      <c r="AR129" s="206">
        <f t="shared" si="92"/>
        <v>4.7390927326794205</v>
      </c>
      <c r="AS129" s="71">
        <f t="shared" si="93"/>
        <v>0.24000000000000002</v>
      </c>
      <c r="AT129" s="74">
        <f t="shared" si="94"/>
        <v>3.6299999999999995E-5</v>
      </c>
      <c r="AU129" s="73">
        <f t="shared" si="73"/>
        <v>32.29400121711241</v>
      </c>
      <c r="AV129" s="71">
        <f t="shared" si="74"/>
        <v>261.08</v>
      </c>
      <c r="AW129" s="74">
        <f t="shared" si="75"/>
        <v>88.99220752925099</v>
      </c>
    </row>
    <row r="130" spans="17:49" x14ac:dyDescent="0.25">
      <c r="Q130">
        <v>123</v>
      </c>
      <c r="R130" s="73">
        <f t="shared" si="49"/>
        <v>53.5</v>
      </c>
      <c r="S130" s="71">
        <f t="shared" si="79"/>
        <v>4.92</v>
      </c>
      <c r="T130" s="71">
        <f t="shared" si="51"/>
        <v>11</v>
      </c>
      <c r="U130" s="74">
        <f t="shared" si="80"/>
        <v>23.929090909090906</v>
      </c>
      <c r="V130" s="73">
        <f>IF(Variable_Management!$B$20=3,2,IF((S130*R130/T130)&lt;((T130*(1-(T130/R130)))/(2*Lm*Fsw)),1,2))</f>
        <v>2</v>
      </c>
      <c r="W130" s="71">
        <f t="shared" si="81"/>
        <v>0.79439252336448596</v>
      </c>
      <c r="X130" s="74">
        <f t="shared" si="82"/>
        <v>0.20560747663551404</v>
      </c>
      <c r="Y130" s="73">
        <f t="shared" si="83"/>
        <v>5.3282425347617979</v>
      </c>
      <c r="Z130" s="71">
        <f t="shared" si="77"/>
        <v>26.593212176471805</v>
      </c>
      <c r="AA130" s="71">
        <f t="shared" si="78"/>
        <v>23.978474495082196</v>
      </c>
      <c r="AB130" s="71">
        <v>0</v>
      </c>
      <c r="AC130" s="71">
        <f t="shared" si="84"/>
        <v>1.3224246499560068</v>
      </c>
      <c r="AD130" s="74">
        <f t="shared" si="67"/>
        <v>1.3224246499560068</v>
      </c>
      <c r="AE130" s="73">
        <f t="shared" si="76"/>
        <v>19.009090909090908</v>
      </c>
      <c r="AF130" s="71">
        <f t="shared" si="68"/>
        <v>21.371702691398816</v>
      </c>
      <c r="AG130" s="71">
        <f t="shared" si="85"/>
        <v>1.461598962974539</v>
      </c>
      <c r="AH130" s="71">
        <f t="shared" si="86"/>
        <v>21.873481575750255</v>
      </c>
      <c r="AI130" s="74">
        <f t="shared" si="69"/>
        <v>23.335080538724792</v>
      </c>
      <c r="AJ130" s="73">
        <f t="shared" si="70"/>
        <v>4.92</v>
      </c>
      <c r="AK130" s="71">
        <f t="shared" si="87"/>
        <v>10.872790036681669</v>
      </c>
      <c r="AL130" s="71">
        <f t="shared" si="88"/>
        <v>0.37829620218164539</v>
      </c>
      <c r="AM130" s="71">
        <f t="shared" si="95"/>
        <v>0</v>
      </c>
      <c r="AN130" s="188">
        <f t="shared" si="89"/>
        <v>0.53186424352943606</v>
      </c>
      <c r="AO130" s="74">
        <f t="shared" si="72"/>
        <v>0.91016044571108146</v>
      </c>
      <c r="AP130" s="73">
        <f t="shared" si="90"/>
        <v>0.68996068693356871</v>
      </c>
      <c r="AQ130" s="206">
        <f t="shared" si="91"/>
        <v>1.3224246499560068</v>
      </c>
      <c r="AR130" s="206">
        <f t="shared" si="92"/>
        <v>4.7390927326794205</v>
      </c>
      <c r="AS130" s="71">
        <f t="shared" si="93"/>
        <v>0.24000000000000002</v>
      </c>
      <c r="AT130" s="74">
        <f t="shared" si="94"/>
        <v>3.6299999999999995E-5</v>
      </c>
      <c r="AU130" s="73">
        <f t="shared" si="73"/>
        <v>32.559180003960876</v>
      </c>
      <c r="AV130" s="71">
        <f t="shared" si="74"/>
        <v>263.21999999999997</v>
      </c>
      <c r="AW130" s="74">
        <f t="shared" si="75"/>
        <v>88.992064957538645</v>
      </c>
    </row>
    <row r="131" spans="17:49" x14ac:dyDescent="0.25">
      <c r="Q131">
        <v>124</v>
      </c>
      <c r="R131" s="73">
        <f t="shared" si="49"/>
        <v>53.5</v>
      </c>
      <c r="S131" s="71">
        <f t="shared" si="79"/>
        <v>4.96</v>
      </c>
      <c r="T131" s="71">
        <f t="shared" si="51"/>
        <v>11</v>
      </c>
      <c r="U131" s="74">
        <f t="shared" si="80"/>
        <v>24.123636363636365</v>
      </c>
      <c r="V131" s="73">
        <f>IF(Variable_Management!$B$20=3,2,IF((S131*R131/T131)&lt;((T131*(1-(T131/R131)))/(2*Lm*Fsw)),1,2))</f>
        <v>2</v>
      </c>
      <c r="W131" s="71">
        <f t="shared" si="81"/>
        <v>0.79439252336448596</v>
      </c>
      <c r="X131" s="74">
        <f t="shared" si="82"/>
        <v>0.20560747663551404</v>
      </c>
      <c r="Y131" s="73">
        <f t="shared" si="83"/>
        <v>5.3282425347617979</v>
      </c>
      <c r="Z131" s="71">
        <f t="shared" si="77"/>
        <v>26.787757631017264</v>
      </c>
      <c r="AA131" s="71">
        <f t="shared" si="78"/>
        <v>24.172622505237804</v>
      </c>
      <c r="AB131" s="71">
        <v>0</v>
      </c>
      <c r="AC131" s="71">
        <f t="shared" si="84"/>
        <v>1.3439260611956771</v>
      </c>
      <c r="AD131" s="74">
        <f t="shared" si="67"/>
        <v>1.3439260611956771</v>
      </c>
      <c r="AE131" s="73">
        <f t="shared" si="76"/>
        <v>19.163636363636364</v>
      </c>
      <c r="AF131" s="71">
        <f t="shared" si="68"/>
        <v>21.544744289688285</v>
      </c>
      <c r="AG131" s="71">
        <f t="shared" si="85"/>
        <v>1.4853632208257792</v>
      </c>
      <c r="AH131" s="71">
        <f t="shared" si="86"/>
        <v>22.051314759292943</v>
      </c>
      <c r="AI131" s="74">
        <f t="shared" si="69"/>
        <v>23.536677980118721</v>
      </c>
      <c r="AJ131" s="73">
        <f t="shared" si="70"/>
        <v>4.9600000000000009</v>
      </c>
      <c r="AK131" s="71">
        <f t="shared" si="87"/>
        <v>10.960824433986401</v>
      </c>
      <c r="AL131" s="71">
        <f t="shared" si="88"/>
        <v>0.38444695127255463</v>
      </c>
      <c r="AM131" s="71">
        <f t="shared" si="95"/>
        <v>0</v>
      </c>
      <c r="AN131" s="188">
        <f t="shared" si="89"/>
        <v>0.53575515262034534</v>
      </c>
      <c r="AO131" s="74">
        <f t="shared" si="72"/>
        <v>0.92020210389290003</v>
      </c>
      <c r="AP131" s="73">
        <f t="shared" si="90"/>
        <v>0.70117881453687492</v>
      </c>
      <c r="AQ131" s="206">
        <f t="shared" si="91"/>
        <v>1.3439260611956771</v>
      </c>
      <c r="AR131" s="206">
        <f t="shared" si="92"/>
        <v>4.7390927326794205</v>
      </c>
      <c r="AS131" s="71">
        <f t="shared" si="93"/>
        <v>0.24000000000000002</v>
      </c>
      <c r="AT131" s="74">
        <f t="shared" si="94"/>
        <v>3.6299999999999995E-5</v>
      </c>
      <c r="AU131" s="73">
        <f t="shared" si="73"/>
        <v>32.825040053619276</v>
      </c>
      <c r="AV131" s="71">
        <f t="shared" si="74"/>
        <v>265.36</v>
      </c>
      <c r="AW131" s="74">
        <f t="shared" si="75"/>
        <v>88.991721366130008</v>
      </c>
    </row>
    <row r="132" spans="17:49" x14ac:dyDescent="0.25">
      <c r="Q132">
        <v>125</v>
      </c>
      <c r="R132" s="73">
        <f t="shared" si="49"/>
        <v>53.5</v>
      </c>
      <c r="S132" s="71">
        <f t="shared" si="79"/>
        <v>5</v>
      </c>
      <c r="T132" s="71">
        <f t="shared" si="51"/>
        <v>11</v>
      </c>
      <c r="U132" s="74">
        <f t="shared" si="80"/>
        <v>24.318181818181817</v>
      </c>
      <c r="V132" s="73">
        <f>IF(Variable_Management!$B$20=3,2,IF((S132*R132/T132)&lt;((T132*(1-(T132/R132)))/(2*Lm*Fsw)),1,2))</f>
        <v>2</v>
      </c>
      <c r="W132" s="71">
        <f t="shared" si="81"/>
        <v>0.79439252336448596</v>
      </c>
      <c r="X132" s="74">
        <f t="shared" si="82"/>
        <v>0.20560747663551404</v>
      </c>
      <c r="Y132" s="73">
        <f t="shared" si="83"/>
        <v>5.3282425347617979</v>
      </c>
      <c r="Z132" s="71">
        <f t="shared" si="77"/>
        <v>26.982303085562716</v>
      </c>
      <c r="AA132" s="71">
        <f t="shared" si="78"/>
        <v>24.366776855339712</v>
      </c>
      <c r="AB132" s="71">
        <v>0</v>
      </c>
      <c r="AC132" s="71">
        <f t="shared" si="84"/>
        <v>1.3656015729312136</v>
      </c>
      <c r="AD132" s="74">
        <f t="shared" si="67"/>
        <v>1.3656015729312136</v>
      </c>
      <c r="AE132" s="73">
        <f t="shared" si="76"/>
        <v>19.318181818181817</v>
      </c>
      <c r="AF132" s="71">
        <f t="shared" si="68"/>
        <v>21.717791538689497</v>
      </c>
      <c r="AG132" s="71">
        <f t="shared" si="85"/>
        <v>1.5093199018175139</v>
      </c>
      <c r="AH132" s="71">
        <f t="shared" si="86"/>
        <v>22.229147942835628</v>
      </c>
      <c r="AI132" s="74">
        <f t="shared" si="69"/>
        <v>23.73846784465314</v>
      </c>
      <c r="AJ132" s="73">
        <f t="shared" si="70"/>
        <v>5</v>
      </c>
      <c r="AK132" s="71">
        <f t="shared" si="87"/>
        <v>11.04886170607389</v>
      </c>
      <c r="AL132" s="71">
        <f t="shared" si="88"/>
        <v>0.39064750399982728</v>
      </c>
      <c r="AM132" s="71">
        <f t="shared" si="95"/>
        <v>0</v>
      </c>
      <c r="AN132" s="188">
        <f t="shared" si="89"/>
        <v>0.53964606171125429</v>
      </c>
      <c r="AO132" s="74">
        <f t="shared" si="72"/>
        <v>0.93029356571108157</v>
      </c>
      <c r="AP132" s="73">
        <f t="shared" si="90"/>
        <v>0.7124877771815028</v>
      </c>
      <c r="AQ132" s="206">
        <f t="shared" si="91"/>
        <v>1.3656015729312136</v>
      </c>
      <c r="AR132" s="206">
        <f t="shared" si="92"/>
        <v>4.7390927326794205</v>
      </c>
      <c r="AS132" s="71">
        <f t="shared" si="93"/>
        <v>0.24000000000000002</v>
      </c>
      <c r="AT132" s="74">
        <f t="shared" si="94"/>
        <v>3.6299999999999995E-5</v>
      </c>
      <c r="AU132" s="73">
        <f t="shared" si="73"/>
        <v>33.091581366087574</v>
      </c>
      <c r="AV132" s="71">
        <f t="shared" si="74"/>
        <v>267.5</v>
      </c>
      <c r="AW132" s="74">
        <f t="shared" si="75"/>
        <v>88.991181584095784</v>
      </c>
    </row>
    <row r="133" spans="17:49" x14ac:dyDescent="0.25">
      <c r="Q133">
        <v>126</v>
      </c>
      <c r="R133" s="73">
        <f t="shared" si="49"/>
        <v>53.5</v>
      </c>
      <c r="S133" s="71">
        <f t="shared" si="79"/>
        <v>5.04</v>
      </c>
      <c r="T133" s="71">
        <f t="shared" si="51"/>
        <v>11</v>
      </c>
      <c r="U133" s="74">
        <f t="shared" si="80"/>
        <v>24.512727272727272</v>
      </c>
      <c r="V133" s="73">
        <f>IF(Variable_Management!$B$20=3,2,IF((S133*R133/T133)&lt;((T133*(1-(T133/R133)))/(2*Lm*Fsw)),1,2))</f>
        <v>2</v>
      </c>
      <c r="W133" s="71">
        <f t="shared" si="81"/>
        <v>0.79439252336448596</v>
      </c>
      <c r="X133" s="74">
        <f t="shared" si="82"/>
        <v>0.20560747663551404</v>
      </c>
      <c r="Y133" s="73">
        <f t="shared" si="83"/>
        <v>5.3282425347617979</v>
      </c>
      <c r="Z133" s="71">
        <f t="shared" si="77"/>
        <v>27.176848540108171</v>
      </c>
      <c r="AA133" s="71">
        <f t="shared" si="78"/>
        <v>24.560937395035999</v>
      </c>
      <c r="AB133" s="71">
        <v>0</v>
      </c>
      <c r="AC133" s="71">
        <f t="shared" si="84"/>
        <v>1.3874511851626188</v>
      </c>
      <c r="AD133" s="74">
        <f t="shared" si="67"/>
        <v>1.3874511851626188</v>
      </c>
      <c r="AE133" s="73">
        <f t="shared" si="76"/>
        <v>19.472727272727273</v>
      </c>
      <c r="AF133" s="71">
        <f t="shared" si="68"/>
        <v>21.890844304395742</v>
      </c>
      <c r="AG133" s="71">
        <f t="shared" si="85"/>
        <v>1.5334690059497456</v>
      </c>
      <c r="AH133" s="71">
        <f t="shared" si="86"/>
        <v>22.406981126378316</v>
      </c>
      <c r="AI133" s="74">
        <f t="shared" si="69"/>
        <v>23.94045013232806</v>
      </c>
      <c r="AJ133" s="73">
        <f t="shared" si="70"/>
        <v>5.04</v>
      </c>
      <c r="AK133" s="71">
        <f t="shared" si="87"/>
        <v>11.136901784768616</v>
      </c>
      <c r="AL133" s="71">
        <f t="shared" si="88"/>
        <v>0.39689786036346364</v>
      </c>
      <c r="AM133" s="71">
        <f t="shared" si="95"/>
        <v>0</v>
      </c>
      <c r="AN133" s="188">
        <f t="shared" si="89"/>
        <v>0.54353697080216345</v>
      </c>
      <c r="AO133" s="74">
        <f t="shared" si="72"/>
        <v>0.94043483116562709</v>
      </c>
      <c r="AP133" s="73">
        <f t="shared" si="90"/>
        <v>0.72388757486745325</v>
      </c>
      <c r="AQ133" s="206">
        <f t="shared" si="91"/>
        <v>1.3874511851626188</v>
      </c>
      <c r="AR133" s="206">
        <f t="shared" si="92"/>
        <v>4.7390927326794205</v>
      </c>
      <c r="AS133" s="71">
        <f t="shared" si="93"/>
        <v>0.24000000000000002</v>
      </c>
      <c r="AT133" s="74">
        <f t="shared" si="94"/>
        <v>3.6299999999999995E-5</v>
      </c>
      <c r="AU133" s="73">
        <f t="shared" si="73"/>
        <v>33.358803941365792</v>
      </c>
      <c r="AV133" s="71">
        <f t="shared" si="74"/>
        <v>269.64</v>
      </c>
      <c r="AW133" s="74">
        <f t="shared" si="75"/>
        <v>88.990450289757192</v>
      </c>
    </row>
    <row r="134" spans="17:49" x14ac:dyDescent="0.25">
      <c r="Q134">
        <v>127</v>
      </c>
      <c r="R134" s="73">
        <f t="shared" si="49"/>
        <v>53.5</v>
      </c>
      <c r="S134" s="71">
        <f t="shared" si="79"/>
        <v>5.08</v>
      </c>
      <c r="T134" s="71">
        <f t="shared" si="51"/>
        <v>11</v>
      </c>
      <c r="U134" s="74">
        <f t="shared" si="80"/>
        <v>24.707272727272731</v>
      </c>
      <c r="V134" s="73">
        <f>IF(Variable_Management!$B$20=3,2,IF((S134*R134/T134)&lt;((T134*(1-(T134/R134)))/(2*Lm*Fsw)),1,2))</f>
        <v>2</v>
      </c>
      <c r="W134" s="71">
        <f t="shared" si="81"/>
        <v>0.79439252336448596</v>
      </c>
      <c r="X134" s="74">
        <f t="shared" si="82"/>
        <v>0.20560747663551404</v>
      </c>
      <c r="Y134" s="73">
        <f t="shared" si="83"/>
        <v>5.3282425347617979</v>
      </c>
      <c r="Z134" s="71">
        <f t="shared" si="77"/>
        <v>27.37139399465363</v>
      </c>
      <c r="AA134" s="71">
        <f t="shared" si="78"/>
        <v>24.755103978687007</v>
      </c>
      <c r="AB134" s="71">
        <v>0</v>
      </c>
      <c r="AC134" s="71">
        <f t="shared" si="84"/>
        <v>1.4094748978898921</v>
      </c>
      <c r="AD134" s="74">
        <f t="shared" si="67"/>
        <v>1.4094748978898921</v>
      </c>
      <c r="AE134" s="73">
        <f t="shared" si="76"/>
        <v>19.627272727272729</v>
      </c>
      <c r="AF134" s="71">
        <f t="shared" si="68"/>
        <v>22.063902457000278</v>
      </c>
      <c r="AG134" s="71">
        <f t="shared" si="85"/>
        <v>1.5578105332224734</v>
      </c>
      <c r="AH134" s="71">
        <f t="shared" si="86"/>
        <v>22.584814309921001</v>
      </c>
      <c r="AI134" s="74">
        <f t="shared" si="69"/>
        <v>24.142624843143473</v>
      </c>
      <c r="AJ134" s="73">
        <f t="shared" si="70"/>
        <v>5.080000000000001</v>
      </c>
      <c r="AK134" s="71">
        <f t="shared" si="87"/>
        <v>11.224944604031791</v>
      </c>
      <c r="AL134" s="71">
        <f t="shared" si="88"/>
        <v>0.40319802036346375</v>
      </c>
      <c r="AM134" s="71">
        <f t="shared" si="95"/>
        <v>0</v>
      </c>
      <c r="AN134" s="188">
        <f t="shared" si="89"/>
        <v>0.54742787989307262</v>
      </c>
      <c r="AO134" s="74">
        <f t="shared" si="72"/>
        <v>0.95062590025653637</v>
      </c>
      <c r="AP134" s="73">
        <f t="shared" si="90"/>
        <v>0.73537820759472627</v>
      </c>
      <c r="AQ134" s="206">
        <f t="shared" si="91"/>
        <v>1.4094748978898921</v>
      </c>
      <c r="AR134" s="206">
        <f t="shared" si="92"/>
        <v>4.7390927326794205</v>
      </c>
      <c r="AS134" s="71">
        <f t="shared" si="93"/>
        <v>0.24000000000000002</v>
      </c>
      <c r="AT134" s="74">
        <f t="shared" si="94"/>
        <v>3.6299999999999995E-5</v>
      </c>
      <c r="AU134" s="73">
        <f t="shared" si="73"/>
        <v>33.626707779453938</v>
      </c>
      <c r="AV134" s="71">
        <f t="shared" si="74"/>
        <v>271.78000000000003</v>
      </c>
      <c r="AW134" s="74">
        <f t="shared" si="75"/>
        <v>88.989532016521025</v>
      </c>
    </row>
    <row r="135" spans="17:49" x14ac:dyDescent="0.25">
      <c r="Q135">
        <v>128</v>
      </c>
      <c r="R135" s="73">
        <f t="shared" ref="R135:R157" si="96">VOUT</f>
        <v>53.5</v>
      </c>
      <c r="S135" s="71">
        <f t="shared" ref="S135:S157" si="97">Q135*$O$12</f>
        <v>5.12</v>
      </c>
      <c r="T135" s="71">
        <f t="shared" ref="T135:T157" si="98">VIN_var</f>
        <v>11</v>
      </c>
      <c r="U135" s="74">
        <f t="shared" ref="U135:U157" si="99">(R135*S135)/(T135*EFF_est)</f>
        <v>24.901818181818182</v>
      </c>
      <c r="V135" s="73">
        <f>IF(Variable_Management!$B$20=3,2,IF((S135*R135/T135)&lt;((T135*(1-(T135/R135)))/(2*Lm*Fsw)),1,2))</f>
        <v>2</v>
      </c>
      <c r="W135" s="71">
        <f t="shared" ref="W135:W157" si="100">CHOOSE(V135,SQRT((2*S135*Lm*Fsw*(R135-T135))/((T135)^2)),1-(T135/R135))</f>
        <v>0.79439252336448596</v>
      </c>
      <c r="X135" s="74">
        <f t="shared" ref="X135:X157" si="101">CHOOSE(V135,(Lm*Z135*Fsw)/(R135-T135),1-W135)</f>
        <v>0.20560747663551404</v>
      </c>
      <c r="Y135" s="73">
        <f t="shared" ref="Y135:Y157" si="102">(T135*W135)/(Lm*Fsw)</f>
        <v>5.3282425347617979</v>
      </c>
      <c r="Z135" s="71">
        <f t="shared" si="77"/>
        <v>27.565939449199082</v>
      </c>
      <c r="AA135" s="71">
        <f t="shared" si="78"/>
        <v>24.949276465182333</v>
      </c>
      <c r="AB135" s="71">
        <v>0</v>
      </c>
      <c r="AC135" s="71">
        <f t="shared" ref="AC135:AC157" si="103">(AA135^2)*Rdcr</f>
        <v>1.4316727111130323</v>
      </c>
      <c r="AD135" s="74">
        <f t="shared" si="67"/>
        <v>1.4316727111130323</v>
      </c>
      <c r="AE135" s="73">
        <f t="shared" si="76"/>
        <v>19.781818181818181</v>
      </c>
      <c r="AF135" s="71">
        <f t="shared" si="68"/>
        <v>22.236965870733243</v>
      </c>
      <c r="AG135" s="71">
        <f t="shared" ref="AG135:AG157" si="104">(AF135^2)*RDS_on</f>
        <v>1.5823444836356964</v>
      </c>
      <c r="AH135" s="71">
        <f t="shared" ref="AH135:AH157" si="105">((R135*U135)/2)*Fsw*(tr_sw+tf_sw)</f>
        <v>22.762647493463682</v>
      </c>
      <c r="AI135" s="74">
        <f t="shared" si="69"/>
        <v>24.344991977099379</v>
      </c>
      <c r="AJ135" s="73">
        <f t="shared" si="70"/>
        <v>5.120000000000001</v>
      </c>
      <c r="AK135" s="71">
        <f t="shared" ref="AK135:AK157" si="106">CHOOSE(V135,Z135*SQRT(X135/3),SQRT(X135*((Z135^2)+((Y135^2)/3)-(Y135*Z135))))</f>
        <v>11.312990099878371</v>
      </c>
      <c r="AL135" s="71">
        <f t="shared" ref="AL135:AL157" si="107">(AK135^2)*RDS_on_HS</f>
        <v>0.40954798399982734</v>
      </c>
      <c r="AM135" s="71">
        <f t="shared" si="95"/>
        <v>0</v>
      </c>
      <c r="AN135" s="188">
        <f t="shared" ref="AN135:AN157" si="108">Vd_rect*t_dead*Fsw*Z135</f>
        <v>0.55131878898398168</v>
      </c>
      <c r="AO135" s="74">
        <f t="shared" si="72"/>
        <v>0.96086677298380896</v>
      </c>
      <c r="AP135" s="73">
        <f t="shared" ref="AP135:AP157" si="109">(AA135^2)*R_cs</f>
        <v>0.7469596753633212</v>
      </c>
      <c r="AQ135" s="206">
        <f t="shared" ref="AQ135:AQ157" si="110">Rdcr*AA135^2</f>
        <v>1.4316727111130323</v>
      </c>
      <c r="AR135" s="206">
        <f t="shared" ref="AR135:AR157" si="111">ABS(7.759*10^-3*Fsw^0.9458*(0.00787*Y135)^2.304)</f>
        <v>4.7390927326794205</v>
      </c>
      <c r="AS135" s="71">
        <f t="shared" ref="AS135:AS157" si="112">(Qg_tot+Qg_tot_HS)*Vcc*Fsw</f>
        <v>0.24000000000000002</v>
      </c>
      <c r="AT135" s="74">
        <f t="shared" ref="AT135:AT157" si="113">IQ*T135</f>
        <v>3.6299999999999995E-5</v>
      </c>
      <c r="AU135" s="73">
        <f t="shared" si="73"/>
        <v>33.895292880351988</v>
      </c>
      <c r="AV135" s="71">
        <f t="shared" si="74"/>
        <v>273.92</v>
      </c>
      <c r="AW135" s="74">
        <f t="shared" si="75"/>
        <v>88.988431158445692</v>
      </c>
    </row>
    <row r="136" spans="17:49" x14ac:dyDescent="0.25">
      <c r="Q136">
        <v>129</v>
      </c>
      <c r="R136" s="73">
        <f t="shared" si="96"/>
        <v>53.5</v>
      </c>
      <c r="S136" s="71">
        <f t="shared" si="97"/>
        <v>5.16</v>
      </c>
      <c r="T136" s="71">
        <f t="shared" si="98"/>
        <v>11</v>
      </c>
      <c r="U136" s="74">
        <f t="shared" si="99"/>
        <v>25.096363636363638</v>
      </c>
      <c r="V136" s="73">
        <f>IF(Variable_Management!$B$20=3,2,IF((S136*R136/T136)&lt;((T136*(1-(T136/R136)))/(2*Lm*Fsw)),1,2))</f>
        <v>2</v>
      </c>
      <c r="W136" s="71">
        <f t="shared" si="100"/>
        <v>0.79439252336448596</v>
      </c>
      <c r="X136" s="74">
        <f t="shared" si="101"/>
        <v>0.20560747663551404</v>
      </c>
      <c r="Y136" s="73">
        <f t="shared" si="102"/>
        <v>5.3282425347617979</v>
      </c>
      <c r="Z136" s="71">
        <f t="shared" si="77"/>
        <v>27.760484903744537</v>
      </c>
      <c r="AA136" s="71">
        <f t="shared" si="78"/>
        <v>25.143454717766321</v>
      </c>
      <c r="AB136" s="71">
        <v>0</v>
      </c>
      <c r="AC136" s="71">
        <f t="shared" si="103"/>
        <v>1.4540446248320404</v>
      </c>
      <c r="AD136" s="74">
        <f t="shared" ref="AD136:AD157" si="114">AB136+AC136</f>
        <v>1.4540446248320404</v>
      </c>
      <c r="AE136" s="73">
        <f t="shared" si="76"/>
        <v>19.936363636363637</v>
      </c>
      <c r="AF136" s="71">
        <f t="shared" ref="AF136:AF157" si="115">CHOOSE(V136,Z136*SQRT(W136/3),SQRT(W136*((Z136^2)+((Y136^2)/3)-(Z136*Y136))))</f>
        <v>22.410034423706097</v>
      </c>
      <c r="AG136" s="71">
        <f t="shared" si="104"/>
        <v>1.6070708571894152</v>
      </c>
      <c r="AH136" s="71">
        <f t="shared" si="105"/>
        <v>22.94048067700637</v>
      </c>
      <c r="AI136" s="74">
        <f t="shared" ref="AI136:AI157" si="116">AG136+AH136</f>
        <v>24.547551534195787</v>
      </c>
      <c r="AJ136" s="73">
        <f t="shared" ref="AJ136:AJ156" si="117">X136*U136</f>
        <v>5.160000000000001</v>
      </c>
      <c r="AK136" s="71">
        <f t="shared" si="106"/>
        <v>11.401038210297925</v>
      </c>
      <c r="AL136" s="71">
        <f t="shared" si="107"/>
        <v>0.41594775127255462</v>
      </c>
      <c r="AM136" s="71">
        <f t="shared" ref="AM136:AM157" si="118">CHOOSE(V136,(R136+Vd_rect)*Qrr*Fsw,(R136+Vd_rect)*Qrr*Fsw)</f>
        <v>0</v>
      </c>
      <c r="AN136" s="188">
        <f t="shared" si="108"/>
        <v>0.55520969807489073</v>
      </c>
      <c r="AO136" s="74">
        <f t="shared" ref="AO136:AO157" si="119">AL136+AM136+AN136</f>
        <v>0.9711574493474453</v>
      </c>
      <c r="AP136" s="73">
        <f t="shared" si="109"/>
        <v>0.75863197817323846</v>
      </c>
      <c r="AQ136" s="206">
        <f t="shared" si="110"/>
        <v>1.4540446248320404</v>
      </c>
      <c r="AR136" s="206">
        <f t="shared" si="111"/>
        <v>4.7390927326794205</v>
      </c>
      <c r="AS136" s="71">
        <f t="shared" si="112"/>
        <v>0.24000000000000002</v>
      </c>
      <c r="AT136" s="74">
        <f t="shared" si="113"/>
        <v>3.6299999999999995E-5</v>
      </c>
      <c r="AU136" s="73">
        <f t="shared" ref="AU136:AU157" si="120">AP136+AO136+AI136+AD136+AS136+AT136+AQ136+AR136</f>
        <v>34.164559244059973</v>
      </c>
      <c r="AV136" s="71">
        <f t="shared" ref="AV136:AV157" si="121">R136*S136</f>
        <v>276.06</v>
      </c>
      <c r="AW136" s="74">
        <f t="shared" ref="AW136:AW156" si="122">(AV136/(AV136+AU136))*100</f>
        <v>88.987151975552663</v>
      </c>
    </row>
    <row r="137" spans="17:49" x14ac:dyDescent="0.25">
      <c r="Q137">
        <v>130</v>
      </c>
      <c r="R137" s="73">
        <f t="shared" si="96"/>
        <v>53.5</v>
      </c>
      <c r="S137" s="71">
        <f t="shared" si="97"/>
        <v>5.2</v>
      </c>
      <c r="T137" s="71">
        <f t="shared" si="98"/>
        <v>11</v>
      </c>
      <c r="U137" s="74">
        <f t="shared" si="99"/>
        <v>25.290909090909089</v>
      </c>
      <c r="V137" s="73">
        <f>IF(Variable_Management!$B$20=3,2,IF((S137*R137/T137)&lt;((T137*(1-(T137/R137)))/(2*Lm*Fsw)),1,2))</f>
        <v>2</v>
      </c>
      <c r="W137" s="71">
        <f t="shared" si="100"/>
        <v>0.79439252336448596</v>
      </c>
      <c r="X137" s="74">
        <f t="shared" si="101"/>
        <v>0.20560747663551404</v>
      </c>
      <c r="Y137" s="73">
        <f t="shared" si="102"/>
        <v>5.3282425347617979</v>
      </c>
      <c r="Z137" s="71">
        <f t="shared" si="77"/>
        <v>27.955030358289989</v>
      </c>
      <c r="AA137" s="71">
        <f t="shared" si="78"/>
        <v>25.337638603871483</v>
      </c>
      <c r="AB137" s="71">
        <v>0</v>
      </c>
      <c r="AC137" s="71">
        <f t="shared" si="103"/>
        <v>1.4765906390469163</v>
      </c>
      <c r="AD137" s="74">
        <f t="shared" si="114"/>
        <v>1.4765906390469163</v>
      </c>
      <c r="AE137" s="73">
        <f t="shared" ref="AE137:AE157" si="123">U137*W137</f>
        <v>20.09090909090909</v>
      </c>
      <c r="AF137" s="71">
        <f t="shared" si="115"/>
        <v>22.583107997763157</v>
      </c>
      <c r="AG137" s="71">
        <f t="shared" si="104"/>
        <v>1.6319896538836298</v>
      </c>
      <c r="AH137" s="71">
        <f t="shared" si="105"/>
        <v>23.118313860549051</v>
      </c>
      <c r="AI137" s="74">
        <f t="shared" si="116"/>
        <v>24.75030351443268</v>
      </c>
      <c r="AJ137" s="73">
        <f t="shared" si="117"/>
        <v>5.2</v>
      </c>
      <c r="AK137" s="71">
        <f t="shared" si="106"/>
        <v>11.489088875179101</v>
      </c>
      <c r="AL137" s="71">
        <f t="shared" si="107"/>
        <v>0.4223973221816455</v>
      </c>
      <c r="AM137" s="71">
        <f t="shared" si="118"/>
        <v>0</v>
      </c>
      <c r="AN137" s="188">
        <f t="shared" si="108"/>
        <v>0.55910060716579979</v>
      </c>
      <c r="AO137" s="74">
        <f t="shared" si="119"/>
        <v>0.98149792934744529</v>
      </c>
      <c r="AP137" s="73">
        <f t="shared" si="109"/>
        <v>0.77039511602447808</v>
      </c>
      <c r="AQ137" s="206">
        <f t="shared" si="110"/>
        <v>1.4765906390469163</v>
      </c>
      <c r="AR137" s="206">
        <f t="shared" si="111"/>
        <v>4.7390927326794205</v>
      </c>
      <c r="AS137" s="71">
        <f t="shared" si="112"/>
        <v>0.24000000000000002</v>
      </c>
      <c r="AT137" s="74">
        <f t="shared" si="113"/>
        <v>3.6299999999999995E-5</v>
      </c>
      <c r="AU137" s="73">
        <f t="shared" si="120"/>
        <v>34.434506870577849</v>
      </c>
      <c r="AV137" s="71">
        <f t="shared" si="121"/>
        <v>278.2</v>
      </c>
      <c r="AW137" s="74">
        <f t="shared" si="122"/>
        <v>88.985698598896875</v>
      </c>
    </row>
    <row r="138" spans="17:49" x14ac:dyDescent="0.25">
      <c r="Q138">
        <v>131</v>
      </c>
      <c r="R138" s="73">
        <f t="shared" si="96"/>
        <v>53.5</v>
      </c>
      <c r="S138" s="71">
        <f t="shared" si="97"/>
        <v>5.24</v>
      </c>
      <c r="T138" s="71">
        <f t="shared" si="98"/>
        <v>11</v>
      </c>
      <c r="U138" s="74">
        <f t="shared" si="99"/>
        <v>25.485454545454548</v>
      </c>
      <c r="V138" s="73">
        <f>IF(Variable_Management!$B$20=3,2,IF((S138*R138/T138)&lt;((T138*(1-(T138/R138)))/(2*Lm*Fsw)),1,2))</f>
        <v>2</v>
      </c>
      <c r="W138" s="71">
        <f t="shared" si="100"/>
        <v>0.79439252336448596</v>
      </c>
      <c r="X138" s="74">
        <f t="shared" si="101"/>
        <v>0.20560747663551404</v>
      </c>
      <c r="Y138" s="73">
        <f t="shared" si="102"/>
        <v>5.3282425347617979</v>
      </c>
      <c r="Z138" s="71">
        <f t="shared" si="77"/>
        <v>28.149575812835447</v>
      </c>
      <c r="AA138" s="71">
        <f t="shared" si="78"/>
        <v>25.531827994959553</v>
      </c>
      <c r="AB138" s="71">
        <v>0</v>
      </c>
      <c r="AC138" s="71">
        <f t="shared" si="103"/>
        <v>1.4993107537576607</v>
      </c>
      <c r="AD138" s="74">
        <f t="shared" si="114"/>
        <v>1.4993107537576607</v>
      </c>
      <c r="AE138" s="73">
        <f t="shared" si="123"/>
        <v>20.245454545454546</v>
      </c>
      <c r="AF138" s="71">
        <f t="shared" si="115"/>
        <v>22.756186478339941</v>
      </c>
      <c r="AG138" s="71">
        <f t="shared" si="104"/>
        <v>1.6571008737183412</v>
      </c>
      <c r="AH138" s="71">
        <f t="shared" si="105"/>
        <v>23.29614704409174</v>
      </c>
      <c r="AI138" s="74">
        <f t="shared" si="116"/>
        <v>24.953247917810081</v>
      </c>
      <c r="AJ138" s="73">
        <f t="shared" si="117"/>
        <v>5.2400000000000011</v>
      </c>
      <c r="AK138" s="71">
        <f t="shared" si="106"/>
        <v>11.577142036237561</v>
      </c>
      <c r="AL138" s="71">
        <f t="shared" si="107"/>
        <v>0.42889669672710007</v>
      </c>
      <c r="AM138" s="71">
        <f t="shared" si="118"/>
        <v>0</v>
      </c>
      <c r="AN138" s="188">
        <f t="shared" si="108"/>
        <v>0.56299151625670896</v>
      </c>
      <c r="AO138" s="74">
        <f t="shared" si="119"/>
        <v>0.99188821298380903</v>
      </c>
      <c r="AP138" s="73">
        <f t="shared" si="109"/>
        <v>0.78224908891704026</v>
      </c>
      <c r="AQ138" s="206">
        <f t="shared" si="110"/>
        <v>1.4993107537576607</v>
      </c>
      <c r="AR138" s="206">
        <f t="shared" si="111"/>
        <v>4.7390927326794205</v>
      </c>
      <c r="AS138" s="71">
        <f t="shared" si="112"/>
        <v>0.24000000000000002</v>
      </c>
      <c r="AT138" s="74">
        <f t="shared" si="113"/>
        <v>3.6299999999999995E-5</v>
      </c>
      <c r="AU138" s="73">
        <f t="shared" si="120"/>
        <v>34.705135759905673</v>
      </c>
      <c r="AV138" s="71">
        <f t="shared" si="121"/>
        <v>280.34000000000003</v>
      </c>
      <c r="AW138" s="74">
        <f t="shared" si="122"/>
        <v>88.984075035408807</v>
      </c>
    </row>
    <row r="139" spans="17:49" x14ac:dyDescent="0.25">
      <c r="Q139">
        <v>132</v>
      </c>
      <c r="R139" s="73">
        <f t="shared" si="96"/>
        <v>53.5</v>
      </c>
      <c r="S139" s="71">
        <f t="shared" si="97"/>
        <v>5.28</v>
      </c>
      <c r="T139" s="71">
        <f t="shared" si="98"/>
        <v>11</v>
      </c>
      <c r="U139" s="74">
        <f t="shared" si="99"/>
        <v>25.680000000000003</v>
      </c>
      <c r="V139" s="73">
        <f>IF(Variable_Management!$B$20=3,2,IF((S139*R139/T139)&lt;((T139*(1-(T139/R139)))/(2*Lm*Fsw)),1,2))</f>
        <v>2</v>
      </c>
      <c r="W139" s="71">
        <f t="shared" si="100"/>
        <v>0.79439252336448596</v>
      </c>
      <c r="X139" s="74">
        <f t="shared" si="101"/>
        <v>0.20560747663551404</v>
      </c>
      <c r="Y139" s="73">
        <f t="shared" si="102"/>
        <v>5.3282425347617979</v>
      </c>
      <c r="Z139" s="71">
        <f t="shared" si="77"/>
        <v>28.344121267380903</v>
      </c>
      <c r="AA139" s="71">
        <f t="shared" si="78"/>
        <v>25.72602276636967</v>
      </c>
      <c r="AB139" s="71">
        <v>0</v>
      </c>
      <c r="AC139" s="71">
        <f t="shared" si="103"/>
        <v>1.5222049689642725</v>
      </c>
      <c r="AD139" s="74">
        <f t="shared" si="114"/>
        <v>1.5222049689642725</v>
      </c>
      <c r="AE139" s="73">
        <f t="shared" si="123"/>
        <v>20.400000000000002</v>
      </c>
      <c r="AF139" s="71">
        <f t="shared" si="115"/>
        <v>22.929269754327844</v>
      </c>
      <c r="AG139" s="71">
        <f t="shared" si="104"/>
        <v>1.6824045166935477</v>
      </c>
      <c r="AH139" s="71">
        <f t="shared" si="105"/>
        <v>23.473980227634424</v>
      </c>
      <c r="AI139" s="74">
        <f t="shared" si="116"/>
        <v>25.156384744327973</v>
      </c>
      <c r="AJ139" s="73">
        <f t="shared" si="117"/>
        <v>5.2800000000000011</v>
      </c>
      <c r="AK139" s="71">
        <f t="shared" si="106"/>
        <v>11.665197636947132</v>
      </c>
      <c r="AL139" s="71">
        <f t="shared" si="107"/>
        <v>0.43544587490891828</v>
      </c>
      <c r="AM139" s="71">
        <f t="shared" si="118"/>
        <v>0</v>
      </c>
      <c r="AN139" s="188">
        <f t="shared" si="108"/>
        <v>0.56688242534761801</v>
      </c>
      <c r="AO139" s="74">
        <f t="shared" si="119"/>
        <v>1.0023283002565364</v>
      </c>
      <c r="AP139" s="73">
        <f t="shared" si="109"/>
        <v>0.79419389685092467</v>
      </c>
      <c r="AQ139" s="206">
        <f t="shared" si="110"/>
        <v>1.5222049689642725</v>
      </c>
      <c r="AR139" s="206">
        <f t="shared" si="111"/>
        <v>4.7390927326794205</v>
      </c>
      <c r="AS139" s="71">
        <f t="shared" si="112"/>
        <v>0.24000000000000002</v>
      </c>
      <c r="AT139" s="74">
        <f t="shared" si="113"/>
        <v>3.6299999999999995E-5</v>
      </c>
      <c r="AU139" s="73">
        <f t="shared" si="120"/>
        <v>34.976445912043395</v>
      </c>
      <c r="AV139" s="71">
        <f t="shared" si="121"/>
        <v>282.48</v>
      </c>
      <c r="AW139" s="74">
        <f t="shared" si="122"/>
        <v>88.982285172519639</v>
      </c>
    </row>
    <row r="140" spans="17:49" x14ac:dyDescent="0.25">
      <c r="Q140">
        <v>133</v>
      </c>
      <c r="R140" s="73">
        <f t="shared" si="96"/>
        <v>53.5</v>
      </c>
      <c r="S140" s="71">
        <f t="shared" si="97"/>
        <v>5.32</v>
      </c>
      <c r="T140" s="71">
        <f t="shared" si="98"/>
        <v>11</v>
      </c>
      <c r="U140" s="74">
        <f t="shared" si="99"/>
        <v>25.874545454545455</v>
      </c>
      <c r="V140" s="73">
        <f>IF(Variable_Management!$B$20=3,2,IF((S140*R140/T140)&lt;((T140*(1-(T140/R140)))/(2*Lm*Fsw)),1,2))</f>
        <v>2</v>
      </c>
      <c r="W140" s="71">
        <f t="shared" si="100"/>
        <v>0.79439252336448596</v>
      </c>
      <c r="X140" s="74">
        <f t="shared" si="101"/>
        <v>0.20560747663551404</v>
      </c>
      <c r="Y140" s="73">
        <f t="shared" si="102"/>
        <v>5.3282425347617979</v>
      </c>
      <c r="Z140" s="71">
        <f t="shared" si="77"/>
        <v>28.538666721926354</v>
      </c>
      <c r="AA140" s="71">
        <f t="shared" si="78"/>
        <v>25.92022279717343</v>
      </c>
      <c r="AB140" s="71">
        <v>0</v>
      </c>
      <c r="AC140" s="71">
        <f t="shared" si="103"/>
        <v>1.545273284666751</v>
      </c>
      <c r="AD140" s="74">
        <f t="shared" si="114"/>
        <v>1.545273284666751</v>
      </c>
      <c r="AE140" s="73">
        <f t="shared" si="123"/>
        <v>20.554545454545455</v>
      </c>
      <c r="AF140" s="71">
        <f t="shared" si="115"/>
        <v>23.102357717944951</v>
      </c>
      <c r="AG140" s="71">
        <f t="shared" si="104"/>
        <v>1.7079005828092502</v>
      </c>
      <c r="AH140" s="71">
        <f t="shared" si="105"/>
        <v>23.651813411177105</v>
      </c>
      <c r="AI140" s="74">
        <f t="shared" si="116"/>
        <v>25.359713993986354</v>
      </c>
      <c r="AJ140" s="73">
        <f t="shared" si="117"/>
        <v>5.32</v>
      </c>
      <c r="AK140" s="71">
        <f t="shared" si="106"/>
        <v>11.753255622474088</v>
      </c>
      <c r="AL140" s="71">
        <f t="shared" si="107"/>
        <v>0.44204485672709998</v>
      </c>
      <c r="AM140" s="71">
        <f t="shared" si="118"/>
        <v>0</v>
      </c>
      <c r="AN140" s="188">
        <f t="shared" si="108"/>
        <v>0.57077333443852707</v>
      </c>
      <c r="AO140" s="74">
        <f t="shared" si="119"/>
        <v>1.0128181911656271</v>
      </c>
      <c r="AP140" s="73">
        <f t="shared" si="109"/>
        <v>0.80622953982613088</v>
      </c>
      <c r="AQ140" s="206">
        <f t="shared" si="110"/>
        <v>1.545273284666751</v>
      </c>
      <c r="AR140" s="206">
        <f t="shared" si="111"/>
        <v>4.7390927326794205</v>
      </c>
      <c r="AS140" s="71">
        <f t="shared" si="112"/>
        <v>0.24000000000000002</v>
      </c>
      <c r="AT140" s="74">
        <f t="shared" si="113"/>
        <v>3.6299999999999995E-5</v>
      </c>
      <c r="AU140" s="73">
        <f t="shared" si="120"/>
        <v>35.248437326991038</v>
      </c>
      <c r="AV140" s="71">
        <f t="shared" si="121"/>
        <v>284.62</v>
      </c>
      <c r="AW140" s="74">
        <f t="shared" si="122"/>
        <v>88.98033278258157</v>
      </c>
    </row>
    <row r="141" spans="17:49" x14ac:dyDescent="0.25">
      <c r="Q141">
        <v>134</v>
      </c>
      <c r="R141" s="73">
        <f t="shared" si="96"/>
        <v>53.5</v>
      </c>
      <c r="S141" s="71">
        <f t="shared" si="97"/>
        <v>5.36</v>
      </c>
      <c r="T141" s="71">
        <f t="shared" si="98"/>
        <v>11</v>
      </c>
      <c r="U141" s="74">
        <f t="shared" si="99"/>
        <v>26.069090909090907</v>
      </c>
      <c r="V141" s="73">
        <f>IF(Variable_Management!$B$20=3,2,IF((S141*R141/T141)&lt;((T141*(1-(T141/R141)))/(2*Lm*Fsw)),1,2))</f>
        <v>2</v>
      </c>
      <c r="W141" s="71">
        <f t="shared" si="100"/>
        <v>0.79439252336448596</v>
      </c>
      <c r="X141" s="74">
        <f t="shared" si="101"/>
        <v>0.20560747663551404</v>
      </c>
      <c r="Y141" s="73">
        <f t="shared" si="102"/>
        <v>5.3282425347617979</v>
      </c>
      <c r="Z141" s="71">
        <f t="shared" si="77"/>
        <v>28.733212176471806</v>
      </c>
      <c r="AA141" s="71">
        <f t="shared" si="78"/>
        <v>26.114427970036346</v>
      </c>
      <c r="AB141" s="71">
        <v>0</v>
      </c>
      <c r="AC141" s="71">
        <f t="shared" si="103"/>
        <v>1.5685157008650981</v>
      </c>
      <c r="AD141" s="74">
        <f t="shared" si="114"/>
        <v>1.5685157008650981</v>
      </c>
      <c r="AE141" s="73">
        <f t="shared" si="123"/>
        <v>20.709090909090907</v>
      </c>
      <c r="AF141" s="71">
        <f t="shared" si="115"/>
        <v>23.275450264612552</v>
      </c>
      <c r="AG141" s="71">
        <f t="shared" si="104"/>
        <v>1.7335890720654481</v>
      </c>
      <c r="AH141" s="71">
        <f t="shared" si="105"/>
        <v>23.82964659471979</v>
      </c>
      <c r="AI141" s="74">
        <f t="shared" si="116"/>
        <v>25.563235666785239</v>
      </c>
      <c r="AJ141" s="73">
        <f t="shared" si="117"/>
        <v>5.36</v>
      </c>
      <c r="AK141" s="71">
        <f t="shared" si="106"/>
        <v>11.84131593961432</v>
      </c>
      <c r="AL141" s="71">
        <f t="shared" si="107"/>
        <v>0.44869364218164537</v>
      </c>
      <c r="AM141" s="71">
        <f t="shared" si="118"/>
        <v>0</v>
      </c>
      <c r="AN141" s="188">
        <f t="shared" si="108"/>
        <v>0.57466424352943613</v>
      </c>
      <c r="AO141" s="74">
        <f t="shared" si="119"/>
        <v>1.0233578857110814</v>
      </c>
      <c r="AP141" s="73">
        <f t="shared" si="109"/>
        <v>0.81835601784265988</v>
      </c>
      <c r="AQ141" s="206">
        <f t="shared" si="110"/>
        <v>1.5685157008650981</v>
      </c>
      <c r="AR141" s="206">
        <f t="shared" si="111"/>
        <v>4.7390927326794205</v>
      </c>
      <c r="AS141" s="71">
        <f t="shared" si="112"/>
        <v>0.24000000000000002</v>
      </c>
      <c r="AT141" s="74">
        <f t="shared" si="113"/>
        <v>3.6299999999999995E-5</v>
      </c>
      <c r="AU141" s="73">
        <f t="shared" si="120"/>
        <v>35.5211100047486</v>
      </c>
      <c r="AV141" s="71">
        <f t="shared" si="121"/>
        <v>286.76</v>
      </c>
      <c r="AW141" s="74">
        <f t="shared" si="122"/>
        <v>88.978221527093154</v>
      </c>
    </row>
    <row r="142" spans="17:49" x14ac:dyDescent="0.25">
      <c r="Q142">
        <v>135</v>
      </c>
      <c r="R142" s="73">
        <f t="shared" si="96"/>
        <v>53.5</v>
      </c>
      <c r="S142" s="71">
        <f t="shared" si="97"/>
        <v>5.4</v>
      </c>
      <c r="T142" s="71">
        <f t="shared" si="98"/>
        <v>11</v>
      </c>
      <c r="U142" s="74">
        <f t="shared" si="99"/>
        <v>26.263636363636365</v>
      </c>
      <c r="V142" s="73">
        <f>IF(Variable_Management!$B$20=3,2,IF((S142*R142/T142)&lt;((T142*(1-(T142/R142)))/(2*Lm*Fsw)),1,2))</f>
        <v>2</v>
      </c>
      <c r="W142" s="71">
        <f t="shared" si="100"/>
        <v>0.79439252336448596</v>
      </c>
      <c r="X142" s="74">
        <f t="shared" si="101"/>
        <v>0.20560747663551404</v>
      </c>
      <c r="Y142" s="73">
        <f t="shared" si="102"/>
        <v>5.3282425347617979</v>
      </c>
      <c r="Z142" s="71">
        <f t="shared" si="77"/>
        <v>28.927757631017265</v>
      </c>
      <c r="AA142" s="71">
        <f t="shared" si="78"/>
        <v>26.30863817108542</v>
      </c>
      <c r="AB142" s="71">
        <v>0</v>
      </c>
      <c r="AC142" s="71">
        <f t="shared" si="103"/>
        <v>1.5919322175593134</v>
      </c>
      <c r="AD142" s="74">
        <f t="shared" si="114"/>
        <v>1.5919322175593134</v>
      </c>
      <c r="AE142" s="73">
        <f t="shared" si="123"/>
        <v>20.863636363636363</v>
      </c>
      <c r="AF142" s="71">
        <f t="shared" si="115"/>
        <v>23.44854729283713</v>
      </c>
      <c r="AG142" s="71">
        <f t="shared" si="104"/>
        <v>1.7594699844621424</v>
      </c>
      <c r="AH142" s="71">
        <f t="shared" si="105"/>
        <v>24.007479778262478</v>
      </c>
      <c r="AI142" s="74">
        <f t="shared" si="116"/>
        <v>25.766949762724622</v>
      </c>
      <c r="AJ142" s="73">
        <f t="shared" si="117"/>
        <v>5.4000000000000012</v>
      </c>
      <c r="AK142" s="71">
        <f t="shared" si="106"/>
        <v>11.929378536733307</v>
      </c>
      <c r="AL142" s="71">
        <f t="shared" si="107"/>
        <v>0.45539223127255457</v>
      </c>
      <c r="AM142" s="71">
        <f t="shared" si="118"/>
        <v>0</v>
      </c>
      <c r="AN142" s="188">
        <f t="shared" si="108"/>
        <v>0.57855515262034529</v>
      </c>
      <c r="AO142" s="74">
        <f t="shared" si="119"/>
        <v>1.0339473838928999</v>
      </c>
      <c r="AP142" s="73">
        <f t="shared" si="109"/>
        <v>0.83057333090051133</v>
      </c>
      <c r="AQ142" s="206">
        <f t="shared" si="110"/>
        <v>1.5919322175593134</v>
      </c>
      <c r="AR142" s="206">
        <f t="shared" si="111"/>
        <v>4.7390927326794205</v>
      </c>
      <c r="AS142" s="71">
        <f t="shared" si="112"/>
        <v>0.24000000000000002</v>
      </c>
      <c r="AT142" s="74">
        <f t="shared" si="113"/>
        <v>3.6299999999999995E-5</v>
      </c>
      <c r="AU142" s="73">
        <f t="shared" si="120"/>
        <v>35.794463945316082</v>
      </c>
      <c r="AV142" s="71">
        <f t="shared" si="121"/>
        <v>288.90000000000003</v>
      </c>
      <c r="AW142" s="74">
        <f t="shared" si="122"/>
        <v>88.975954960739813</v>
      </c>
    </row>
    <row r="143" spans="17:49" x14ac:dyDescent="0.25">
      <c r="Q143">
        <v>136</v>
      </c>
      <c r="R143" s="73">
        <f t="shared" si="96"/>
        <v>53.5</v>
      </c>
      <c r="S143" s="71">
        <f t="shared" si="97"/>
        <v>5.44</v>
      </c>
      <c r="T143" s="71">
        <f t="shared" si="98"/>
        <v>11</v>
      </c>
      <c r="U143" s="74">
        <f t="shared" si="99"/>
        <v>26.458181818181821</v>
      </c>
      <c r="V143" s="73">
        <f>IF(Variable_Management!$B$20=3,2,IF((S143*R143/T143)&lt;((T143*(1-(T143/R143)))/(2*Lm*Fsw)),1,2))</f>
        <v>2</v>
      </c>
      <c r="W143" s="71">
        <f t="shared" si="100"/>
        <v>0.79439252336448596</v>
      </c>
      <c r="X143" s="74">
        <f t="shared" si="101"/>
        <v>0.20560747663551404</v>
      </c>
      <c r="Y143" s="73">
        <f t="shared" si="102"/>
        <v>5.3282425347617979</v>
      </c>
      <c r="Z143" s="71">
        <f t="shared" si="77"/>
        <v>29.12230308556272</v>
      </c>
      <c r="AA143" s="71">
        <f t="shared" si="78"/>
        <v>26.502853289782546</v>
      </c>
      <c r="AB143" s="71">
        <v>0</v>
      </c>
      <c r="AC143" s="71">
        <f t="shared" si="103"/>
        <v>1.6155228347493962</v>
      </c>
      <c r="AD143" s="74">
        <f t="shared" si="114"/>
        <v>1.6155228347493962</v>
      </c>
      <c r="AE143" s="73">
        <f t="shared" si="123"/>
        <v>21.018181818181819</v>
      </c>
      <c r="AF143" s="71">
        <f t="shared" si="115"/>
        <v>23.62164870409751</v>
      </c>
      <c r="AG143" s="71">
        <f t="shared" si="104"/>
        <v>1.7855433199993331</v>
      </c>
      <c r="AH143" s="71">
        <f t="shared" si="105"/>
        <v>24.185312961805167</v>
      </c>
      <c r="AI143" s="74">
        <f t="shared" si="116"/>
        <v>25.970856281804501</v>
      </c>
      <c r="AJ143" s="73">
        <f t="shared" si="117"/>
        <v>5.4400000000000013</v>
      </c>
      <c r="AK143" s="71">
        <f t="shared" si="106"/>
        <v>12.017443363708692</v>
      </c>
      <c r="AL143" s="71">
        <f t="shared" si="107"/>
        <v>0.46214062399982742</v>
      </c>
      <c r="AM143" s="71">
        <f t="shared" si="118"/>
        <v>0</v>
      </c>
      <c r="AN143" s="188">
        <f t="shared" si="108"/>
        <v>0.58244606171125446</v>
      </c>
      <c r="AO143" s="74">
        <f t="shared" si="119"/>
        <v>1.0445866857110819</v>
      </c>
      <c r="AP143" s="73">
        <f t="shared" si="109"/>
        <v>0.84288147899968491</v>
      </c>
      <c r="AQ143" s="206">
        <f t="shared" si="110"/>
        <v>1.6155228347493962</v>
      </c>
      <c r="AR143" s="206">
        <f t="shared" si="111"/>
        <v>4.7390927326794205</v>
      </c>
      <c r="AS143" s="71">
        <f t="shared" si="112"/>
        <v>0.24000000000000002</v>
      </c>
      <c r="AT143" s="74">
        <f t="shared" si="113"/>
        <v>3.6299999999999995E-5</v>
      </c>
      <c r="AU143" s="73">
        <f t="shared" si="120"/>
        <v>36.068499148693476</v>
      </c>
      <c r="AV143" s="71">
        <f t="shared" si="121"/>
        <v>291.04000000000002</v>
      </c>
      <c r="AW143" s="74">
        <f t="shared" si="122"/>
        <v>88.973536535258944</v>
      </c>
    </row>
    <row r="144" spans="17:49" x14ac:dyDescent="0.25">
      <c r="Q144">
        <v>137</v>
      </c>
      <c r="R144" s="73">
        <f t="shared" si="96"/>
        <v>53.5</v>
      </c>
      <c r="S144" s="71">
        <f t="shared" si="97"/>
        <v>5.48</v>
      </c>
      <c r="T144" s="71">
        <f t="shared" si="98"/>
        <v>11</v>
      </c>
      <c r="U144" s="74">
        <f t="shared" si="99"/>
        <v>26.652727272727272</v>
      </c>
      <c r="V144" s="73">
        <f>IF(Variable_Management!$B$20=3,2,IF((S144*R144/T144)&lt;((T144*(1-(T144/R144)))/(2*Lm*Fsw)),1,2))</f>
        <v>2</v>
      </c>
      <c r="W144" s="71">
        <f t="shared" si="100"/>
        <v>0.79439252336448596</v>
      </c>
      <c r="X144" s="74">
        <f t="shared" si="101"/>
        <v>0.20560747663551404</v>
      </c>
      <c r="Y144" s="73">
        <f t="shared" si="102"/>
        <v>5.3282425347617979</v>
      </c>
      <c r="Z144" s="71">
        <f t="shared" ref="Z144:Z157" si="124">CHOOSE(V144,Y144,U144+(0.5*Y144))</f>
        <v>29.316848540108172</v>
      </c>
      <c r="AA144" s="71">
        <f t="shared" ref="AA144:AA157" si="125">CHOOSE(V144,Z144*SQRT((W144+X144)/3),SQRT((U144^2)+((Y144^2)/12)))</f>
        <v>26.697073218803414</v>
      </c>
      <c r="AB144" s="71">
        <v>0</v>
      </c>
      <c r="AC144" s="71">
        <f t="shared" si="103"/>
        <v>1.6392875524353461</v>
      </c>
      <c r="AD144" s="74">
        <f t="shared" si="114"/>
        <v>1.6392875524353461</v>
      </c>
      <c r="AE144" s="73">
        <f t="shared" si="123"/>
        <v>21.172727272727272</v>
      </c>
      <c r="AF144" s="71">
        <f t="shared" si="115"/>
        <v>23.794754402736928</v>
      </c>
      <c r="AG144" s="71">
        <f t="shared" si="104"/>
        <v>1.8118090786770191</v>
      </c>
      <c r="AH144" s="71">
        <f t="shared" si="105"/>
        <v>24.363146145347852</v>
      </c>
      <c r="AI144" s="74">
        <f t="shared" si="116"/>
        <v>26.17495522402487</v>
      </c>
      <c r="AJ144" s="73">
        <f t="shared" si="117"/>
        <v>5.48</v>
      </c>
      <c r="AK144" s="71">
        <f t="shared" si="106"/>
        <v>12.105510371875379</v>
      </c>
      <c r="AL144" s="71">
        <f t="shared" si="107"/>
        <v>0.46893882036346363</v>
      </c>
      <c r="AM144" s="71">
        <f t="shared" si="118"/>
        <v>0</v>
      </c>
      <c r="AN144" s="188">
        <f t="shared" si="108"/>
        <v>0.5863369708021634</v>
      </c>
      <c r="AO144" s="74">
        <f t="shared" si="119"/>
        <v>1.055275791165627</v>
      </c>
      <c r="AP144" s="73">
        <f t="shared" si="109"/>
        <v>0.8552804621401805</v>
      </c>
      <c r="AQ144" s="206">
        <f t="shared" si="110"/>
        <v>1.6392875524353461</v>
      </c>
      <c r="AR144" s="206">
        <f t="shared" si="111"/>
        <v>4.7390927326794205</v>
      </c>
      <c r="AS144" s="71">
        <f t="shared" si="112"/>
        <v>0.24000000000000002</v>
      </c>
      <c r="AT144" s="74">
        <f t="shared" si="113"/>
        <v>3.6299999999999995E-5</v>
      </c>
      <c r="AU144" s="73">
        <f t="shared" si="120"/>
        <v>36.343215614880791</v>
      </c>
      <c r="AV144" s="71">
        <f t="shared" si="121"/>
        <v>293.18</v>
      </c>
      <c r="AW144" s="74">
        <f t="shared" si="122"/>
        <v>88.970969603138471</v>
      </c>
    </row>
    <row r="145" spans="17:49" x14ac:dyDescent="0.25">
      <c r="Q145">
        <v>138</v>
      </c>
      <c r="R145" s="73">
        <f t="shared" si="96"/>
        <v>53.5</v>
      </c>
      <c r="S145" s="71">
        <f t="shared" si="97"/>
        <v>5.5200000000000005</v>
      </c>
      <c r="T145" s="71">
        <f t="shared" si="98"/>
        <v>11</v>
      </c>
      <c r="U145" s="74">
        <f t="shared" si="99"/>
        <v>26.847272727272731</v>
      </c>
      <c r="V145" s="73">
        <f>IF(Variable_Management!$B$20=3,2,IF((S145*R145/T145)&lt;((T145*(1-(T145/R145)))/(2*Lm*Fsw)),1,2))</f>
        <v>2</v>
      </c>
      <c r="W145" s="71">
        <f t="shared" si="100"/>
        <v>0.79439252336448596</v>
      </c>
      <c r="X145" s="74">
        <f t="shared" si="101"/>
        <v>0.20560747663551404</v>
      </c>
      <c r="Y145" s="73">
        <f t="shared" si="102"/>
        <v>5.3282425347617979</v>
      </c>
      <c r="Z145" s="71">
        <f t="shared" si="124"/>
        <v>29.511393994653631</v>
      </c>
      <c r="AA145" s="71">
        <f t="shared" si="125"/>
        <v>26.891297853921678</v>
      </c>
      <c r="AB145" s="71">
        <v>0</v>
      </c>
      <c r="AC145" s="71">
        <f t="shared" si="103"/>
        <v>1.6632263706171651</v>
      </c>
      <c r="AD145" s="74">
        <f t="shared" si="114"/>
        <v>1.6632263706171651</v>
      </c>
      <c r="AE145" s="73">
        <f t="shared" si="123"/>
        <v>21.327272727272728</v>
      </c>
      <c r="AF145" s="71">
        <f t="shared" si="115"/>
        <v>23.967864295859783</v>
      </c>
      <c r="AG145" s="71">
        <f t="shared" si="104"/>
        <v>1.8382672604952008</v>
      </c>
      <c r="AH145" s="71">
        <f t="shared" si="105"/>
        <v>24.540979328890533</v>
      </c>
      <c r="AI145" s="74">
        <f t="shared" si="116"/>
        <v>26.379246589385733</v>
      </c>
      <c r="AJ145" s="73">
        <f t="shared" si="117"/>
        <v>5.5200000000000014</v>
      </c>
      <c r="AK145" s="71">
        <f t="shared" si="106"/>
        <v>12.193579513973017</v>
      </c>
      <c r="AL145" s="71">
        <f t="shared" si="107"/>
        <v>0.47578682036346381</v>
      </c>
      <c r="AM145" s="71">
        <f t="shared" si="118"/>
        <v>0</v>
      </c>
      <c r="AN145" s="188">
        <f t="shared" si="108"/>
        <v>0.59022787989307257</v>
      </c>
      <c r="AO145" s="74">
        <f t="shared" si="119"/>
        <v>1.0660147002565363</v>
      </c>
      <c r="AP145" s="73">
        <f t="shared" si="109"/>
        <v>0.8677702803219991</v>
      </c>
      <c r="AQ145" s="206">
        <f t="shared" si="110"/>
        <v>1.6632263706171651</v>
      </c>
      <c r="AR145" s="206">
        <f t="shared" si="111"/>
        <v>4.7390927326794205</v>
      </c>
      <c r="AS145" s="71">
        <f t="shared" si="112"/>
        <v>0.24000000000000002</v>
      </c>
      <c r="AT145" s="74">
        <f t="shared" si="113"/>
        <v>3.6299999999999995E-5</v>
      </c>
      <c r="AU145" s="73">
        <f t="shared" si="120"/>
        <v>36.618613343878017</v>
      </c>
      <c r="AV145" s="71">
        <f t="shared" si="121"/>
        <v>295.32000000000005</v>
      </c>
      <c r="AW145" s="74">
        <f t="shared" si="122"/>
        <v>88.968257421156892</v>
      </c>
    </row>
    <row r="146" spans="17:49" x14ac:dyDescent="0.25">
      <c r="Q146">
        <v>139</v>
      </c>
      <c r="R146" s="73">
        <f t="shared" si="96"/>
        <v>53.5</v>
      </c>
      <c r="S146" s="71">
        <f t="shared" si="97"/>
        <v>5.5600000000000005</v>
      </c>
      <c r="T146" s="71">
        <f t="shared" si="98"/>
        <v>11</v>
      </c>
      <c r="U146" s="74">
        <f t="shared" si="99"/>
        <v>27.041818181818186</v>
      </c>
      <c r="V146" s="73">
        <f>IF(Variable_Management!$B$20=3,2,IF((S146*R146/T146)&lt;((T146*(1-(T146/R146)))/(2*Lm*Fsw)),1,2))</f>
        <v>2</v>
      </c>
      <c r="W146" s="71">
        <f t="shared" si="100"/>
        <v>0.79439252336448596</v>
      </c>
      <c r="X146" s="74">
        <f t="shared" si="101"/>
        <v>0.20560747663551404</v>
      </c>
      <c r="Y146" s="73">
        <f t="shared" si="102"/>
        <v>5.3282425347617979</v>
      </c>
      <c r="Z146" s="71">
        <f t="shared" si="124"/>
        <v>29.705939449199086</v>
      </c>
      <c r="AA146" s="71">
        <f t="shared" si="125"/>
        <v>27.085527093898008</v>
      </c>
      <c r="AB146" s="71">
        <v>0</v>
      </c>
      <c r="AC146" s="71">
        <f t="shared" si="103"/>
        <v>1.6873392892948511</v>
      </c>
      <c r="AD146" s="74">
        <f t="shared" si="114"/>
        <v>1.6873392892948511</v>
      </c>
      <c r="AE146" s="73">
        <f t="shared" si="123"/>
        <v>21.481818181818184</v>
      </c>
      <c r="AF146" s="71">
        <f t="shared" si="115"/>
        <v>24.140978293232799</v>
      </c>
      <c r="AG146" s="71">
        <f t="shared" si="104"/>
        <v>1.8649178654538789</v>
      </c>
      <c r="AH146" s="71">
        <f t="shared" si="105"/>
        <v>24.718812512433221</v>
      </c>
      <c r="AI146" s="74">
        <f t="shared" si="116"/>
        <v>26.5837303778871</v>
      </c>
      <c r="AJ146" s="73">
        <f t="shared" si="117"/>
        <v>5.5600000000000014</v>
      </c>
      <c r="AK146" s="71">
        <f t="shared" si="106"/>
        <v>12.281650744095685</v>
      </c>
      <c r="AL146" s="71">
        <f t="shared" si="107"/>
        <v>0.48268462399982759</v>
      </c>
      <c r="AM146" s="71">
        <f t="shared" si="118"/>
        <v>0</v>
      </c>
      <c r="AN146" s="188">
        <f t="shared" si="108"/>
        <v>0.59411878898398174</v>
      </c>
      <c r="AO146" s="74">
        <f t="shared" si="119"/>
        <v>1.0768034129838093</v>
      </c>
      <c r="AP146" s="73">
        <f t="shared" si="109"/>
        <v>0.8803509335451396</v>
      </c>
      <c r="AQ146" s="206">
        <f t="shared" si="110"/>
        <v>1.6873392892948511</v>
      </c>
      <c r="AR146" s="206">
        <f t="shared" si="111"/>
        <v>4.7390927326794205</v>
      </c>
      <c r="AS146" s="71">
        <f t="shared" si="112"/>
        <v>0.24000000000000002</v>
      </c>
      <c r="AT146" s="74">
        <f t="shared" si="113"/>
        <v>3.6299999999999995E-5</v>
      </c>
      <c r="AU146" s="73">
        <f t="shared" si="120"/>
        <v>36.894692335685178</v>
      </c>
      <c r="AV146" s="71">
        <f t="shared" si="121"/>
        <v>297.46000000000004</v>
      </c>
      <c r="AW146" s="74">
        <f t="shared" si="122"/>
        <v>88.965403153773096</v>
      </c>
    </row>
    <row r="147" spans="17:49" x14ac:dyDescent="0.25">
      <c r="Q147">
        <v>140</v>
      </c>
      <c r="R147" s="73">
        <f t="shared" si="96"/>
        <v>53.5</v>
      </c>
      <c r="S147" s="71">
        <f t="shared" si="97"/>
        <v>5.6000000000000005</v>
      </c>
      <c r="T147" s="71">
        <f t="shared" si="98"/>
        <v>11</v>
      </c>
      <c r="U147" s="74">
        <f t="shared" si="99"/>
        <v>27.236363636363638</v>
      </c>
      <c r="V147" s="73">
        <f>IF(Variable_Management!$B$20=3,2,IF((S147*R147/T147)&lt;((T147*(1-(T147/R147)))/(2*Lm*Fsw)),1,2))</f>
        <v>2</v>
      </c>
      <c r="W147" s="71">
        <f t="shared" si="100"/>
        <v>0.79439252336448596</v>
      </c>
      <c r="X147" s="74">
        <f t="shared" si="101"/>
        <v>0.20560747663551404</v>
      </c>
      <c r="Y147" s="73">
        <f t="shared" si="102"/>
        <v>5.3282425347617979</v>
      </c>
      <c r="Z147" s="71">
        <f t="shared" si="124"/>
        <v>29.900484903744537</v>
      </c>
      <c r="AA147" s="71">
        <f t="shared" si="125"/>
        <v>27.279760840373985</v>
      </c>
      <c r="AB147" s="71">
        <v>0</v>
      </c>
      <c r="AC147" s="71">
        <f t="shared" si="103"/>
        <v>1.7116263084684045</v>
      </c>
      <c r="AD147" s="74">
        <f t="shared" si="114"/>
        <v>1.7116263084684045</v>
      </c>
      <c r="AE147" s="73">
        <f t="shared" si="123"/>
        <v>21.636363636363637</v>
      </c>
      <c r="AF147" s="71">
        <f t="shared" si="115"/>
        <v>24.314096307190376</v>
      </c>
      <c r="AG147" s="71">
        <f t="shared" si="104"/>
        <v>1.8917608935530517</v>
      </c>
      <c r="AH147" s="71">
        <f t="shared" si="105"/>
        <v>24.896645695975906</v>
      </c>
      <c r="AI147" s="74">
        <f t="shared" si="116"/>
        <v>26.788406589528957</v>
      </c>
      <c r="AJ147" s="73">
        <f t="shared" si="117"/>
        <v>5.6000000000000014</v>
      </c>
      <c r="AK147" s="71">
        <f t="shared" si="106"/>
        <v>12.369724017643778</v>
      </c>
      <c r="AL147" s="71">
        <f t="shared" si="107"/>
        <v>0.48963223127255462</v>
      </c>
      <c r="AM147" s="71">
        <f t="shared" si="118"/>
        <v>0</v>
      </c>
      <c r="AN147" s="188">
        <f t="shared" si="108"/>
        <v>0.59800969807489079</v>
      </c>
      <c r="AO147" s="74">
        <f t="shared" si="119"/>
        <v>1.0876419293474453</v>
      </c>
      <c r="AP147" s="73">
        <f t="shared" si="109"/>
        <v>0.89302242180960234</v>
      </c>
      <c r="AQ147" s="206">
        <f t="shared" si="110"/>
        <v>1.7116263084684045</v>
      </c>
      <c r="AR147" s="206">
        <f t="shared" si="111"/>
        <v>4.7390927326794205</v>
      </c>
      <c r="AS147" s="71">
        <f t="shared" si="112"/>
        <v>0.24000000000000002</v>
      </c>
      <c r="AT147" s="74">
        <f t="shared" si="113"/>
        <v>3.6299999999999995E-5</v>
      </c>
      <c r="AU147" s="73">
        <f t="shared" si="120"/>
        <v>37.171452590302238</v>
      </c>
      <c r="AV147" s="71">
        <f t="shared" si="121"/>
        <v>299.60000000000002</v>
      </c>
      <c r="AW147" s="74">
        <f t="shared" si="122"/>
        <v>88.962409876373044</v>
      </c>
    </row>
    <row r="148" spans="17:49" x14ac:dyDescent="0.25">
      <c r="Q148">
        <v>141</v>
      </c>
      <c r="R148" s="73">
        <f t="shared" si="96"/>
        <v>53.5</v>
      </c>
      <c r="S148" s="71">
        <f t="shared" si="97"/>
        <v>5.64</v>
      </c>
      <c r="T148" s="71">
        <f t="shared" si="98"/>
        <v>11</v>
      </c>
      <c r="U148" s="74">
        <f t="shared" si="99"/>
        <v>27.430909090909093</v>
      </c>
      <c r="V148" s="73">
        <f>IF(Variable_Management!$B$20=3,2,IF((S148*R148/T148)&lt;((T148*(1-(T148/R148)))/(2*Lm*Fsw)),1,2))</f>
        <v>2</v>
      </c>
      <c r="W148" s="71">
        <f t="shared" si="100"/>
        <v>0.79439252336448596</v>
      </c>
      <c r="X148" s="74">
        <f t="shared" si="101"/>
        <v>0.20560747663551404</v>
      </c>
      <c r="Y148" s="73">
        <f t="shared" si="102"/>
        <v>5.3282425347617979</v>
      </c>
      <c r="Z148" s="71">
        <f t="shared" si="124"/>
        <v>30.095030358289993</v>
      </c>
      <c r="AA148" s="71">
        <f t="shared" si="125"/>
        <v>27.473998997770412</v>
      </c>
      <c r="AB148" s="71">
        <v>0</v>
      </c>
      <c r="AC148" s="71">
        <f t="shared" si="103"/>
        <v>1.736087428137826</v>
      </c>
      <c r="AD148" s="74">
        <f t="shared" si="114"/>
        <v>1.736087428137826</v>
      </c>
      <c r="AE148" s="73">
        <f t="shared" si="123"/>
        <v>21.790909090909093</v>
      </c>
      <c r="AF148" s="71">
        <f t="shared" si="115"/>
        <v>24.487218252544025</v>
      </c>
      <c r="AG148" s="71">
        <f t="shared" si="104"/>
        <v>1.918796344792721</v>
      </c>
      <c r="AH148" s="71">
        <f t="shared" si="105"/>
        <v>25.07447887951859</v>
      </c>
      <c r="AI148" s="74">
        <f t="shared" si="116"/>
        <v>26.993275224311311</v>
      </c>
      <c r="AJ148" s="73">
        <f t="shared" si="117"/>
        <v>5.6400000000000015</v>
      </c>
      <c r="AK148" s="71">
        <f t="shared" si="106"/>
        <v>12.457799291277903</v>
      </c>
      <c r="AL148" s="71">
        <f t="shared" si="107"/>
        <v>0.49662964218164557</v>
      </c>
      <c r="AM148" s="71">
        <f t="shared" si="118"/>
        <v>0</v>
      </c>
      <c r="AN148" s="188">
        <f t="shared" si="108"/>
        <v>0.60190060716579985</v>
      </c>
      <c r="AO148" s="74">
        <f t="shared" si="119"/>
        <v>1.0985302493474454</v>
      </c>
      <c r="AP148" s="73">
        <f t="shared" si="109"/>
        <v>0.90578474511538742</v>
      </c>
      <c r="AQ148" s="206">
        <f t="shared" si="110"/>
        <v>1.736087428137826</v>
      </c>
      <c r="AR148" s="206">
        <f t="shared" si="111"/>
        <v>4.7390927326794205</v>
      </c>
      <c r="AS148" s="71">
        <f t="shared" si="112"/>
        <v>0.24000000000000002</v>
      </c>
      <c r="AT148" s="74">
        <f t="shared" si="113"/>
        <v>3.6299999999999995E-5</v>
      </c>
      <c r="AU148" s="73">
        <f t="shared" si="120"/>
        <v>37.448894107729217</v>
      </c>
      <c r="AV148" s="71">
        <f t="shared" si="121"/>
        <v>301.74</v>
      </c>
      <c r="AW148" s="74">
        <f t="shared" si="122"/>
        <v>88.959280578380287</v>
      </c>
    </row>
    <row r="149" spans="17:49" x14ac:dyDescent="0.25">
      <c r="Q149">
        <v>142</v>
      </c>
      <c r="R149" s="73">
        <f t="shared" si="96"/>
        <v>53.5</v>
      </c>
      <c r="S149" s="71">
        <f t="shared" si="97"/>
        <v>5.68</v>
      </c>
      <c r="T149" s="71">
        <f t="shared" si="98"/>
        <v>11</v>
      </c>
      <c r="U149" s="74">
        <f t="shared" si="99"/>
        <v>27.625454545454545</v>
      </c>
      <c r="V149" s="73">
        <f>IF(Variable_Management!$B$20=3,2,IF((S149*R149/T149)&lt;((T149*(1-(T149/R149)))/(2*Lm*Fsw)),1,2))</f>
        <v>2</v>
      </c>
      <c r="W149" s="71">
        <f t="shared" si="100"/>
        <v>0.79439252336448596</v>
      </c>
      <c r="X149" s="74">
        <f t="shared" si="101"/>
        <v>0.20560747663551404</v>
      </c>
      <c r="Y149" s="73">
        <f t="shared" si="102"/>
        <v>5.3282425347617979</v>
      </c>
      <c r="Z149" s="71">
        <f t="shared" si="124"/>
        <v>30.289575812835444</v>
      </c>
      <c r="AA149" s="71">
        <f t="shared" si="125"/>
        <v>27.668241473189898</v>
      </c>
      <c r="AB149" s="71">
        <v>0</v>
      </c>
      <c r="AC149" s="71">
        <f t="shared" si="103"/>
        <v>1.7607226483031146</v>
      </c>
      <c r="AD149" s="74">
        <f t="shared" si="114"/>
        <v>1.7607226483031146</v>
      </c>
      <c r="AE149" s="73">
        <f t="shared" si="123"/>
        <v>21.945454545454545</v>
      </c>
      <c r="AF149" s="71">
        <f t="shared" si="115"/>
        <v>24.660344046495517</v>
      </c>
      <c r="AG149" s="71">
        <f t="shared" si="104"/>
        <v>1.946024219172886</v>
      </c>
      <c r="AH149" s="71">
        <f t="shared" si="105"/>
        <v>25.252312063061275</v>
      </c>
      <c r="AI149" s="74">
        <f t="shared" si="116"/>
        <v>27.198336282234163</v>
      </c>
      <c r="AJ149" s="73">
        <f t="shared" si="117"/>
        <v>5.6800000000000006</v>
      </c>
      <c r="AK149" s="71">
        <f t="shared" si="106"/>
        <v>12.545876522874707</v>
      </c>
      <c r="AL149" s="71">
        <f t="shared" si="107"/>
        <v>0.50367685672709994</v>
      </c>
      <c r="AM149" s="71">
        <f t="shared" si="118"/>
        <v>0</v>
      </c>
      <c r="AN149" s="188">
        <f t="shared" si="108"/>
        <v>0.60579151625670891</v>
      </c>
      <c r="AO149" s="74">
        <f t="shared" si="119"/>
        <v>1.1094683729838088</v>
      </c>
      <c r="AP149" s="73">
        <f t="shared" si="109"/>
        <v>0.91863790346249452</v>
      </c>
      <c r="AQ149" s="206">
        <f t="shared" si="110"/>
        <v>1.7607226483031146</v>
      </c>
      <c r="AR149" s="206">
        <f t="shared" si="111"/>
        <v>4.7390927326794205</v>
      </c>
      <c r="AS149" s="71">
        <f t="shared" si="112"/>
        <v>0.24000000000000002</v>
      </c>
      <c r="AT149" s="74">
        <f t="shared" si="113"/>
        <v>3.6299999999999995E-5</v>
      </c>
      <c r="AU149" s="73">
        <f t="shared" si="120"/>
        <v>37.727016887966116</v>
      </c>
      <c r="AV149" s="71">
        <f t="shared" si="121"/>
        <v>303.88</v>
      </c>
      <c r="AW149" s="74">
        <f t="shared" si="122"/>
        <v>88.956018166237172</v>
      </c>
    </row>
    <row r="150" spans="17:49" x14ac:dyDescent="0.25">
      <c r="Q150">
        <v>143</v>
      </c>
      <c r="R150" s="73">
        <f t="shared" si="96"/>
        <v>53.5</v>
      </c>
      <c r="S150" s="71">
        <f t="shared" si="97"/>
        <v>5.72</v>
      </c>
      <c r="T150" s="71">
        <f t="shared" si="98"/>
        <v>11</v>
      </c>
      <c r="U150" s="74">
        <f t="shared" si="99"/>
        <v>27.819999999999997</v>
      </c>
      <c r="V150" s="73">
        <f>IF(Variable_Management!$B$20=3,2,IF((S150*R150/T150)&lt;((T150*(1-(T150/R150)))/(2*Lm*Fsw)),1,2))</f>
        <v>2</v>
      </c>
      <c r="W150" s="71">
        <f t="shared" si="100"/>
        <v>0.79439252336448596</v>
      </c>
      <c r="X150" s="74">
        <f t="shared" si="101"/>
        <v>0.20560747663551404</v>
      </c>
      <c r="Y150" s="73">
        <f t="shared" si="102"/>
        <v>5.3282425347617979</v>
      </c>
      <c r="Z150" s="71">
        <f t="shared" si="124"/>
        <v>30.484121267380896</v>
      </c>
      <c r="AA150" s="71">
        <f t="shared" si="125"/>
        <v>27.862488176323559</v>
      </c>
      <c r="AB150" s="71">
        <v>0</v>
      </c>
      <c r="AC150" s="71">
        <f t="shared" si="103"/>
        <v>1.7855319689642715</v>
      </c>
      <c r="AD150" s="74">
        <f t="shared" si="114"/>
        <v>1.7855319689642715</v>
      </c>
      <c r="AE150" s="73">
        <f t="shared" si="123"/>
        <v>22.099999999999998</v>
      </c>
      <c r="AF150" s="71">
        <f t="shared" si="115"/>
        <v>24.833473608553703</v>
      </c>
      <c r="AG150" s="71">
        <f t="shared" si="104"/>
        <v>1.9734445166935466</v>
      </c>
      <c r="AH150" s="71">
        <f t="shared" si="105"/>
        <v>25.430145246603956</v>
      </c>
      <c r="AI150" s="74">
        <f t="shared" si="116"/>
        <v>27.403589763297504</v>
      </c>
      <c r="AJ150" s="73">
        <f t="shared" si="117"/>
        <v>5.72</v>
      </c>
      <c r="AK150" s="71">
        <f t="shared" si="106"/>
        <v>12.633955671484561</v>
      </c>
      <c r="AL150" s="71">
        <f t="shared" si="107"/>
        <v>0.51077387490891812</v>
      </c>
      <c r="AM150" s="71">
        <f t="shared" si="118"/>
        <v>0</v>
      </c>
      <c r="AN150" s="188">
        <f t="shared" si="108"/>
        <v>0.60968242534761796</v>
      </c>
      <c r="AO150" s="74">
        <f t="shared" si="119"/>
        <v>1.120456300256536</v>
      </c>
      <c r="AP150" s="73">
        <f t="shared" si="109"/>
        <v>0.93158189685092407</v>
      </c>
      <c r="AQ150" s="206">
        <f t="shared" si="110"/>
        <v>1.7855319689642715</v>
      </c>
      <c r="AR150" s="206">
        <f t="shared" si="111"/>
        <v>4.7390927326794205</v>
      </c>
      <c r="AS150" s="71">
        <f t="shared" si="112"/>
        <v>0.24000000000000002</v>
      </c>
      <c r="AT150" s="74">
        <f t="shared" si="113"/>
        <v>3.6299999999999995E-5</v>
      </c>
      <c r="AU150" s="73">
        <f t="shared" si="120"/>
        <v>38.005820931012934</v>
      </c>
      <c r="AV150" s="71">
        <f t="shared" si="121"/>
        <v>306.02</v>
      </c>
      <c r="AW150" s="74">
        <f t="shared" si="122"/>
        <v>88.95262546626283</v>
      </c>
    </row>
    <row r="151" spans="17:49" x14ac:dyDescent="0.25">
      <c r="Q151">
        <v>144</v>
      </c>
      <c r="R151" s="73">
        <f t="shared" si="96"/>
        <v>53.5</v>
      </c>
      <c r="S151" s="71">
        <f t="shared" si="97"/>
        <v>5.76</v>
      </c>
      <c r="T151" s="71">
        <f t="shared" si="98"/>
        <v>11</v>
      </c>
      <c r="U151" s="74">
        <f t="shared" si="99"/>
        <v>28.014545454545452</v>
      </c>
      <c r="V151" s="73">
        <f>IF(Variable_Management!$B$20=3,2,IF((S151*R151/T151)&lt;((T151*(1-(T151/R151)))/(2*Lm*Fsw)),1,2))</f>
        <v>2</v>
      </c>
      <c r="W151" s="71">
        <f t="shared" si="100"/>
        <v>0.79439252336448596</v>
      </c>
      <c r="X151" s="74">
        <f t="shared" si="101"/>
        <v>0.20560747663551404</v>
      </c>
      <c r="Y151" s="73">
        <f t="shared" si="102"/>
        <v>5.3282425347617979</v>
      </c>
      <c r="Z151" s="71">
        <f t="shared" si="124"/>
        <v>30.678666721926351</v>
      </c>
      <c r="AA151" s="71">
        <f t="shared" si="125"/>
        <v>28.056739019361526</v>
      </c>
      <c r="AB151" s="71">
        <v>0</v>
      </c>
      <c r="AC151" s="71">
        <f t="shared" si="103"/>
        <v>1.810515390121296</v>
      </c>
      <c r="AD151" s="74">
        <f t="shared" si="114"/>
        <v>1.810515390121296</v>
      </c>
      <c r="AE151" s="73">
        <f t="shared" si="123"/>
        <v>22.25454545454545</v>
      </c>
      <c r="AF151" s="71">
        <f t="shared" si="115"/>
        <v>25.006606860454799</v>
      </c>
      <c r="AG151" s="71">
        <f t="shared" si="104"/>
        <v>2.0010572373547038</v>
      </c>
      <c r="AH151" s="71">
        <f t="shared" si="105"/>
        <v>25.607978430146641</v>
      </c>
      <c r="AI151" s="74">
        <f t="shared" si="116"/>
        <v>27.609035667501345</v>
      </c>
      <c r="AJ151" s="73">
        <f t="shared" si="117"/>
        <v>5.76</v>
      </c>
      <c r="AK151" s="71">
        <f t="shared" si="106"/>
        <v>12.722036697290994</v>
      </c>
      <c r="AL151" s="71">
        <f t="shared" si="107"/>
        <v>0.51792069672709995</v>
      </c>
      <c r="AM151" s="71">
        <f t="shared" si="118"/>
        <v>0</v>
      </c>
      <c r="AN151" s="188">
        <f t="shared" si="108"/>
        <v>0.61357333443852702</v>
      </c>
      <c r="AO151" s="74">
        <f t="shared" si="119"/>
        <v>1.131494031165627</v>
      </c>
      <c r="AP151" s="73">
        <f t="shared" si="109"/>
        <v>0.94461672528067619</v>
      </c>
      <c r="AQ151" s="206">
        <f t="shared" si="110"/>
        <v>1.810515390121296</v>
      </c>
      <c r="AR151" s="206">
        <f t="shared" si="111"/>
        <v>4.7390927326794205</v>
      </c>
      <c r="AS151" s="71">
        <f t="shared" si="112"/>
        <v>0.24000000000000002</v>
      </c>
      <c r="AT151" s="74">
        <f t="shared" si="113"/>
        <v>3.6299999999999995E-5</v>
      </c>
      <c r="AU151" s="73">
        <f t="shared" si="120"/>
        <v>38.285306236869658</v>
      </c>
      <c r="AV151" s="71">
        <f t="shared" si="121"/>
        <v>308.15999999999997</v>
      </c>
      <c r="AW151" s="74">
        <f t="shared" si="122"/>
        <v>88.949105227393829</v>
      </c>
    </row>
    <row r="152" spans="17:49" x14ac:dyDescent="0.25">
      <c r="Q152">
        <v>145</v>
      </c>
      <c r="R152" s="73">
        <f t="shared" si="96"/>
        <v>53.5</v>
      </c>
      <c r="S152" s="71">
        <f t="shared" si="97"/>
        <v>5.8</v>
      </c>
      <c r="T152" s="71">
        <f t="shared" si="98"/>
        <v>11</v>
      </c>
      <c r="U152" s="74">
        <f t="shared" si="99"/>
        <v>28.209090909090911</v>
      </c>
      <c r="V152" s="73">
        <f>IF(Variable_Management!$B$20=3,2,IF((S152*R152/T152)&lt;((T152*(1-(T152/R152)))/(2*Lm*Fsw)),1,2))</f>
        <v>2</v>
      </c>
      <c r="W152" s="71">
        <f t="shared" si="100"/>
        <v>0.79439252336448596</v>
      </c>
      <c r="X152" s="74">
        <f t="shared" si="101"/>
        <v>0.20560747663551404</v>
      </c>
      <c r="Y152" s="73">
        <f t="shared" si="102"/>
        <v>5.3282425347617979</v>
      </c>
      <c r="Z152" s="71">
        <f t="shared" si="124"/>
        <v>30.87321217647181</v>
      </c>
      <c r="AA152" s="71">
        <f t="shared" si="125"/>
        <v>28.250993916907166</v>
      </c>
      <c r="AB152" s="71">
        <v>0</v>
      </c>
      <c r="AC152" s="71">
        <f t="shared" si="103"/>
        <v>1.835672911774189</v>
      </c>
      <c r="AD152" s="74">
        <f t="shared" si="114"/>
        <v>1.835672911774189</v>
      </c>
      <c r="AE152" s="73">
        <f t="shared" si="123"/>
        <v>22.40909090909091</v>
      </c>
      <c r="AF152" s="71">
        <f t="shared" si="115"/>
        <v>25.179743726085889</v>
      </c>
      <c r="AG152" s="71">
        <f t="shared" si="104"/>
        <v>2.0288623811563573</v>
      </c>
      <c r="AH152" s="71">
        <f t="shared" si="105"/>
        <v>25.785811613689329</v>
      </c>
      <c r="AI152" s="74">
        <f t="shared" si="116"/>
        <v>27.814673994845688</v>
      </c>
      <c r="AJ152" s="73">
        <f t="shared" si="117"/>
        <v>5.8000000000000007</v>
      </c>
      <c r="AK152" s="71">
        <f t="shared" si="106"/>
        <v>12.81011956157179</v>
      </c>
      <c r="AL152" s="71">
        <f t="shared" si="107"/>
        <v>0.52511732218164553</v>
      </c>
      <c r="AM152" s="71">
        <f t="shared" si="118"/>
        <v>0</v>
      </c>
      <c r="AN152" s="188">
        <f t="shared" si="108"/>
        <v>0.61746424352943619</v>
      </c>
      <c r="AO152" s="74">
        <f t="shared" si="119"/>
        <v>1.1425815657110818</v>
      </c>
      <c r="AP152" s="73">
        <f t="shared" si="109"/>
        <v>0.95774238875175077</v>
      </c>
      <c r="AQ152" s="206">
        <f t="shared" si="110"/>
        <v>1.835672911774189</v>
      </c>
      <c r="AR152" s="206">
        <f t="shared" si="111"/>
        <v>4.7390927326794205</v>
      </c>
      <c r="AS152" s="71">
        <f t="shared" si="112"/>
        <v>0.24000000000000002</v>
      </c>
      <c r="AT152" s="74">
        <f t="shared" si="113"/>
        <v>3.6299999999999995E-5</v>
      </c>
      <c r="AU152" s="73">
        <f t="shared" si="120"/>
        <v>38.565472805536317</v>
      </c>
      <c r="AV152" s="71">
        <f t="shared" si="121"/>
        <v>310.3</v>
      </c>
      <c r="AW152" s="74">
        <f t="shared" si="122"/>
        <v>88.945460123813007</v>
      </c>
    </row>
    <row r="153" spans="17:49" x14ac:dyDescent="0.25">
      <c r="Q153">
        <v>146</v>
      </c>
      <c r="R153" s="73">
        <f t="shared" si="96"/>
        <v>53.5</v>
      </c>
      <c r="S153" s="71">
        <f t="shared" si="97"/>
        <v>5.84</v>
      </c>
      <c r="T153" s="71">
        <f t="shared" si="98"/>
        <v>11</v>
      </c>
      <c r="U153" s="74">
        <f t="shared" si="99"/>
        <v>28.403636363636362</v>
      </c>
      <c r="V153" s="73">
        <f>IF(Variable_Management!$B$20=3,2,IF((S153*R153/T153)&lt;((T153*(1-(T153/R153)))/(2*Lm*Fsw)),1,2))</f>
        <v>2</v>
      </c>
      <c r="W153" s="71">
        <f t="shared" si="100"/>
        <v>0.79439252336448596</v>
      </c>
      <c r="X153" s="74">
        <f t="shared" si="101"/>
        <v>0.20560747663551404</v>
      </c>
      <c r="Y153" s="73">
        <f t="shared" si="102"/>
        <v>5.3282425347617979</v>
      </c>
      <c r="Z153" s="71">
        <f t="shared" si="124"/>
        <v>31.067757631017262</v>
      </c>
      <c r="AA153" s="71">
        <f t="shared" si="125"/>
        <v>28.445252785894809</v>
      </c>
      <c r="AB153" s="71">
        <v>0</v>
      </c>
      <c r="AC153" s="71">
        <f t="shared" si="103"/>
        <v>1.8610045339229497</v>
      </c>
      <c r="AD153" s="74">
        <f t="shared" si="114"/>
        <v>1.8610045339229497</v>
      </c>
      <c r="AE153" s="73">
        <f t="shared" si="123"/>
        <v>22.563636363636363</v>
      </c>
      <c r="AF153" s="71">
        <f t="shared" si="115"/>
        <v>25.352884131411621</v>
      </c>
      <c r="AG153" s="71">
        <f t="shared" si="104"/>
        <v>2.0568599480985061</v>
      </c>
      <c r="AH153" s="71">
        <f t="shared" si="105"/>
        <v>25.963644797232011</v>
      </c>
      <c r="AI153" s="74">
        <f t="shared" si="116"/>
        <v>28.020504745330516</v>
      </c>
      <c r="AJ153" s="73">
        <f t="shared" si="117"/>
        <v>5.8400000000000007</v>
      </c>
      <c r="AK153" s="71">
        <f t="shared" si="106"/>
        <v>12.898204226661683</v>
      </c>
      <c r="AL153" s="71">
        <f t="shared" si="107"/>
        <v>0.53236375127255464</v>
      </c>
      <c r="AM153" s="71">
        <f t="shared" si="118"/>
        <v>0</v>
      </c>
      <c r="AN153" s="188">
        <f t="shared" si="108"/>
        <v>0.62135515262034524</v>
      </c>
      <c r="AO153" s="74">
        <f t="shared" si="119"/>
        <v>1.1537189038928999</v>
      </c>
      <c r="AP153" s="73">
        <f t="shared" si="109"/>
        <v>0.97095888726414759</v>
      </c>
      <c r="AQ153" s="206">
        <f t="shared" si="110"/>
        <v>1.8610045339229497</v>
      </c>
      <c r="AR153" s="206">
        <f t="shared" si="111"/>
        <v>4.7390927326794205</v>
      </c>
      <c r="AS153" s="71">
        <f t="shared" si="112"/>
        <v>0.24000000000000002</v>
      </c>
      <c r="AT153" s="74">
        <f t="shared" si="113"/>
        <v>3.6299999999999995E-5</v>
      </c>
      <c r="AU153" s="73">
        <f t="shared" si="120"/>
        <v>38.84632063701288</v>
      </c>
      <c r="AV153" s="71">
        <f t="shared" si="121"/>
        <v>312.44</v>
      </c>
      <c r="AW153" s="74">
        <f t="shared" si="122"/>
        <v>88.941692757472012</v>
      </c>
    </row>
    <row r="154" spans="17:49" x14ac:dyDescent="0.25">
      <c r="Q154">
        <v>147</v>
      </c>
      <c r="R154" s="73">
        <f t="shared" si="96"/>
        <v>53.5</v>
      </c>
      <c r="S154" s="71">
        <f t="shared" si="97"/>
        <v>5.88</v>
      </c>
      <c r="T154" s="71">
        <f t="shared" si="98"/>
        <v>11</v>
      </c>
      <c r="U154" s="74">
        <f t="shared" si="99"/>
        <v>28.598181818181818</v>
      </c>
      <c r="V154" s="73">
        <f>IF(Variable_Management!$B$20=3,2,IF((S154*R154/T154)&lt;((T154*(1-(T154/R154)))/(2*Lm*Fsw)),1,2))</f>
        <v>2</v>
      </c>
      <c r="W154" s="71">
        <f t="shared" si="100"/>
        <v>0.79439252336448596</v>
      </c>
      <c r="X154" s="74">
        <f t="shared" si="101"/>
        <v>0.20560747663551404</v>
      </c>
      <c r="Y154" s="73">
        <f t="shared" si="102"/>
        <v>5.3282425347617979</v>
      </c>
      <c r="Z154" s="71">
        <f t="shared" si="124"/>
        <v>31.262303085562717</v>
      </c>
      <c r="AA154" s="71">
        <f t="shared" si="125"/>
        <v>28.639515545510811</v>
      </c>
      <c r="AB154" s="71">
        <v>0</v>
      </c>
      <c r="AC154" s="71">
        <f t="shared" si="103"/>
        <v>1.8865102565675775</v>
      </c>
      <c r="AD154" s="74">
        <f t="shared" si="114"/>
        <v>1.8865102565675775</v>
      </c>
      <c r="AE154" s="73">
        <f t="shared" si="123"/>
        <v>22.718181818181819</v>
      </c>
      <c r="AF154" s="71">
        <f t="shared" si="115"/>
        <v>25.526028004403848</v>
      </c>
      <c r="AG154" s="71">
        <f t="shared" si="104"/>
        <v>2.0850499381811503</v>
      </c>
      <c r="AH154" s="71">
        <f t="shared" si="105"/>
        <v>26.141477980774699</v>
      </c>
      <c r="AI154" s="74">
        <f t="shared" si="116"/>
        <v>28.226527918955849</v>
      </c>
      <c r="AJ154" s="73">
        <f t="shared" si="117"/>
        <v>5.8800000000000008</v>
      </c>
      <c r="AK154" s="71">
        <f t="shared" si="106"/>
        <v>12.986290655916569</v>
      </c>
      <c r="AL154" s="71">
        <f t="shared" si="107"/>
        <v>0.53965998399982718</v>
      </c>
      <c r="AM154" s="71">
        <f t="shared" si="118"/>
        <v>0</v>
      </c>
      <c r="AN154" s="188">
        <f t="shared" si="108"/>
        <v>0.62524606171125441</v>
      </c>
      <c r="AO154" s="74">
        <f t="shared" si="119"/>
        <v>1.1649060457110816</v>
      </c>
      <c r="AP154" s="73">
        <f t="shared" si="109"/>
        <v>0.98426622081786641</v>
      </c>
      <c r="AQ154" s="206">
        <f t="shared" si="110"/>
        <v>1.8865102565675775</v>
      </c>
      <c r="AR154" s="206">
        <f t="shared" si="111"/>
        <v>4.7390927326794205</v>
      </c>
      <c r="AS154" s="71">
        <f t="shared" si="112"/>
        <v>0.24000000000000002</v>
      </c>
      <c r="AT154" s="74">
        <f t="shared" si="113"/>
        <v>3.6299999999999995E-5</v>
      </c>
      <c r="AU154" s="73">
        <f t="shared" si="120"/>
        <v>39.127849731299364</v>
      </c>
      <c r="AV154" s="71">
        <f t="shared" si="121"/>
        <v>314.58</v>
      </c>
      <c r="AW154" s="74">
        <f t="shared" si="122"/>
        <v>88.937805660512325</v>
      </c>
    </row>
    <row r="155" spans="17:49" x14ac:dyDescent="0.25">
      <c r="Q155">
        <v>148</v>
      </c>
      <c r="R155" s="73">
        <f t="shared" si="96"/>
        <v>53.5</v>
      </c>
      <c r="S155" s="71">
        <f t="shared" si="97"/>
        <v>5.92</v>
      </c>
      <c r="T155" s="71">
        <f t="shared" si="98"/>
        <v>11</v>
      </c>
      <c r="U155" s="74">
        <f t="shared" si="99"/>
        <v>28.792727272727269</v>
      </c>
      <c r="V155" s="73">
        <f>IF(Variable_Management!$B$20=3,2,IF((S155*R155/T155)&lt;((T155*(1-(T155/R155)))/(2*Lm*Fsw)),1,2))</f>
        <v>2</v>
      </c>
      <c r="W155" s="71">
        <f t="shared" si="100"/>
        <v>0.79439252336448596</v>
      </c>
      <c r="X155" s="74">
        <f t="shared" si="101"/>
        <v>0.20560747663551404</v>
      </c>
      <c r="Y155" s="73">
        <f t="shared" si="102"/>
        <v>5.3282425347617979</v>
      </c>
      <c r="Z155" s="71">
        <f t="shared" si="124"/>
        <v>31.456848540108169</v>
      </c>
      <c r="AA155" s="71">
        <f t="shared" si="125"/>
        <v>28.833782117117813</v>
      </c>
      <c r="AB155" s="71">
        <v>0</v>
      </c>
      <c r="AC155" s="71">
        <f t="shared" si="103"/>
        <v>1.9121900797080731</v>
      </c>
      <c r="AD155" s="74">
        <f t="shared" si="114"/>
        <v>1.9121900797080731</v>
      </c>
      <c r="AE155" s="73">
        <f t="shared" si="123"/>
        <v>22.872727272727268</v>
      </c>
      <c r="AF155" s="71">
        <f t="shared" si="115"/>
        <v>25.699175274974113</v>
      </c>
      <c r="AG155" s="71">
        <f t="shared" si="104"/>
        <v>2.1134323514042905</v>
      </c>
      <c r="AH155" s="71">
        <f t="shared" si="105"/>
        <v>26.31931116431738</v>
      </c>
      <c r="AI155" s="74">
        <f t="shared" si="116"/>
        <v>28.432743515721672</v>
      </c>
      <c r="AJ155" s="73">
        <f t="shared" si="117"/>
        <v>5.92</v>
      </c>
      <c r="AK155" s="71">
        <f t="shared" si="106"/>
        <v>13.074378813679155</v>
      </c>
      <c r="AL155" s="71">
        <f t="shared" si="107"/>
        <v>0.54700602036346357</v>
      </c>
      <c r="AM155" s="71">
        <f t="shared" si="118"/>
        <v>0</v>
      </c>
      <c r="AN155" s="188">
        <f t="shared" si="108"/>
        <v>0.62913697080216335</v>
      </c>
      <c r="AO155" s="74">
        <f t="shared" si="119"/>
        <v>1.1761429911656269</v>
      </c>
      <c r="AP155" s="73">
        <f t="shared" si="109"/>
        <v>0.99766438941290758</v>
      </c>
      <c r="AQ155" s="206">
        <f t="shared" si="110"/>
        <v>1.9121900797080731</v>
      </c>
      <c r="AR155" s="206">
        <f t="shared" si="111"/>
        <v>4.7390927326794205</v>
      </c>
      <c r="AS155" s="71">
        <f t="shared" si="112"/>
        <v>0.24000000000000002</v>
      </c>
      <c r="AT155" s="74">
        <f t="shared" si="113"/>
        <v>3.6299999999999995E-5</v>
      </c>
      <c r="AU155" s="73">
        <f t="shared" si="120"/>
        <v>39.410060088395781</v>
      </c>
      <c r="AV155" s="71">
        <f t="shared" si="121"/>
        <v>316.71999999999997</v>
      </c>
      <c r="AW155" s="74">
        <f t="shared" si="122"/>
        <v>88.933801297589511</v>
      </c>
    </row>
    <row r="156" spans="17:49" x14ac:dyDescent="0.25">
      <c r="Q156">
        <v>149</v>
      </c>
      <c r="R156" s="73">
        <f t="shared" si="96"/>
        <v>53.5</v>
      </c>
      <c r="S156" s="71">
        <f t="shared" si="97"/>
        <v>5.96</v>
      </c>
      <c r="T156" s="71">
        <f t="shared" si="98"/>
        <v>11</v>
      </c>
      <c r="U156" s="74">
        <f t="shared" si="99"/>
        <v>28.987272727272728</v>
      </c>
      <c r="V156" s="73">
        <f>IF(Variable_Management!$B$20=3,2,IF((S156*R156/T156)&lt;((T156*(1-(T156/R156)))/(2*Lm*Fsw)),1,2))</f>
        <v>2</v>
      </c>
      <c r="W156" s="71">
        <f t="shared" si="100"/>
        <v>0.79439252336448596</v>
      </c>
      <c r="X156" s="74">
        <f t="shared" si="101"/>
        <v>0.20560747663551404</v>
      </c>
      <c r="Y156" s="73">
        <f t="shared" si="102"/>
        <v>5.3282425347617979</v>
      </c>
      <c r="Z156" s="71">
        <f t="shared" si="124"/>
        <v>31.651393994653628</v>
      </c>
      <c r="AA156" s="71">
        <f t="shared" si="125"/>
        <v>29.028052424182022</v>
      </c>
      <c r="AB156" s="71">
        <v>0</v>
      </c>
      <c r="AC156" s="71">
        <f t="shared" si="103"/>
        <v>1.9380440033444375</v>
      </c>
      <c r="AD156" s="74">
        <f t="shared" si="114"/>
        <v>1.9380440033444375</v>
      </c>
      <c r="AE156" s="73">
        <f t="shared" si="123"/>
        <v>23.027272727272727</v>
      </c>
      <c r="AF156" s="71">
        <f t="shared" si="115"/>
        <v>25.872325874908839</v>
      </c>
      <c r="AG156" s="71">
        <f t="shared" si="104"/>
        <v>2.1420071877679279</v>
      </c>
      <c r="AH156" s="71">
        <f t="shared" si="105"/>
        <v>26.497144347860065</v>
      </c>
      <c r="AI156" s="74">
        <f t="shared" si="116"/>
        <v>28.639151535627992</v>
      </c>
      <c r="AJ156" s="73">
        <f t="shared" si="117"/>
        <v>5.9600000000000009</v>
      </c>
      <c r="AK156" s="71">
        <f t="shared" si="106"/>
        <v>13.162468665245983</v>
      </c>
      <c r="AL156" s="71">
        <f t="shared" si="107"/>
        <v>0.55440186036346362</v>
      </c>
      <c r="AM156" s="71">
        <f t="shared" si="118"/>
        <v>0</v>
      </c>
      <c r="AN156" s="188">
        <f t="shared" si="108"/>
        <v>0.63302787989307252</v>
      </c>
      <c r="AO156" s="74">
        <f t="shared" si="119"/>
        <v>1.1874297402565361</v>
      </c>
      <c r="AP156" s="73">
        <f t="shared" si="109"/>
        <v>1.0111533930492718</v>
      </c>
      <c r="AQ156" s="206">
        <f t="shared" si="110"/>
        <v>1.9380440033444375</v>
      </c>
      <c r="AR156" s="206">
        <f t="shared" si="111"/>
        <v>4.7390927326794205</v>
      </c>
      <c r="AS156" s="71">
        <f t="shared" si="112"/>
        <v>0.24000000000000002</v>
      </c>
      <c r="AT156" s="74">
        <f t="shared" si="113"/>
        <v>3.6299999999999995E-5</v>
      </c>
      <c r="AU156" s="73">
        <f t="shared" si="120"/>
        <v>39.69295170830209</v>
      </c>
      <c r="AV156" s="71">
        <f t="shared" si="121"/>
        <v>318.86</v>
      </c>
      <c r="AW156" s="74">
        <f t="shared" si="122"/>
        <v>88.929682068105251</v>
      </c>
    </row>
    <row r="157" spans="17:49" ht="15.75" thickBot="1" x14ac:dyDescent="0.3">
      <c r="Q157">
        <v>150</v>
      </c>
      <c r="R157" s="75">
        <f t="shared" si="96"/>
        <v>53.5</v>
      </c>
      <c r="S157" s="76">
        <f t="shared" si="97"/>
        <v>6</v>
      </c>
      <c r="T157" s="76">
        <f t="shared" si="98"/>
        <v>11</v>
      </c>
      <c r="U157" s="77">
        <f t="shared" si="99"/>
        <v>29.181818181818183</v>
      </c>
      <c r="V157" s="73">
        <f>IF(Variable_Management!$B$20=3,2,IF((S157*R157/T157)&lt;((T157*(1-(T157/R157)))/(2*Lm*Fsw)),1,2))</f>
        <v>2</v>
      </c>
      <c r="W157" s="76">
        <f t="shared" si="100"/>
        <v>0.79439252336448596</v>
      </c>
      <c r="X157" s="74">
        <f t="shared" si="101"/>
        <v>0.20560747663551404</v>
      </c>
      <c r="Y157" s="75">
        <f t="shared" si="102"/>
        <v>5.3282425347617979</v>
      </c>
      <c r="Z157" s="76">
        <f t="shared" si="124"/>
        <v>31.845939449199083</v>
      </c>
      <c r="AA157" s="76">
        <f t="shared" si="125"/>
        <v>29.222326392203353</v>
      </c>
      <c r="AB157" s="76">
        <v>0</v>
      </c>
      <c r="AC157" s="76">
        <f t="shared" si="103"/>
        <v>1.9640720274766685</v>
      </c>
      <c r="AD157" s="77">
        <f t="shared" si="114"/>
        <v>1.9640720274766685</v>
      </c>
      <c r="AE157" s="75">
        <f t="shared" si="123"/>
        <v>23.181818181818183</v>
      </c>
      <c r="AF157" s="71">
        <f t="shared" si="115"/>
        <v>26.045479737807074</v>
      </c>
      <c r="AG157" s="76">
        <f t="shared" si="104"/>
        <v>2.1707744472720605</v>
      </c>
      <c r="AH157" s="76">
        <f t="shared" si="105"/>
        <v>26.674977531402753</v>
      </c>
      <c r="AI157" s="77">
        <f t="shared" si="116"/>
        <v>28.845751978674812</v>
      </c>
      <c r="AJ157" s="75">
        <f>X157*U157</f>
        <v>6.0000000000000009</v>
      </c>
      <c r="AK157" s="76">
        <f t="shared" si="106"/>
        <v>13.250560176835773</v>
      </c>
      <c r="AL157" s="71">
        <f t="shared" si="107"/>
        <v>0.56184750399982741</v>
      </c>
      <c r="AM157" s="71">
        <f t="shared" si="118"/>
        <v>0</v>
      </c>
      <c r="AN157" s="188">
        <f t="shared" si="108"/>
        <v>0.63691878898398169</v>
      </c>
      <c r="AO157" s="74">
        <f t="shared" si="119"/>
        <v>1.1987662929838092</v>
      </c>
      <c r="AP157" s="73">
        <f t="shared" si="109"/>
        <v>1.0247332317269575</v>
      </c>
      <c r="AQ157" s="206">
        <f t="shared" si="110"/>
        <v>1.9640720274766685</v>
      </c>
      <c r="AR157" s="206">
        <f t="shared" si="111"/>
        <v>4.7390927326794205</v>
      </c>
      <c r="AS157" s="71">
        <f t="shared" si="112"/>
        <v>0.24000000000000002</v>
      </c>
      <c r="AT157" s="77">
        <f t="shared" si="113"/>
        <v>3.6299999999999995E-5</v>
      </c>
      <c r="AU157" s="73">
        <f t="shared" si="120"/>
        <v>39.976524591018332</v>
      </c>
      <c r="AV157" s="76">
        <f t="shared" si="121"/>
        <v>321</v>
      </c>
      <c r="AW157" s="77">
        <f>(AV157/(AV157+AU157))*100</f>
        <v>88.925450308351429</v>
      </c>
    </row>
  </sheetData>
  <mergeCells count="7">
    <mergeCell ref="AP5:AT5"/>
    <mergeCell ref="A1:M1"/>
    <mergeCell ref="R5:U5"/>
    <mergeCell ref="V5:X5"/>
    <mergeCell ref="Y5:AD5"/>
    <mergeCell ref="AE5:AI5"/>
    <mergeCell ref="AJ5:AO5"/>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M708"/>
  <sheetViews>
    <sheetView zoomScale="85" zoomScaleNormal="85" workbookViewId="0">
      <selection activeCell="M37" sqref="M37"/>
    </sheetView>
  </sheetViews>
  <sheetFormatPr baseColWidth="10" defaultColWidth="9.140625" defaultRowHeight="15" x14ac:dyDescent="0.25"/>
  <cols>
    <col min="1" max="1" width="18.7109375" customWidth="1"/>
    <col min="2" max="2" width="25" customWidth="1"/>
    <col min="8" max="9" width="8.85546875"/>
    <col min="10" max="10" width="12.7109375" bestFit="1" customWidth="1"/>
    <col min="14" max="14" width="17.85546875" customWidth="1"/>
    <col min="15" max="15" width="16.5703125" style="34" bestFit="1" customWidth="1"/>
    <col min="16" max="16" width="16.5703125" customWidth="1"/>
    <col min="29" max="29" width="8.85546875"/>
    <col min="32" max="37" width="8.7109375"/>
    <col min="38" max="38" width="11.42578125" bestFit="1" customWidth="1"/>
    <col min="39" max="40" width="8.7109375"/>
    <col min="41" max="41" width="13.140625" bestFit="1" customWidth="1"/>
    <col min="42" max="44" width="8.7109375"/>
    <col min="46" max="46" width="10.140625" customWidth="1"/>
    <col min="47" max="47" width="12" bestFit="1" customWidth="1"/>
    <col min="55" max="55" width="8.85546875"/>
    <col min="58" max="58" width="8.85546875"/>
  </cols>
  <sheetData>
    <row r="1" spans="1:65" ht="27.75" x14ac:dyDescent="0.4">
      <c r="A1" s="213" t="s">
        <v>15</v>
      </c>
      <c r="B1" s="213"/>
      <c r="C1" s="213"/>
      <c r="D1" s="213"/>
      <c r="E1" s="213"/>
      <c r="F1" s="213"/>
      <c r="G1" s="213"/>
      <c r="H1" s="213"/>
      <c r="I1" s="213"/>
      <c r="J1" s="213"/>
      <c r="K1" s="213"/>
      <c r="L1" s="213"/>
      <c r="M1" s="213"/>
      <c r="N1" s="213" t="s">
        <v>194</v>
      </c>
      <c r="O1" s="213"/>
      <c r="P1" s="213"/>
      <c r="Q1" s="213"/>
      <c r="R1" s="213"/>
      <c r="S1" s="213"/>
      <c r="T1" s="213"/>
      <c r="U1" s="213"/>
      <c r="V1" s="213"/>
      <c r="W1" s="213"/>
      <c r="X1" s="213"/>
    </row>
    <row r="2" spans="1:65" x14ac:dyDescent="0.25">
      <c r="A2" s="5"/>
      <c r="B2" s="5" t="s">
        <v>16</v>
      </c>
      <c r="C2" s="6"/>
      <c r="D2" s="4"/>
      <c r="E2" s="5"/>
      <c r="F2" s="5"/>
      <c r="G2" s="5"/>
      <c r="H2" s="5"/>
      <c r="I2" s="5"/>
      <c r="J2" s="5"/>
      <c r="K2" s="5"/>
      <c r="L2" s="5"/>
      <c r="M2" s="5"/>
      <c r="O2"/>
    </row>
    <row r="3" spans="1:65" ht="15.75" thickBot="1" x14ac:dyDescent="0.3">
      <c r="A3" s="5"/>
      <c r="B3" s="5" t="s">
        <v>17</v>
      </c>
      <c r="C3" s="7"/>
      <c r="D3" s="4"/>
      <c r="E3" s="5"/>
      <c r="F3" s="14"/>
      <c r="G3" s="15"/>
      <c r="H3" s="15"/>
      <c r="I3" s="15"/>
      <c r="J3" s="15"/>
      <c r="K3" s="24"/>
      <c r="L3" s="5"/>
      <c r="M3" s="5"/>
      <c r="O3" t="s">
        <v>481</v>
      </c>
    </row>
    <row r="4" spans="1:65" ht="15.75" thickBot="1" x14ac:dyDescent="0.3">
      <c r="A4" s="5"/>
      <c r="B4" s="5" t="s">
        <v>18</v>
      </c>
      <c r="C4" s="8"/>
      <c r="D4" s="4"/>
      <c r="E4" s="5"/>
      <c r="F4" s="14"/>
      <c r="G4" s="15"/>
      <c r="H4" s="15"/>
      <c r="I4" s="15"/>
      <c r="J4" s="15"/>
      <c r="K4" s="24"/>
      <c r="L4" s="5"/>
      <c r="M4" s="5"/>
      <c r="N4" s="177"/>
      <c r="O4" s="67"/>
      <c r="P4" s="224" t="s">
        <v>454</v>
      </c>
      <c r="Q4" s="224"/>
      <c r="R4" s="224"/>
      <c r="S4" s="224"/>
      <c r="T4" s="224"/>
      <c r="U4" s="224"/>
      <c r="V4" s="224"/>
      <c r="W4" s="224"/>
      <c r="X4" s="224"/>
      <c r="Y4" s="224"/>
      <c r="Z4" s="224"/>
      <c r="AA4" s="224"/>
      <c r="AB4" s="224"/>
      <c r="AC4" s="224"/>
      <c r="AD4" s="224"/>
      <c r="AE4" s="225"/>
      <c r="AF4" s="223" t="s">
        <v>571</v>
      </c>
      <c r="AG4" s="224"/>
      <c r="AH4" s="224"/>
      <c r="AI4" s="224"/>
      <c r="AJ4" s="224"/>
      <c r="AK4" s="224"/>
      <c r="AL4" s="224"/>
      <c r="AM4" s="224"/>
      <c r="AN4" s="224"/>
      <c r="AO4" s="224"/>
      <c r="AP4" s="224"/>
      <c r="AQ4" s="224"/>
      <c r="AR4" s="225"/>
      <c r="AS4" s="223" t="s">
        <v>225</v>
      </c>
      <c r="AT4" s="224"/>
      <c r="AU4" s="224"/>
      <c r="AV4" s="224"/>
      <c r="AW4" s="224"/>
      <c r="AX4" s="224"/>
      <c r="AY4" s="224"/>
      <c r="AZ4" s="224"/>
      <c r="BA4" s="224"/>
      <c r="BB4" s="224"/>
      <c r="BC4" s="224"/>
      <c r="BD4" s="224"/>
      <c r="BE4" s="225"/>
      <c r="BF4" s="223" t="s">
        <v>484</v>
      </c>
      <c r="BG4" s="224"/>
      <c r="BH4" s="225"/>
      <c r="BI4" s="223" t="s">
        <v>485</v>
      </c>
      <c r="BJ4" s="224"/>
      <c r="BK4" s="225"/>
      <c r="BL4" s="233" t="s">
        <v>486</v>
      </c>
      <c r="BM4" s="234"/>
    </row>
    <row r="5" spans="1:65" ht="15.75" thickBot="1" x14ac:dyDescent="0.3">
      <c r="A5" s="5"/>
      <c r="D5" s="4"/>
      <c r="E5" s="5"/>
      <c r="F5" s="5"/>
      <c r="G5" s="5"/>
      <c r="H5" s="5"/>
      <c r="I5" s="5"/>
      <c r="J5" s="5"/>
      <c r="K5" s="5"/>
      <c r="L5" s="5"/>
      <c r="M5" s="5"/>
      <c r="N5" s="178"/>
      <c r="O5" s="43"/>
      <c r="Q5" s="229" t="s">
        <v>217</v>
      </c>
      <c r="R5" s="229"/>
      <c r="S5" s="229"/>
      <c r="T5" s="227" t="s">
        <v>219</v>
      </c>
      <c r="U5" s="227"/>
      <c r="V5" s="227"/>
      <c r="W5" s="227" t="s">
        <v>219</v>
      </c>
      <c r="X5" s="227"/>
      <c r="Y5" s="227"/>
      <c r="Z5" s="227" t="s">
        <v>222</v>
      </c>
      <c r="AA5" s="227"/>
      <c r="AB5" s="227"/>
      <c r="AC5" s="226" t="s">
        <v>224</v>
      </c>
      <c r="AD5" s="227"/>
      <c r="AE5" s="228"/>
      <c r="AF5" s="153"/>
      <c r="AG5" s="229" t="s">
        <v>217</v>
      </c>
      <c r="AH5" s="229"/>
      <c r="AI5" s="229"/>
      <c r="AJ5" s="230" t="s">
        <v>219</v>
      </c>
      <c r="AK5" s="230"/>
      <c r="AL5" s="230"/>
      <c r="AM5" s="227" t="s">
        <v>258</v>
      </c>
      <c r="AN5" s="227"/>
      <c r="AO5" s="227"/>
      <c r="AP5" s="231" t="s">
        <v>224</v>
      </c>
      <c r="AQ5" s="230"/>
      <c r="AR5" s="232"/>
      <c r="AT5" s="227" t="s">
        <v>231</v>
      </c>
      <c r="AU5" s="227"/>
      <c r="AV5" s="227"/>
      <c r="AW5" s="227" t="s">
        <v>232</v>
      </c>
      <c r="AX5" s="227"/>
      <c r="AY5" s="227"/>
      <c r="AZ5" s="227" t="s">
        <v>226</v>
      </c>
      <c r="BA5" s="227"/>
      <c r="BB5" s="227"/>
      <c r="BC5" s="226" t="s">
        <v>224</v>
      </c>
      <c r="BD5" s="227"/>
      <c r="BE5" s="228"/>
      <c r="BF5" s="226" t="s">
        <v>224</v>
      </c>
      <c r="BG5" s="227"/>
      <c r="BH5" s="228"/>
      <c r="BI5" s="226" t="s">
        <v>224</v>
      </c>
      <c r="BJ5" s="227"/>
      <c r="BK5" s="228"/>
      <c r="BL5" s="226" t="s">
        <v>224</v>
      </c>
      <c r="BM5" s="228"/>
    </row>
    <row r="6" spans="1:65" ht="15.75" thickBot="1" x14ac:dyDescent="0.3">
      <c r="A6" s="9" t="s">
        <v>19</v>
      </c>
      <c r="B6" s="9" t="s">
        <v>20</v>
      </c>
      <c r="C6" s="9" t="s">
        <v>21</v>
      </c>
      <c r="D6" s="4"/>
      <c r="E6" s="214" t="s">
        <v>22</v>
      </c>
      <c r="F6" s="214"/>
      <c r="G6" s="214"/>
      <c r="H6" s="214"/>
      <c r="I6" s="214"/>
      <c r="J6" s="214"/>
      <c r="K6" s="214"/>
      <c r="L6" s="5"/>
      <c r="M6" s="9"/>
      <c r="N6" s="178"/>
      <c r="O6" s="43"/>
      <c r="P6" s="65" t="s">
        <v>200</v>
      </c>
      <c r="Q6" s="62" t="s">
        <v>223</v>
      </c>
      <c r="R6" s="64" t="s">
        <v>220</v>
      </c>
      <c r="S6" s="64" t="s">
        <v>221</v>
      </c>
      <c r="T6" s="64" t="s">
        <v>223</v>
      </c>
      <c r="U6" s="64" t="s">
        <v>220</v>
      </c>
      <c r="V6" s="64" t="s">
        <v>221</v>
      </c>
      <c r="W6" s="64" t="s">
        <v>223</v>
      </c>
      <c r="X6" s="64" t="s">
        <v>220</v>
      </c>
      <c r="Y6" s="64" t="s">
        <v>221</v>
      </c>
      <c r="Z6" s="64" t="s">
        <v>223</v>
      </c>
      <c r="AA6" s="64" t="s">
        <v>220</v>
      </c>
      <c r="AB6" s="64" t="s">
        <v>221</v>
      </c>
      <c r="AC6" s="65" t="s">
        <v>235</v>
      </c>
      <c r="AD6" s="64" t="s">
        <v>220</v>
      </c>
      <c r="AE6" s="181" t="s">
        <v>221</v>
      </c>
      <c r="AF6" s="182" t="s">
        <v>200</v>
      </c>
      <c r="AG6" s="183" t="s">
        <v>223</v>
      </c>
      <c r="AH6" s="183" t="s">
        <v>234</v>
      </c>
      <c r="AI6" s="183" t="s">
        <v>221</v>
      </c>
      <c r="AJ6" s="183" t="s">
        <v>223</v>
      </c>
      <c r="AK6" s="183" t="s">
        <v>234</v>
      </c>
      <c r="AL6" s="183" t="s">
        <v>221</v>
      </c>
      <c r="AM6" s="183" t="s">
        <v>223</v>
      </c>
      <c r="AN6" s="183" t="s">
        <v>234</v>
      </c>
      <c r="AO6" s="183" t="s">
        <v>221</v>
      </c>
      <c r="AP6" s="65" t="s">
        <v>235</v>
      </c>
      <c r="AQ6" s="64" t="s">
        <v>220</v>
      </c>
      <c r="AR6" s="181" t="s">
        <v>221</v>
      </c>
      <c r="AS6" s="65" t="s">
        <v>233</v>
      </c>
      <c r="AT6" s="64" t="s">
        <v>223</v>
      </c>
      <c r="AU6" s="64" t="s">
        <v>234</v>
      </c>
      <c r="AV6" s="64" t="s">
        <v>221</v>
      </c>
      <c r="AW6" s="64" t="s">
        <v>223</v>
      </c>
      <c r="AX6" s="64" t="s">
        <v>234</v>
      </c>
      <c r="AY6" s="64" t="s">
        <v>221</v>
      </c>
      <c r="AZ6" s="64" t="s">
        <v>223</v>
      </c>
      <c r="BA6" s="64" t="s">
        <v>234</v>
      </c>
      <c r="BB6" s="64" t="s">
        <v>221</v>
      </c>
      <c r="BC6" s="65" t="s">
        <v>235</v>
      </c>
      <c r="BD6" s="64" t="s">
        <v>220</v>
      </c>
      <c r="BE6" s="181" t="s">
        <v>221</v>
      </c>
      <c r="BF6" s="65" t="s">
        <v>235</v>
      </c>
      <c r="BG6" s="64" t="s">
        <v>220</v>
      </c>
      <c r="BH6" s="181" t="s">
        <v>221</v>
      </c>
      <c r="BI6" s="65" t="s">
        <v>235</v>
      </c>
      <c r="BJ6" s="64" t="s">
        <v>220</v>
      </c>
      <c r="BK6" s="181" t="s">
        <v>221</v>
      </c>
      <c r="BL6" s="65" t="s">
        <v>220</v>
      </c>
      <c r="BM6" s="181" t="s">
        <v>221</v>
      </c>
    </row>
    <row r="7" spans="1:65" ht="15.75" thickBot="1" x14ac:dyDescent="0.3">
      <c r="A7" s="9"/>
      <c r="B7" s="9"/>
      <c r="C7" s="9"/>
      <c r="D7" s="4"/>
      <c r="E7" s="5"/>
      <c r="F7" s="5"/>
      <c r="G7" s="5"/>
      <c r="H7" s="5"/>
      <c r="I7" s="5"/>
      <c r="J7" s="5"/>
      <c r="K7" s="5"/>
      <c r="L7" s="5"/>
      <c r="M7" s="9"/>
      <c r="N7" s="178" t="s">
        <v>397</v>
      </c>
      <c r="O7" s="67">
        <f>fcross</f>
        <v>12000</v>
      </c>
      <c r="P7" s="63" t="str">
        <f>COMPLEX(ADC_VINmin,0)</f>
        <v>66,7780509511648</v>
      </c>
      <c r="Q7" s="64" t="str">
        <f>IMSUM(COMPLEX(1,0),IMDIV(COMPLEX(0,2*PI()*O7),COMPLEX(wp_lf_VINmin,0)))</f>
        <v>1+293,857782138942i</v>
      </c>
      <c r="R7" s="64">
        <f t="shared" ref="R7:R13" si="0">IMABS(Q7)</f>
        <v>293.8594836373635</v>
      </c>
      <c r="S7" s="64">
        <f t="shared" ref="S7:S13" si="1">IMARGUMENT(Q7)</f>
        <v>1.5673933332359156</v>
      </c>
      <c r="T7" s="64" t="str">
        <f>IMSUM(COMPLEX(1,0),IMDIV(COMPLEX(0,2*PI()*O7),COMPLEX(wz_esr_VINmin,0)))</f>
        <v>1+0,075398223686155i</v>
      </c>
      <c r="U7" s="64">
        <f t="shared" ref="U7:U13" si="2">IMABS(T7)</f>
        <v>1.002838417759824</v>
      </c>
      <c r="V7" s="64">
        <f t="shared" ref="V7:V13" si="3">IMARGUMENT(T7)</f>
        <v>7.525583213693203E-2</v>
      </c>
      <c r="W7" s="62" t="str">
        <f>IMSUB(COMPLEX(1,0),IMDIV(COMPLEX(0,2*PI()*O7),COMPLEX(wz_RHP_VINmin,0)))</f>
        <v>1-0,164019177179088i</v>
      </c>
      <c r="X7" s="64">
        <f t="shared" ref="X7:X13" si="4">IMABS(W7)</f>
        <v>1.013361875384359</v>
      </c>
      <c r="Y7" s="64">
        <f t="shared" ref="Y7:Y13" si="5">IMARGUMENT(W7)</f>
        <v>-0.16257164101933236</v>
      </c>
      <c r="Z7" s="62" t="str">
        <f>IMSUM(COMPLEX(1,0),IMDIV(COMPLEX(0,2*PI()*O7),COMPLEX(Q_VINmin*(wsl_VINmin/2),0)),IMDIV(IMPOWER(COMPLEX(0,2*PI()*O7),2),IMPOWER(COMPLEX(wsl_VINmin/2,0),2)))</f>
        <v>0,999856+0,0322380255480523i</v>
      </c>
      <c r="AA7" s="64">
        <f t="shared" ref="AA7:AA13" si="6">IMABS(Z7)</f>
        <v>1.0003755849815792</v>
      </c>
      <c r="AB7" s="64">
        <f t="shared" ref="AB7:AB13" si="7">IMARGUMENT(Z7)</f>
        <v>3.2231502407993572E-2</v>
      </c>
      <c r="AC7" s="65" t="str">
        <f t="shared" ref="AC7:AC13" si="8">(IMDIV(IMPRODUCT(P7,T7,W7),IMPRODUCT(Q7,Z7)))</f>
        <v>-0,0267514664160837-0,229292923069168i</v>
      </c>
      <c r="AD7" s="66">
        <f t="shared" ref="AD7:AD13" si="9">20*LOG(IMABS(AC7))</f>
        <v>-12.733470631062074</v>
      </c>
      <c r="AE7" s="67">
        <f t="shared" ref="AE7:AE13" si="10">(180/PI())*IMARGUMENT(AC7)</f>
        <v>-96.654579220436418</v>
      </c>
      <c r="AF7" s="52" t="str">
        <f t="shared" ref="AF7:AF13" si="11">COMPLEX($B$72,0)</f>
        <v>223,849857273222</v>
      </c>
      <c r="AG7" s="55" t="str">
        <f t="shared" ref="AG7:AG13" si="12">IMSUM(COMPLEX(1,0),IMDIV(COMPLEX(0,2*PI()*O7),COMPLEX(wp_lf_DCM,0)))</f>
        <v>1+297,633179004157i</v>
      </c>
      <c r="AH7" s="55">
        <f>IMABS(AG7)</f>
        <v>297.63485891965098</v>
      </c>
      <c r="AI7" s="55">
        <f>IMARGUMENT(AG7)</f>
        <v>1.5674364989674727</v>
      </c>
      <c r="AJ7" s="55" t="str">
        <f t="shared" ref="AJ7:AJ13" si="13">IMSUM(COMPLEX(1,0),IMDIV(COMPLEX(0,2*PI()*O7),COMPLEX(wz1_dcm,0)))</f>
        <v>1+0,075398223686155i</v>
      </c>
      <c r="AK7" s="55">
        <f>IMABS(AJ7)</f>
        <v>1.002838417759824</v>
      </c>
      <c r="AL7" s="55">
        <f>IMARGUMENT(AJ7)</f>
        <v>7.525583213693203E-2</v>
      </c>
      <c r="AM7" s="55" t="str">
        <f t="shared" ref="AM7:AM13" si="14">IMSUB(COMPLEX(1,0),IMDIV(COMPLEX(0,2*PI()*O7),COMPLEX(wz2_dcm,0)))</f>
        <v>1-0,0495581915536752i</v>
      </c>
      <c r="AN7" s="55">
        <f>IMABS(AM7)</f>
        <v>1.0012272540987239</v>
      </c>
      <c r="AO7" s="55">
        <f>IMARGUMENT(AM7)</f>
        <v>-4.9517679359517737E-2</v>
      </c>
      <c r="AP7" s="52" t="str">
        <f>(IMDIV(IMPRODUCT(AF7,AJ7,AM7),IMPRODUCT(AG7)))</f>
        <v>0,0219704127580495-0,754836288420701i</v>
      </c>
      <c r="AQ7" s="55">
        <f>20*LOG(IMABS(AP7))</f>
        <v>-2.4392669320850113</v>
      </c>
      <c r="AR7" s="58">
        <f>(180/PI())*IMARGUMENT(AP7)</f>
        <v>-88.332808518989253</v>
      </c>
      <c r="AS7" s="39" t="str">
        <f t="shared" ref="AS7:AS13" si="15">COMPLEX(Adc_ea,0)</f>
        <v>-0,0000166666666666667</v>
      </c>
      <c r="AT7" s="39" t="str">
        <f t="shared" ref="AT7:AT13" si="16">COMPLEX(0,2*PI()*O7*wp0_ea)</f>
        <v>0,0000756244183572135i</v>
      </c>
      <c r="AU7" s="39">
        <f t="shared" ref="AU7:AU13" si="17">IMABS(AT7)</f>
        <v>7.5624418357213502E-5</v>
      </c>
      <c r="AV7" s="39">
        <f t="shared" ref="AV7:AV13" si="18">IMARGUMENT(AT7)</f>
        <v>1.5707963267948966</v>
      </c>
      <c r="AW7" s="39" t="str">
        <f t="shared" ref="AW7:AW13" si="19">IMSUM(COMPLEX(1,0),IMDIV(COMPLEX(0,2*PI()*O7),COMPLEX(wp1_ea,0)))</f>
        <v>1+0,0496139856758348i</v>
      </c>
      <c r="AX7" s="39">
        <f t="shared" ref="AX7:AX13" si="20">IMABS(AW7)</f>
        <v>1.001230017316022</v>
      </c>
      <c r="AY7" s="39">
        <f t="shared" ref="AY7:AY13" si="21">IMARGUMENT(AW7)</f>
        <v>4.957333663266273E-2</v>
      </c>
      <c r="AZ7" s="39" t="str">
        <f t="shared" ref="AZ7:AZ13" si="22">IMSUM(COMPLEX(1,0),IMDIV(COMPLEX(0,2*PI()*O7),COMPLEX(wz_ea,0)))</f>
        <v>1+16,5876092109541i</v>
      </c>
      <c r="BA7" s="39">
        <f t="shared" ref="BA7:BA13" si="23">IMABS(AZ7)</f>
        <v>16.617724854363466</v>
      </c>
      <c r="BB7" s="39">
        <f t="shared" ref="BB7:BB13" si="24">IMARGUMENT(AZ7)</f>
        <v>1.5105832390353575</v>
      </c>
      <c r="BC7" s="44" t="str">
        <f t="shared" ref="BC7:BC13" si="25">IMPRODUCT(AS7,IMDIV(AZ7,IMPRODUCT(AT7,AW7)))</f>
        <v>-3,63581553922392+0,400774670045224i</v>
      </c>
      <c r="BD7" s="39">
        <f t="shared" ref="BD7:BD13" si="26">20*LOG(IMABS(BC7))</f>
        <v>11.264488092841312</v>
      </c>
      <c r="BE7" s="45">
        <f t="shared" ref="BE7:BE13" si="27">(180/PI())*IMARGUMENT(BC7)</f>
        <v>173.7097012344947</v>
      </c>
      <c r="BF7" s="44" t="str">
        <f t="shared" ref="BF7:BF13" si="28">IMPRODUCT(AC7,BC7)</f>
        <v>0,189158192879375+0,822945462602824i</v>
      </c>
      <c r="BG7" s="46">
        <f t="shared" ref="BG7:BG13" si="29">20*LOG(IMABS(BF7))</f>
        <v>-1.4689825382207631</v>
      </c>
      <c r="BH7" s="45">
        <f t="shared" ref="BH7:BH13" si="30">(180/PI())*IMARGUMENT(BF7)</f>
        <v>77.055122014058284</v>
      </c>
      <c r="BI7" s="44" t="str">
        <f>IMPRODUCT(AP7,BC7)</f>
        <v>0,222638896321088+2,75325069193396i</v>
      </c>
      <c r="BJ7" s="46">
        <f t="shared" ref="BJ7:BJ13" si="31">20*LOG(IMABS(BI7))</f>
        <v>8.8252211607563016</v>
      </c>
      <c r="BK7" s="45">
        <f t="shared" ref="BK7:BK13" si="32">(180/PI())*IMARGUMENT(BI7)</f>
        <v>85.376892715505477</v>
      </c>
      <c r="BL7" s="41">
        <f>IF($B$31=0,BJ7,BG7)</f>
        <v>-1.4689825382207631</v>
      </c>
      <c r="BM7" s="43">
        <f>IF($B$31=0,BK7,BH7)</f>
        <v>77.055122014058284</v>
      </c>
    </row>
    <row r="8" spans="1:65" ht="15.75" thickBot="1" x14ac:dyDescent="0.3">
      <c r="A8" s="9"/>
      <c r="B8" s="9"/>
      <c r="C8" s="9"/>
      <c r="D8" s="4"/>
      <c r="E8" s="5"/>
      <c r="F8" s="5"/>
      <c r="G8" s="5"/>
      <c r="H8" s="5"/>
      <c r="I8" s="5"/>
      <c r="J8" s="5"/>
      <c r="K8" s="5"/>
      <c r="L8" s="5"/>
      <c r="M8" s="9"/>
      <c r="N8" s="177" t="s">
        <v>572</v>
      </c>
      <c r="O8" s="67">
        <f>fcross</f>
        <v>12000</v>
      </c>
      <c r="P8" s="63" t="str">
        <f t="shared" ref="P8:P13" si="33">COMPLEX(Adc,0)</f>
        <v>66,7780509511648</v>
      </c>
      <c r="Q8" s="64" t="str">
        <f t="shared" ref="Q8:Q13" si="34">IMSUM(COMPLEX(1,0),IMDIV(COMPLEX(0,2*PI()*O8),COMPLEX(wp_lf,0)))</f>
        <v>1+293,857782138942i</v>
      </c>
      <c r="R8" s="64">
        <f t="shared" si="0"/>
        <v>293.8594836373635</v>
      </c>
      <c r="S8" s="64">
        <f t="shared" si="1"/>
        <v>1.5673933332359156</v>
      </c>
      <c r="T8" s="64" t="str">
        <f t="shared" ref="T8:T13" si="35">IMSUM(COMPLEX(1,0),IMDIV(COMPLEX(0,2*PI()*O8),COMPLEX(wz_esr,0)))</f>
        <v>1+0,075398223686155i</v>
      </c>
      <c r="U8" s="64">
        <f t="shared" si="2"/>
        <v>1.002838417759824</v>
      </c>
      <c r="V8" s="64">
        <f t="shared" si="3"/>
        <v>7.525583213693203E-2</v>
      </c>
      <c r="W8" s="62" t="str">
        <f t="shared" ref="W8:W13" si="36">IMSUB(COMPLEX(1,0),IMDIV(COMPLEX(0,2*PI()*O8),COMPLEX(wz_rhp,0)))</f>
        <v>1-0,164019177179088i</v>
      </c>
      <c r="X8" s="64">
        <f t="shared" si="4"/>
        <v>1.013361875384359</v>
      </c>
      <c r="Y8" s="64">
        <f t="shared" si="5"/>
        <v>-0.16257164101933236</v>
      </c>
      <c r="Z8" s="62" t="str">
        <f t="shared" ref="Z8:Z13" si="37">IMSUM(COMPLEX(1,0),IMDIV(COMPLEX(0,2*PI()*O8),COMPLEX(Q*(wsl/2),0)),IMDIV(IMPOWER(COMPLEX(0,2*PI()*O8),2),IMPOWER(COMPLEX(wsl/2,0),2)))</f>
        <v>0,999856+0,0322380255480523i</v>
      </c>
      <c r="AA8" s="64">
        <f t="shared" si="6"/>
        <v>1.0003755849815792</v>
      </c>
      <c r="AB8" s="64">
        <f t="shared" si="7"/>
        <v>3.2231502407993572E-2</v>
      </c>
      <c r="AC8" s="65" t="str">
        <f t="shared" si="8"/>
        <v>-0,0267514664160837-0,229292923069168i</v>
      </c>
      <c r="AD8" s="66">
        <f t="shared" si="9"/>
        <v>-12.733470631062074</v>
      </c>
      <c r="AE8" s="67">
        <f t="shared" si="10"/>
        <v>-96.654579220436418</v>
      </c>
      <c r="AF8" s="41" t="str">
        <f t="shared" si="11"/>
        <v>223,849857273222</v>
      </c>
      <c r="AG8" t="str">
        <f t="shared" si="12"/>
        <v>1+297,633179004157i</v>
      </c>
      <c r="AH8">
        <f t="shared" ref="AH8:AH13" si="38">IMABS(AG8)</f>
        <v>297.63485891965098</v>
      </c>
      <c r="AI8">
        <f t="shared" ref="AI8:AI13" si="39">IMARGUMENT(AG8)</f>
        <v>1.5674364989674727</v>
      </c>
      <c r="AJ8" t="str">
        <f t="shared" si="13"/>
        <v>1+0,075398223686155i</v>
      </c>
      <c r="AK8">
        <f t="shared" ref="AK8:AK13" si="40">IMABS(AJ8)</f>
        <v>1.002838417759824</v>
      </c>
      <c r="AL8">
        <f t="shared" ref="AL8:AL13" si="41">IMARGUMENT(AJ8)</f>
        <v>7.525583213693203E-2</v>
      </c>
      <c r="AM8" t="str">
        <f t="shared" si="14"/>
        <v>1-0,0495581915536752i</v>
      </c>
      <c r="AN8">
        <f t="shared" ref="AN8:AN13" si="42">IMABS(AM8)</f>
        <v>1.0012272540987239</v>
      </c>
      <c r="AO8">
        <f t="shared" ref="AO8:AO13" si="43">IMARGUMENT(AM8)</f>
        <v>-4.9517679359517737E-2</v>
      </c>
      <c r="AP8" s="41" t="str">
        <f t="shared" ref="AP8:AP13" si="44">(IMDIV(IMPRODUCT(AF8,AJ8,AM8),IMPRODUCT(AG8)))</f>
        <v>0,0219704127580495-0,754836288420701i</v>
      </c>
      <c r="AQ8">
        <f t="shared" ref="AQ8:AQ13" si="45">20*LOG(IMABS(AP8))</f>
        <v>-2.4392669320850113</v>
      </c>
      <c r="AR8" s="43">
        <f t="shared" ref="AR8:AR13" si="46">(180/PI())*IMARGUMENT(AP8)</f>
        <v>-88.332808518989253</v>
      </c>
      <c r="AS8" s="62" t="str">
        <f t="shared" si="15"/>
        <v>-0,0000166666666666667</v>
      </c>
      <c r="AT8" s="62" t="str">
        <f t="shared" si="16"/>
        <v>0,0000756244183572135i</v>
      </c>
      <c r="AU8" s="62">
        <f t="shared" si="17"/>
        <v>7.5624418357213502E-5</v>
      </c>
      <c r="AV8" s="62">
        <f t="shared" si="18"/>
        <v>1.5707963267948966</v>
      </c>
      <c r="AW8" s="62" t="str">
        <f t="shared" si="19"/>
        <v>1+0,0496139856758348i</v>
      </c>
      <c r="AX8" s="62">
        <f t="shared" si="20"/>
        <v>1.001230017316022</v>
      </c>
      <c r="AY8" s="62">
        <f t="shared" si="21"/>
        <v>4.957333663266273E-2</v>
      </c>
      <c r="AZ8" s="62" t="str">
        <f t="shared" si="22"/>
        <v>1+16,5876092109541i</v>
      </c>
      <c r="BA8" s="62">
        <f t="shared" si="23"/>
        <v>16.617724854363466</v>
      </c>
      <c r="BB8" s="62">
        <f t="shared" si="24"/>
        <v>1.5105832390353575</v>
      </c>
      <c r="BC8" s="61" t="str">
        <f t="shared" si="25"/>
        <v>-3,63581553922392+0,400774670045224i</v>
      </c>
      <c r="BD8" s="62">
        <f t="shared" si="26"/>
        <v>11.264488092841312</v>
      </c>
      <c r="BE8" s="67">
        <f t="shared" si="27"/>
        <v>173.7097012344947</v>
      </c>
      <c r="BF8" s="61" t="str">
        <f t="shared" si="28"/>
        <v>0,189158192879375+0,822945462602824i</v>
      </c>
      <c r="BG8" s="66">
        <f t="shared" si="29"/>
        <v>-1.4689825382207631</v>
      </c>
      <c r="BH8" s="67">
        <f t="shared" si="30"/>
        <v>77.055122014058284</v>
      </c>
      <c r="BI8" s="61" t="str">
        <f t="shared" ref="BI8:BI13" si="47">IMPRODUCT(AP8,BC8)</f>
        <v>0,222638896321088+2,75325069193396i</v>
      </c>
      <c r="BJ8" s="66">
        <f t="shared" si="31"/>
        <v>8.8252211607563016</v>
      </c>
      <c r="BK8" s="67">
        <f t="shared" si="32"/>
        <v>85.376892715505477</v>
      </c>
      <c r="BL8" s="41">
        <f t="shared" ref="BL8:BL13" si="48">IF($B$31=0,BJ8,BG8)</f>
        <v>-1.4689825382207631</v>
      </c>
      <c r="BM8" s="43">
        <f t="shared" ref="BM8:BM13" si="49">IF($B$31=0,BK8,BH8)</f>
        <v>77.055122014058284</v>
      </c>
    </row>
    <row r="9" spans="1:65" ht="15.75" thickBot="1" x14ac:dyDescent="0.3">
      <c r="A9" s="50" t="s">
        <v>172</v>
      </c>
      <c r="B9" s="9"/>
      <c r="C9" s="9"/>
      <c r="D9" s="4"/>
      <c r="E9" s="5"/>
      <c r="F9" s="5"/>
      <c r="G9" s="5"/>
      <c r="H9" s="5"/>
      <c r="I9" s="5"/>
      <c r="J9" s="5"/>
      <c r="K9" s="5"/>
      <c r="L9" s="5"/>
      <c r="M9" s="9"/>
      <c r="N9" s="179" t="s">
        <v>258</v>
      </c>
      <c r="O9" s="68">
        <f>IF($B$31=0,B78,wz_rhp/(2*PI()))</f>
        <v>73162.176559985339</v>
      </c>
      <c r="P9" s="53" t="str">
        <f t="shared" si="33"/>
        <v>66,7780509511648</v>
      </c>
      <c r="Q9" s="54" t="str">
        <f t="shared" si="34"/>
        <v>1+1791,60624503125i</v>
      </c>
      <c r="R9" s="54">
        <f t="shared" si="0"/>
        <v>1791.6065241104072</v>
      </c>
      <c r="S9" s="54">
        <f t="shared" si="1"/>
        <v>1.570238168494809</v>
      </c>
      <c r="T9" s="54" t="str">
        <f t="shared" si="35"/>
        <v>1+0,459691512802979i</v>
      </c>
      <c r="U9" s="54">
        <f t="shared" si="2"/>
        <v>1.1005981496182389</v>
      </c>
      <c r="V9" s="54">
        <f t="shared" si="3"/>
        <v>0.43088409947993117</v>
      </c>
      <c r="W9" s="55" t="str">
        <f t="shared" si="36"/>
        <v>1-i</v>
      </c>
      <c r="X9" s="54">
        <f t="shared" si="4"/>
        <v>1.4142135623730951</v>
      </c>
      <c r="Y9" s="54">
        <f t="shared" si="5"/>
        <v>-0.78539816339744828</v>
      </c>
      <c r="Z9" s="55" t="str">
        <f t="shared" si="37"/>
        <v>0,994647295921006+0,196550343090993i</v>
      </c>
      <c r="AA9" s="54">
        <f t="shared" si="6"/>
        <v>1.0138812951485772</v>
      </c>
      <c r="AB9" s="54">
        <f t="shared" si="7"/>
        <v>0.19509458306296246</v>
      </c>
      <c r="AC9" s="56" t="str">
        <f t="shared" si="8"/>
        <v>-0,0298618254228868-0,0488098198183605i</v>
      </c>
      <c r="AD9" s="57">
        <f t="shared" si="9"/>
        <v>-24.849044617469261</v>
      </c>
      <c r="AE9" s="58">
        <f t="shared" si="10"/>
        <v>-121.45827574098183</v>
      </c>
      <c r="AF9" s="41" t="str">
        <f t="shared" si="11"/>
        <v>223,849857273222</v>
      </c>
      <c r="AG9" t="str">
        <f t="shared" si="12"/>
        <v>1+1814,62426603433i</v>
      </c>
      <c r="AH9">
        <f t="shared" si="38"/>
        <v>1814.6245415734438</v>
      </c>
      <c r="AI9">
        <f t="shared" si="39"/>
        <v>1.5702452485813576</v>
      </c>
      <c r="AJ9" t="str">
        <f t="shared" si="13"/>
        <v>1+0,459691512802979i</v>
      </c>
      <c r="AK9">
        <f t="shared" si="40"/>
        <v>1.1005981496182389</v>
      </c>
      <c r="AL9">
        <f t="shared" si="41"/>
        <v>0.43088409947993117</v>
      </c>
      <c r="AM9" t="str">
        <f t="shared" si="14"/>
        <v>1-0,302148763370297i</v>
      </c>
      <c r="AN9">
        <f t="shared" si="42"/>
        <v>1.0446501209525607</v>
      </c>
      <c r="AO9">
        <f t="shared" si="43"/>
        <v>-0.29342696930194273</v>
      </c>
      <c r="AP9" s="41" t="str">
        <f t="shared" si="44"/>
        <v>0,0195116998179361-0,140481986267701i</v>
      </c>
      <c r="AQ9">
        <f t="shared" si="45"/>
        <v>-16.964606422110819</v>
      </c>
      <c r="AR9" s="43">
        <f t="shared" si="46"/>
        <v>-82.09271212100353</v>
      </c>
      <c r="AS9" s="55" t="str">
        <f t="shared" si="15"/>
        <v>-0,0000166666666666667</v>
      </c>
      <c r="AT9" s="55" t="str">
        <f t="shared" si="16"/>
        <v>0,000461070587341388i</v>
      </c>
      <c r="AU9" s="55">
        <f t="shared" si="17"/>
        <v>4.6107058734138798E-4</v>
      </c>
      <c r="AV9" s="55">
        <f t="shared" si="18"/>
        <v>1.5707963267948966</v>
      </c>
      <c r="AW9" s="55" t="str">
        <f t="shared" si="19"/>
        <v>1+0,302488931655001i</v>
      </c>
      <c r="AX9" s="55">
        <f t="shared" si="20"/>
        <v>1.0447485600726061</v>
      </c>
      <c r="AY9" s="55">
        <f t="shared" si="21"/>
        <v>0.29373865091799078</v>
      </c>
      <c r="AZ9" s="55" t="str">
        <f t="shared" si="22"/>
        <v>1+101,132132816655i</v>
      </c>
      <c r="BA9" s="55">
        <f t="shared" si="23"/>
        <v>101.13707672285939</v>
      </c>
      <c r="BB9" s="55">
        <f t="shared" si="24"/>
        <v>1.5609085949449208</v>
      </c>
      <c r="BC9" s="52" t="str">
        <f t="shared" si="25"/>
        <v>-3,33922745047839+1,04622709913012i</v>
      </c>
      <c r="BD9" s="55">
        <f t="shared" si="26"/>
        <v>10.879598928043288</v>
      </c>
      <c r="BE9" s="58">
        <f t="shared" si="27"/>
        <v>162.60348971857189</v>
      </c>
      <c r="BF9" s="52" t="str">
        <f t="shared" si="28"/>
        <v>0,150781583371124+0,131744839203457i</v>
      </c>
      <c r="BG9" s="57">
        <f t="shared" si="29"/>
        <v>-13.969445689425971</v>
      </c>
      <c r="BH9" s="58">
        <f t="shared" si="30"/>
        <v>41.145213977590188</v>
      </c>
      <c r="BI9" s="61" t="str">
        <f t="shared" si="47"/>
        <v>0,0818220573353477+0,489514973942452i</v>
      </c>
      <c r="BJ9" s="57">
        <f t="shared" si="31"/>
        <v>-6.0850074940675336</v>
      </c>
      <c r="BK9" s="58">
        <f t="shared" si="32"/>
        <v>80.510777597568364</v>
      </c>
      <c r="BL9" s="41">
        <f t="shared" si="48"/>
        <v>-13.969445689425971</v>
      </c>
      <c r="BM9" s="43">
        <f t="shared" si="49"/>
        <v>41.145213977590188</v>
      </c>
    </row>
    <row r="10" spans="1:65" ht="15.75" thickBot="1" x14ac:dyDescent="0.3">
      <c r="A10" t="s">
        <v>25</v>
      </c>
      <c r="B10" s="3">
        <f>VIN_min</f>
        <v>11</v>
      </c>
      <c r="C10" t="s">
        <v>10</v>
      </c>
      <c r="E10" t="s">
        <v>28</v>
      </c>
      <c r="N10" s="178" t="s">
        <v>219</v>
      </c>
      <c r="O10" s="69">
        <f>IF(B31=0,B76,wz_esr/(2*PI()))</f>
        <v>159154.94309189534</v>
      </c>
      <c r="P10" s="33" t="str">
        <f t="shared" si="33"/>
        <v>66,7780509511648</v>
      </c>
      <c r="Q10" s="4" t="str">
        <f t="shared" si="34"/>
        <v>1+3897,40988278616i</v>
      </c>
      <c r="R10" s="4">
        <f t="shared" si="0"/>
        <v>3897.410011076488</v>
      </c>
      <c r="S10" s="4">
        <f t="shared" si="1"/>
        <v>1.5705397461405313</v>
      </c>
      <c r="T10" s="4" t="str">
        <f t="shared" si="35"/>
        <v>1+i</v>
      </c>
      <c r="U10" s="4">
        <f t="shared" si="2"/>
        <v>1.4142135623730951</v>
      </c>
      <c r="V10" s="4">
        <f t="shared" si="3"/>
        <v>0.78539816339744828</v>
      </c>
      <c r="W10" t="str">
        <f t="shared" si="36"/>
        <v>1-2,17537190082644i</v>
      </c>
      <c r="X10" s="4">
        <f t="shared" si="4"/>
        <v>2.3942102887810917</v>
      </c>
      <c r="Y10" s="4">
        <f t="shared" si="5"/>
        <v>-1.1399122273149647</v>
      </c>
      <c r="Z10" t="str">
        <f t="shared" si="37"/>
        <v>0,974669704089416+0,427570093457944i</v>
      </c>
      <c r="AA10" s="4">
        <f t="shared" si="6"/>
        <v>1.064329468204928</v>
      </c>
      <c r="AB10" s="4">
        <f t="shared" si="7"/>
        <v>0.41340214873638848</v>
      </c>
      <c r="AC10" s="47" t="str">
        <f t="shared" si="8"/>
        <v>-0,0378531306964195-0,0392204461737995i</v>
      </c>
      <c r="AD10" s="20">
        <f t="shared" si="9"/>
        <v>-25.270823065202215</v>
      </c>
      <c r="AE10" s="43">
        <f t="shared" si="10"/>
        <v>-133.98365701613946</v>
      </c>
      <c r="AF10" s="41" t="str">
        <f t="shared" si="11"/>
        <v>223,849857273222</v>
      </c>
      <c r="AG10" t="str">
        <f t="shared" si="12"/>
        <v>1+3947,48263888888i</v>
      </c>
      <c r="AH10">
        <f t="shared" si="38"/>
        <v>3947.4827655518798</v>
      </c>
      <c r="AI10">
        <f t="shared" si="39"/>
        <v>1.5705430007970171</v>
      </c>
      <c r="AJ10" t="str">
        <f t="shared" si="13"/>
        <v>1+i</v>
      </c>
      <c r="AK10">
        <f t="shared" si="40"/>
        <v>1.4142135623730951</v>
      </c>
      <c r="AL10">
        <f t="shared" si="41"/>
        <v>0.78539816339744828</v>
      </c>
      <c r="AM10" t="str">
        <f t="shared" si="14"/>
        <v>1-0,657285929705202i</v>
      </c>
      <c r="AN10">
        <f t="shared" si="42"/>
        <v>1.1966723834819752</v>
      </c>
      <c r="AO10">
        <f t="shared" si="43"/>
        <v>-0.58148009964334968</v>
      </c>
      <c r="AP10" s="41" t="str">
        <f t="shared" si="44"/>
        <v>0,0194580895001761-0,0939747668758197i</v>
      </c>
      <c r="AQ10">
        <f t="shared" si="45"/>
        <v>-20.357463086740744</v>
      </c>
      <c r="AR10" s="43">
        <f t="shared" si="46"/>
        <v>-78.301841069891083</v>
      </c>
      <c r="AS10" t="str">
        <f t="shared" si="15"/>
        <v>-0,0000166666666666667</v>
      </c>
      <c r="AT10" t="str">
        <f t="shared" si="16"/>
        <v>0,001003i</v>
      </c>
      <c r="AU10">
        <f t="shared" si="17"/>
        <v>1.003E-3</v>
      </c>
      <c r="AV10">
        <f t="shared" si="18"/>
        <v>1.5707963267948966</v>
      </c>
      <c r="AW10" t="str">
        <f t="shared" si="19"/>
        <v>1+0,6580259222333i</v>
      </c>
      <c r="AX10">
        <f t="shared" si="20"/>
        <v>1.1970789925192844</v>
      </c>
      <c r="AY10">
        <f t="shared" si="21"/>
        <v>0.58199666975643127</v>
      </c>
      <c r="AZ10" t="str">
        <f t="shared" si="22"/>
        <v>1+220i</v>
      </c>
      <c r="BA10">
        <f t="shared" si="23"/>
        <v>220.00227271553354</v>
      </c>
      <c r="BB10">
        <f t="shared" si="24"/>
        <v>1.5662509035538374</v>
      </c>
      <c r="BC10" s="41" t="str">
        <f t="shared" si="25"/>
        <v>-2,54345433932966+1,69027570351369i</v>
      </c>
      <c r="BD10">
        <f t="shared" si="26"/>
        <v>9.6970434885647023</v>
      </c>
      <c r="BE10" s="43">
        <f t="shared" si="27"/>
        <v>146.39361356447412</v>
      </c>
      <c r="BF10" s="41" t="str">
        <f t="shared" si="28"/>
        <v>0,162571076775561+0,0357731868931096i</v>
      </c>
      <c r="BG10" s="20">
        <f t="shared" si="29"/>
        <v>-15.5737795766375</v>
      </c>
      <c r="BH10" s="43">
        <f t="shared" si="30"/>
        <v>12.409956548334643</v>
      </c>
      <c r="BI10" s="61" t="str">
        <f t="shared" si="47"/>
        <v>0,109352503019273+0,271910064516739i</v>
      </c>
      <c r="BJ10" s="20">
        <f t="shared" si="31"/>
        <v>-10.660419598176054</v>
      </c>
      <c r="BK10" s="43">
        <f t="shared" si="32"/>
        <v>68.091772494583097</v>
      </c>
      <c r="BL10" s="41">
        <f t="shared" si="48"/>
        <v>-15.5737795766375</v>
      </c>
      <c r="BM10" s="43">
        <f t="shared" si="49"/>
        <v>12.409956548334643</v>
      </c>
    </row>
    <row r="11" spans="1:65" ht="15.75" thickBot="1" x14ac:dyDescent="0.3">
      <c r="A11" t="s">
        <v>26</v>
      </c>
      <c r="B11" s="3">
        <f>VIN_nom</f>
        <v>11</v>
      </c>
      <c r="C11" t="s">
        <v>10</v>
      </c>
      <c r="E11" t="s">
        <v>29</v>
      </c>
      <c r="N11" s="180" t="s">
        <v>217</v>
      </c>
      <c r="O11" s="70">
        <f>IF(B31=0,B74,wp_lf/(2*PI()))</f>
        <v>40.836080340135858</v>
      </c>
      <c r="P11" s="59" t="str">
        <f t="shared" si="33"/>
        <v>66,7780509511648</v>
      </c>
      <c r="Q11" s="38" t="str">
        <f t="shared" si="34"/>
        <v>1+i</v>
      </c>
      <c r="R11" s="38">
        <f t="shared" si="0"/>
        <v>1.4142135623730951</v>
      </c>
      <c r="S11" s="38">
        <f t="shared" si="1"/>
        <v>0.78539816339744828</v>
      </c>
      <c r="T11" s="38" t="str">
        <f t="shared" si="35"/>
        <v>1+0,000256580659995947i</v>
      </c>
      <c r="U11" s="38">
        <f t="shared" si="2"/>
        <v>1.000000032916817</v>
      </c>
      <c r="V11" s="38">
        <f t="shared" si="3"/>
        <v>2.565806543654014E-4</v>
      </c>
      <c r="W11" s="39" t="str">
        <f t="shared" si="36"/>
        <v>1-0,000558158358050687i</v>
      </c>
      <c r="X11" s="38">
        <f t="shared" si="4"/>
        <v>1.0000001557703642</v>
      </c>
      <c r="Y11" s="38">
        <f t="shared" si="5"/>
        <v>-5.5815830008767281E-4</v>
      </c>
      <c r="Z11" s="39" t="str">
        <f t="shared" si="37"/>
        <v>0,999999998332415+0,000109706216773968i</v>
      </c>
      <c r="AA11" s="38">
        <f t="shared" si="6"/>
        <v>1.000000004350142</v>
      </c>
      <c r="AB11" s="38">
        <f t="shared" si="7"/>
        <v>1.0970621651679106E-4</v>
      </c>
      <c r="AC11" s="42" t="str">
        <f t="shared" si="8"/>
        <v>33,3752964369674-33,4027611759639i</v>
      </c>
      <c r="AD11" s="46">
        <f t="shared" si="9"/>
        <v>33.482376427775108</v>
      </c>
      <c r="AE11" s="45">
        <f t="shared" si="10"/>
        <v>-45.023564829488173</v>
      </c>
      <c r="AF11" s="41" t="str">
        <f t="shared" si="11"/>
        <v>223,849857273222</v>
      </c>
      <c r="AG11" t="str">
        <f t="shared" si="12"/>
        <v>1+1,01284770080865i</v>
      </c>
      <c r="AH11">
        <f t="shared" si="38"/>
        <v>1.4233272515600088</v>
      </c>
      <c r="AI11">
        <f t="shared" si="39"/>
        <v>0.79178092466288019</v>
      </c>
      <c r="AJ11" t="str">
        <f t="shared" si="13"/>
        <v>1+0,000256580659995947i</v>
      </c>
      <c r="AK11">
        <f t="shared" si="40"/>
        <v>1.000000032916817</v>
      </c>
      <c r="AL11">
        <f t="shared" si="41"/>
        <v>2.565806543654014E-4</v>
      </c>
      <c r="AM11" t="str">
        <f t="shared" si="14"/>
        <v>1-0,00016864685764981i</v>
      </c>
      <c r="AN11">
        <f t="shared" si="42"/>
        <v>1.0000000142208811</v>
      </c>
      <c r="AO11">
        <f t="shared" si="43"/>
        <v>-1.6864685605093874E-4</v>
      </c>
      <c r="AP11" s="41" t="str">
        <f t="shared" si="44"/>
        <v>110,506033207331-111,906097690425i</v>
      </c>
      <c r="AQ11">
        <f t="shared" si="45"/>
        <v>43.933041553681534</v>
      </c>
      <c r="AR11" s="43">
        <f t="shared" si="46"/>
        <v>-45.36066704662889</v>
      </c>
      <c r="AS11" s="39" t="str">
        <f t="shared" si="15"/>
        <v>-0,0000166666666666667</v>
      </c>
      <c r="AT11" s="39" t="str">
        <f t="shared" si="16"/>
        <v>2,57350401975935E-07i</v>
      </c>
      <c r="AU11" s="39">
        <f t="shared" si="17"/>
        <v>2.5735040197593499E-7</v>
      </c>
      <c r="AV11" s="39">
        <f t="shared" si="18"/>
        <v>1.5707963267948966</v>
      </c>
      <c r="AW11" s="39" t="str">
        <f t="shared" si="19"/>
        <v>1+0,000168836725421062i</v>
      </c>
      <c r="AX11" s="39">
        <f t="shared" si="20"/>
        <v>1.00000001425292</v>
      </c>
      <c r="AY11" s="39">
        <f t="shared" si="21"/>
        <v>1.6883672381678446E-4</v>
      </c>
      <c r="AZ11" s="39" t="str">
        <f t="shared" si="22"/>
        <v>1+0,0564477451991083i</v>
      </c>
      <c r="BA11" s="39">
        <f t="shared" si="23"/>
        <v>1.0015919068852661</v>
      </c>
      <c r="BB11" s="39">
        <f t="shared" si="24"/>
        <v>5.6387905507388529E-2</v>
      </c>
      <c r="BC11" s="44" t="str">
        <f t="shared" si="25"/>
        <v>-3,64476516824926+64,7631591187398i</v>
      </c>
      <c r="BD11" s="39">
        <f t="shared" si="26"/>
        <v>36.240293983051799</v>
      </c>
      <c r="BE11" s="45">
        <f t="shared" si="27"/>
        <v>93.221115369454353</v>
      </c>
      <c r="BF11" s="44" t="str">
        <f t="shared" si="28"/>
        <v>2041,62321911076+2283,23485423993i</v>
      </c>
      <c r="BG11" s="46">
        <f t="shared" si="29"/>
        <v>69.722670410826893</v>
      </c>
      <c r="BH11" s="45">
        <f t="shared" si="30"/>
        <v>48.197550539966187</v>
      </c>
      <c r="BI11" s="61" t="str">
        <f t="shared" si="47"/>
        <v>6844,62387036676+7564,59125916388i</v>
      </c>
      <c r="BJ11" s="46">
        <f t="shared" si="31"/>
        <v>80.173335536733333</v>
      </c>
      <c r="BK11" s="45">
        <f t="shared" si="32"/>
        <v>47.860448322825441</v>
      </c>
      <c r="BL11" s="41">
        <f t="shared" si="48"/>
        <v>69.722670410826893</v>
      </c>
      <c r="BM11" s="43">
        <f t="shared" si="49"/>
        <v>48.197550539966187</v>
      </c>
    </row>
    <row r="12" spans="1:65" ht="15.75" thickBot="1" x14ac:dyDescent="0.3">
      <c r="A12" t="s">
        <v>27</v>
      </c>
      <c r="B12" s="3">
        <f>VIN_max</f>
        <v>22</v>
      </c>
      <c r="C12" t="s">
        <v>10</v>
      </c>
      <c r="E12" t="s">
        <v>30</v>
      </c>
      <c r="N12" s="179" t="s">
        <v>226</v>
      </c>
      <c r="O12" s="58">
        <f>wz_ea/(2*PI())</f>
        <v>723.43155950861512</v>
      </c>
      <c r="P12" s="53" t="str">
        <f t="shared" si="33"/>
        <v>66,7780509511648</v>
      </c>
      <c r="Q12" s="54" t="str">
        <f t="shared" si="34"/>
        <v>1+17,7154994672098i</v>
      </c>
      <c r="R12" s="54">
        <f t="shared" si="0"/>
        <v>17.743700892787579</v>
      </c>
      <c r="S12" s="54">
        <f t="shared" si="1"/>
        <v>1.514408421287508</v>
      </c>
      <c r="T12" s="54" t="str">
        <f t="shared" si="35"/>
        <v>1+0,00454545454545455i</v>
      </c>
      <c r="U12" s="54">
        <f t="shared" si="2"/>
        <v>1.0000103305251524</v>
      </c>
      <c r="V12" s="54">
        <f t="shared" si="3"/>
        <v>4.5454232410592488E-3</v>
      </c>
      <c r="W12" s="55" t="str">
        <f t="shared" si="36"/>
        <v>1-0,00988805409466566i</v>
      </c>
      <c r="X12" s="54">
        <f t="shared" si="4"/>
        <v>1.000048885611988</v>
      </c>
      <c r="Y12" s="54">
        <f t="shared" si="5"/>
        <v>-9.8877318499756388E-3</v>
      </c>
      <c r="Z12" s="55" t="str">
        <f t="shared" si="37"/>
        <v>0,999999476646779+0,00194350042480884i</v>
      </c>
      <c r="AA12" s="54">
        <f t="shared" si="6"/>
        <v>1.0000013652429347</v>
      </c>
      <c r="AB12" s="54">
        <f t="shared" si="7"/>
        <v>1.9434989949556327E-3</v>
      </c>
      <c r="AC12" s="56" t="str">
        <f t="shared" si="8"/>
        <v>0,184731166968395-3,75916076325081i</v>
      </c>
      <c r="AD12" s="57">
        <f t="shared" si="9"/>
        <v>11.51229310044439</v>
      </c>
      <c r="AE12" s="58">
        <f t="shared" si="10"/>
        <v>-87.186657024890337</v>
      </c>
      <c r="AF12" s="41" t="str">
        <f t="shared" si="11"/>
        <v>223,849857273222</v>
      </c>
      <c r="AG12" t="str">
        <f t="shared" si="12"/>
        <v>1+17,9431029040404i</v>
      </c>
      <c r="AH12">
        <f t="shared" si="38"/>
        <v>17.970947159929636</v>
      </c>
      <c r="AI12">
        <f t="shared" si="39"/>
        <v>1.5151222001410547</v>
      </c>
      <c r="AJ12" t="str">
        <f t="shared" si="13"/>
        <v>1+0,00454545454545455i</v>
      </c>
      <c r="AK12">
        <f t="shared" si="40"/>
        <v>1.0000103305251524</v>
      </c>
      <c r="AL12">
        <f t="shared" si="41"/>
        <v>4.5454232410592488E-3</v>
      </c>
      <c r="AM12" t="str">
        <f t="shared" si="14"/>
        <v>1-0,00298766331684183i</v>
      </c>
      <c r="AN12">
        <f t="shared" si="42"/>
        <v>1.000004463056088</v>
      </c>
      <c r="AO12">
        <f t="shared" si="43"/>
        <v>-2.9876544274636315E-3</v>
      </c>
      <c r="AP12" s="41" t="str">
        <f t="shared" si="44"/>
        <v>0,712513824532075-12,435997529944i</v>
      </c>
      <c r="AQ12">
        <f t="shared" si="45"/>
        <v>21.907845586509978</v>
      </c>
      <c r="AR12" s="43">
        <f t="shared" si="46"/>
        <v>-86.720853936181939</v>
      </c>
      <c r="AS12" s="55" t="str">
        <f t="shared" si="15"/>
        <v>-0,0000166666666666667</v>
      </c>
      <c r="AT12" s="55" t="str">
        <f t="shared" si="16"/>
        <v>4,55909090909091E-06i</v>
      </c>
      <c r="AU12" s="55">
        <f t="shared" si="17"/>
        <v>4.5590909090909104E-6</v>
      </c>
      <c r="AV12" s="55">
        <f t="shared" si="18"/>
        <v>1.5707963267948966</v>
      </c>
      <c r="AW12" s="55" t="str">
        <f t="shared" si="19"/>
        <v>1+0,00299102691924228i</v>
      </c>
      <c r="AX12" s="55">
        <f t="shared" si="20"/>
        <v>1.0000044731110114</v>
      </c>
      <c r="AY12" s="55">
        <f t="shared" si="21"/>
        <v>2.9910179998065764E-3</v>
      </c>
      <c r="AZ12" s="55" t="str">
        <f t="shared" si="22"/>
        <v>1+i</v>
      </c>
      <c r="BA12" s="55">
        <f t="shared" si="23"/>
        <v>1.4142135623730951</v>
      </c>
      <c r="BB12" s="55">
        <f t="shared" si="24"/>
        <v>0.78539816339744828</v>
      </c>
      <c r="BC12" s="52" t="str">
        <f t="shared" si="25"/>
        <v>-3,64473266548577+3,66660106147869i</v>
      </c>
      <c r="BD12" s="55">
        <f t="shared" si="26"/>
        <v>14.269671052141014</v>
      </c>
      <c r="BE12" s="58">
        <f t="shared" si="27"/>
        <v>134.82862729216336</v>
      </c>
      <c r="BF12" s="52" t="str">
        <f t="shared" si="28"/>
        <v>13,1100471262214+14,3784715215272i</v>
      </c>
      <c r="BG12" s="57">
        <f t="shared" si="29"/>
        <v>25.781964152585402</v>
      </c>
      <c r="BH12" s="58">
        <f t="shared" si="30"/>
        <v>47.64197026727323</v>
      </c>
      <c r="BI12" s="61" t="str">
        <f t="shared" si="47"/>
        <v>43,0009193329568+47,9383903706348i</v>
      </c>
      <c r="BJ12" s="57">
        <f t="shared" si="31"/>
        <v>36.177516638650992</v>
      </c>
      <c r="BK12" s="58">
        <f t="shared" si="32"/>
        <v>48.10777335598145</v>
      </c>
      <c r="BL12" s="41">
        <f t="shared" si="48"/>
        <v>25.781964152585402</v>
      </c>
      <c r="BM12" s="43">
        <f t="shared" si="49"/>
        <v>47.64197026727323</v>
      </c>
    </row>
    <row r="13" spans="1:65" ht="15.75" thickBot="1" x14ac:dyDescent="0.3">
      <c r="A13" t="s">
        <v>64</v>
      </c>
      <c r="B13" s="3">
        <f>Fsw</f>
        <v>2000000</v>
      </c>
      <c r="C13" t="s">
        <v>65</v>
      </c>
      <c r="E13" t="s">
        <v>66</v>
      </c>
      <c r="N13" s="180" t="s">
        <v>232</v>
      </c>
      <c r="O13" s="45">
        <f>wp1_ea/(2*PI())</f>
        <v>241867.28472904701</v>
      </c>
      <c r="P13" s="59" t="str">
        <f t="shared" si="33"/>
        <v>66,7780509511648</v>
      </c>
      <c r="Q13" s="38" t="str">
        <f t="shared" si="34"/>
        <v>1+5922,88198853715i</v>
      </c>
      <c r="R13" s="38">
        <f t="shared" si="0"/>
        <v>5922.8820729555136</v>
      </c>
      <c r="S13" s="38">
        <f t="shared" si="1"/>
        <v>1.5706274900710799</v>
      </c>
      <c r="T13" s="38" t="str">
        <f t="shared" si="35"/>
        <v>1+1,51969696969697i</v>
      </c>
      <c r="U13" s="38">
        <f t="shared" si="2"/>
        <v>1.8191973174194582</v>
      </c>
      <c r="V13" s="38">
        <f t="shared" si="3"/>
        <v>0.9887996570384654</v>
      </c>
      <c r="W13" s="39" t="str">
        <f t="shared" si="36"/>
        <v>1-3,30590608564988i</v>
      </c>
      <c r="X13" s="38">
        <f t="shared" si="4"/>
        <v>3.4538406227179781</v>
      </c>
      <c r="Y13" s="38">
        <f t="shared" si="5"/>
        <v>-1.2770576758769054</v>
      </c>
      <c r="Z13" s="39" t="str">
        <f t="shared" si="37"/>
        <v>0,941500216577798+0,649776975361088i</v>
      </c>
      <c r="AA13" s="38">
        <f t="shared" si="6"/>
        <v>1.1439548835183337</v>
      </c>
      <c r="AB13" s="38">
        <f t="shared" si="7"/>
        <v>0.6040850225717812</v>
      </c>
      <c r="AC13" s="42" t="str">
        <f t="shared" si="8"/>
        <v>-0,0482056671013803-0,0388723264853934i</v>
      </c>
      <c r="AD13" s="46">
        <f t="shared" si="9"/>
        <v>-24.162522861642106</v>
      </c>
      <c r="AE13" s="45">
        <f t="shared" si="10"/>
        <v>-141.11781651897175</v>
      </c>
      <c r="AF13" s="44" t="str">
        <f t="shared" si="11"/>
        <v>223,849857273222</v>
      </c>
      <c r="AG13" s="39" t="str">
        <f t="shared" si="12"/>
        <v>1+5998,97740425083i</v>
      </c>
      <c r="AH13" s="39">
        <f t="shared" si="38"/>
        <v>5998.9774875983676</v>
      </c>
      <c r="AI13" s="39">
        <f t="shared" si="39"/>
        <v>1.5706296317194945</v>
      </c>
      <c r="AJ13" s="39" t="str">
        <f t="shared" si="13"/>
        <v>1+1,51969696969697i</v>
      </c>
      <c r="AK13" s="39">
        <f t="shared" si="40"/>
        <v>1.8191973174194582</v>
      </c>
      <c r="AL13" s="39">
        <f t="shared" si="41"/>
        <v>0.9887996570384654</v>
      </c>
      <c r="AM13" s="39" t="str">
        <f t="shared" si="14"/>
        <v>1-0,998875435597451i</v>
      </c>
      <c r="AN13" s="39">
        <f t="shared" si="42"/>
        <v>1.4134185989437091</v>
      </c>
      <c r="AO13" s="39">
        <f t="shared" si="43"/>
        <v>-0.7848355649163854</v>
      </c>
      <c r="AP13" s="44" t="str">
        <f t="shared" si="44"/>
        <v>0,0194499450250158-0,0939546459924656i</v>
      </c>
      <c r="AQ13" s="39">
        <f t="shared" si="45"/>
        <v>-20.359396031720948</v>
      </c>
      <c r="AR13" s="45">
        <f t="shared" si="46"/>
        <v>-78.304167424901109</v>
      </c>
      <c r="AS13" s="39" t="str">
        <f t="shared" si="15"/>
        <v>-0,0000166666666666667</v>
      </c>
      <c r="AT13" s="39" t="str">
        <f t="shared" si="16"/>
        <v>0,00152425606060606i</v>
      </c>
      <c r="AU13" s="39">
        <f t="shared" si="17"/>
        <v>1.52425606060606E-3</v>
      </c>
      <c r="AV13" s="39">
        <f t="shared" si="18"/>
        <v>1.5707963267948966</v>
      </c>
      <c r="AW13" s="39" t="str">
        <f t="shared" si="19"/>
        <v>1+i</v>
      </c>
      <c r="AX13" s="39">
        <f t="shared" si="20"/>
        <v>1.4142135623730951</v>
      </c>
      <c r="AY13" s="39">
        <f t="shared" si="21"/>
        <v>0.78539816339744828</v>
      </c>
      <c r="AZ13" s="39" t="str">
        <f t="shared" si="22"/>
        <v>1+334,333333333333i</v>
      </c>
      <c r="BA13" s="39">
        <f t="shared" si="23"/>
        <v>334.33482884344778</v>
      </c>
      <c r="BB13" s="39">
        <f t="shared" si="24"/>
        <v>1.5678053087950901</v>
      </c>
      <c r="BC13" s="44" t="str">
        <f t="shared" si="25"/>
        <v>-1,82238263607317+1,8333169318896i</v>
      </c>
      <c r="BD13" s="39">
        <f t="shared" si="26"/>
        <v>8.2491488445847452</v>
      </c>
      <c r="BE13" s="45">
        <f t="shared" si="27"/>
        <v>134.82862729216356</v>
      </c>
      <c r="BF13" s="44" t="str">
        <f t="shared" si="28"/>
        <v>0,159114465013491-0,0175360128992458i</v>
      </c>
      <c r="BG13" s="46">
        <f t="shared" si="29"/>
        <v>-15.913374017057382</v>
      </c>
      <c r="BH13" s="45">
        <f t="shared" si="30"/>
        <v>-6.2891892268081993</v>
      </c>
      <c r="BI13" s="61" t="str">
        <f t="shared" si="47"/>
        <v>0,136803401241514+0,206879228973754i</v>
      </c>
      <c r="BJ13" s="46">
        <f t="shared" si="31"/>
        <v>-12.110247187136213</v>
      </c>
      <c r="BK13" s="45">
        <f t="shared" si="32"/>
        <v>56.524459867262429</v>
      </c>
      <c r="BL13" s="44">
        <f t="shared" si="48"/>
        <v>-15.913374017057382</v>
      </c>
      <c r="BM13" s="45">
        <f t="shared" si="49"/>
        <v>-6.2891892268081993</v>
      </c>
    </row>
    <row r="15" spans="1:65" ht="15.75" thickBot="1" x14ac:dyDescent="0.3">
      <c r="A15" s="49" t="s">
        <v>456</v>
      </c>
      <c r="O15" s="34" t="s">
        <v>196</v>
      </c>
      <c r="P15">
        <f>B16</f>
        <v>11</v>
      </c>
      <c r="Q15" t="s">
        <v>10</v>
      </c>
    </row>
    <row r="16" spans="1:65" ht="15.75" thickBot="1" x14ac:dyDescent="0.3">
      <c r="A16" t="s">
        <v>198</v>
      </c>
      <c r="B16">
        <f>VIN_var</f>
        <v>11</v>
      </c>
      <c r="C16" t="s">
        <v>10</v>
      </c>
      <c r="E16" t="s">
        <v>199</v>
      </c>
      <c r="O16" s="48"/>
      <c r="P16" s="224" t="s">
        <v>454</v>
      </c>
      <c r="Q16" s="224"/>
      <c r="R16" s="224"/>
      <c r="S16" s="224"/>
      <c r="T16" s="224"/>
      <c r="U16" s="224"/>
      <c r="V16" s="224"/>
      <c r="W16" s="224"/>
      <c r="X16" s="224"/>
      <c r="Y16" s="224"/>
      <c r="Z16" s="224"/>
      <c r="AA16" s="224"/>
      <c r="AB16" s="224"/>
      <c r="AC16" s="224"/>
      <c r="AD16" s="224"/>
      <c r="AE16" s="225"/>
      <c r="AF16" s="223" t="s">
        <v>455</v>
      </c>
      <c r="AG16" s="224"/>
      <c r="AH16" s="224"/>
      <c r="AI16" s="224"/>
      <c r="AJ16" s="224"/>
      <c r="AK16" s="224"/>
      <c r="AL16" s="224"/>
      <c r="AM16" s="224"/>
      <c r="AN16" s="224"/>
      <c r="AO16" s="224"/>
      <c r="AP16" s="224"/>
      <c r="AQ16" s="224"/>
      <c r="AR16" s="225"/>
      <c r="AS16" s="223" t="s">
        <v>225</v>
      </c>
      <c r="AT16" s="224"/>
      <c r="AU16" s="224"/>
      <c r="AV16" s="224"/>
      <c r="AW16" s="224"/>
      <c r="AX16" s="224"/>
      <c r="AY16" s="224"/>
      <c r="AZ16" s="224"/>
      <c r="BA16" s="224"/>
      <c r="BB16" s="224"/>
      <c r="BC16" s="224"/>
      <c r="BD16" s="224"/>
      <c r="BE16" s="225"/>
      <c r="BF16" s="223" t="s">
        <v>484</v>
      </c>
      <c r="BG16" s="224"/>
      <c r="BH16" s="225"/>
      <c r="BI16" s="223" t="s">
        <v>485</v>
      </c>
      <c r="BJ16" s="224"/>
      <c r="BK16" s="225"/>
      <c r="BL16" s="223" t="s">
        <v>486</v>
      </c>
      <c r="BM16" s="225"/>
    </row>
    <row r="17" spans="1:65" x14ac:dyDescent="0.25">
      <c r="A17" t="s">
        <v>382</v>
      </c>
      <c r="B17">
        <f>IOUT</f>
        <v>6</v>
      </c>
      <c r="C17" t="s">
        <v>11</v>
      </c>
      <c r="E17" t="s">
        <v>477</v>
      </c>
      <c r="O17" s="36"/>
      <c r="Q17" s="229" t="s">
        <v>217</v>
      </c>
      <c r="R17" s="229"/>
      <c r="S17" s="229"/>
      <c r="T17" s="227" t="s">
        <v>219</v>
      </c>
      <c r="U17" s="227"/>
      <c r="V17" s="227"/>
      <c r="W17" s="227" t="s">
        <v>258</v>
      </c>
      <c r="X17" s="227"/>
      <c r="Y17" s="227"/>
      <c r="Z17" s="227" t="s">
        <v>222</v>
      </c>
      <c r="AA17" s="227"/>
      <c r="AB17" s="227"/>
      <c r="AC17" s="226" t="s">
        <v>224</v>
      </c>
      <c r="AD17" s="227"/>
      <c r="AE17" s="228"/>
      <c r="AF17" s="153"/>
      <c r="AG17" s="229" t="s">
        <v>217</v>
      </c>
      <c r="AH17" s="229"/>
      <c r="AI17" s="229"/>
      <c r="AJ17" s="230" t="s">
        <v>219</v>
      </c>
      <c r="AK17" s="230"/>
      <c r="AL17" s="230"/>
      <c r="AM17" s="227" t="s">
        <v>258</v>
      </c>
      <c r="AN17" s="227"/>
      <c r="AO17" s="227"/>
      <c r="AP17" s="231" t="s">
        <v>224</v>
      </c>
      <c r="AQ17" s="230"/>
      <c r="AR17" s="232"/>
      <c r="AT17" s="227" t="s">
        <v>231</v>
      </c>
      <c r="AU17" s="227"/>
      <c r="AV17" s="227"/>
      <c r="AW17" s="227" t="s">
        <v>232</v>
      </c>
      <c r="AX17" s="227"/>
      <c r="AY17" s="227"/>
      <c r="AZ17" s="227" t="s">
        <v>226</v>
      </c>
      <c r="BA17" s="227"/>
      <c r="BB17" s="227"/>
      <c r="BC17" s="226" t="s">
        <v>224</v>
      </c>
      <c r="BD17" s="227"/>
      <c r="BE17" s="228"/>
      <c r="BF17" s="226" t="s">
        <v>224</v>
      </c>
      <c r="BG17" s="227"/>
      <c r="BH17" s="228"/>
      <c r="BI17" s="226" t="s">
        <v>224</v>
      </c>
      <c r="BJ17" s="227"/>
      <c r="BK17" s="228"/>
      <c r="BM17" s="43"/>
    </row>
    <row r="18" spans="1:65" ht="15.75" thickBot="1" x14ac:dyDescent="0.3">
      <c r="N18" s="9"/>
      <c r="O18" s="37" t="s">
        <v>195</v>
      </c>
      <c r="P18" s="38" t="s">
        <v>200</v>
      </c>
      <c r="Q18" s="39" t="s">
        <v>223</v>
      </c>
      <c r="R18" s="38" t="s">
        <v>220</v>
      </c>
      <c r="S18" s="38" t="s">
        <v>221</v>
      </c>
      <c r="T18" s="38" t="s">
        <v>223</v>
      </c>
      <c r="U18" s="38" t="s">
        <v>220</v>
      </c>
      <c r="V18" s="38" t="s">
        <v>221</v>
      </c>
      <c r="W18" s="38" t="s">
        <v>223</v>
      </c>
      <c r="X18" s="38" t="s">
        <v>220</v>
      </c>
      <c r="Y18" s="38" t="s">
        <v>221</v>
      </c>
      <c r="Z18" s="38" t="s">
        <v>223</v>
      </c>
      <c r="AA18" s="38" t="s">
        <v>220</v>
      </c>
      <c r="AB18" s="38" t="s">
        <v>221</v>
      </c>
      <c r="AC18" s="42" t="s">
        <v>235</v>
      </c>
      <c r="AD18" s="38" t="s">
        <v>220</v>
      </c>
      <c r="AE18" s="40" t="s">
        <v>221</v>
      </c>
      <c r="AF18" s="156" t="s">
        <v>200</v>
      </c>
      <c r="AG18" s="156" t="s">
        <v>223</v>
      </c>
      <c r="AH18" s="156" t="s">
        <v>234</v>
      </c>
      <c r="AI18" s="156" t="s">
        <v>221</v>
      </c>
      <c r="AJ18" s="156" t="s">
        <v>223</v>
      </c>
      <c r="AK18" s="156" t="s">
        <v>234</v>
      </c>
      <c r="AL18" s="156" t="s">
        <v>221</v>
      </c>
      <c r="AM18" s="156" t="s">
        <v>223</v>
      </c>
      <c r="AN18" s="156" t="s">
        <v>234</v>
      </c>
      <c r="AO18" s="156" t="s">
        <v>221</v>
      </c>
      <c r="AP18" s="42" t="s">
        <v>235</v>
      </c>
      <c r="AQ18" s="38" t="s">
        <v>220</v>
      </c>
      <c r="AR18" s="40" t="s">
        <v>221</v>
      </c>
      <c r="AS18" s="38" t="s">
        <v>233</v>
      </c>
      <c r="AT18" s="38" t="s">
        <v>223</v>
      </c>
      <c r="AU18" s="38" t="s">
        <v>234</v>
      </c>
      <c r="AV18" s="38" t="s">
        <v>221</v>
      </c>
      <c r="AW18" s="38" t="s">
        <v>223</v>
      </c>
      <c r="AX18" s="38" t="s">
        <v>234</v>
      </c>
      <c r="AY18" s="38" t="s">
        <v>221</v>
      </c>
      <c r="AZ18" s="38" t="s">
        <v>223</v>
      </c>
      <c r="BA18" s="38" t="s">
        <v>234</v>
      </c>
      <c r="BB18" s="38" t="s">
        <v>221</v>
      </c>
      <c r="BC18" s="42" t="s">
        <v>235</v>
      </c>
      <c r="BD18" s="38" t="s">
        <v>220</v>
      </c>
      <c r="BE18" s="40" t="s">
        <v>221</v>
      </c>
      <c r="BF18" s="42" t="s">
        <v>235</v>
      </c>
      <c r="BG18" s="38" t="s">
        <v>220</v>
      </c>
      <c r="BH18" s="40" t="s">
        <v>221</v>
      </c>
      <c r="BI18" s="42" t="s">
        <v>235</v>
      </c>
      <c r="BJ18" s="38" t="s">
        <v>220</v>
      </c>
      <c r="BK18" s="40" t="s">
        <v>221</v>
      </c>
      <c r="BL18" s="4" t="s">
        <v>487</v>
      </c>
      <c r="BM18" s="60" t="s">
        <v>488</v>
      </c>
    </row>
    <row r="19" spans="1:65" x14ac:dyDescent="0.25">
      <c r="A19" t="s">
        <v>31</v>
      </c>
      <c r="B19" s="29">
        <f>VOUT</f>
        <v>53.5</v>
      </c>
      <c r="C19" t="s">
        <v>10</v>
      </c>
      <c r="E19" t="s">
        <v>173</v>
      </c>
      <c r="N19" s="9">
        <v>1</v>
      </c>
      <c r="O19" s="34">
        <f>10^(1+(N19/100))</f>
        <v>10.232929922807543</v>
      </c>
      <c r="P19" s="33" t="str">
        <f t="shared" ref="P19:P82" si="50">COMPLEX(Adc,0)</f>
        <v>66,7780509511648</v>
      </c>
      <c r="Q19" s="4" t="str">
        <f>IMSUM(COMPLEX(1,0),IMDIV(COMPLEX(0,2*PI()*O19),COMPLEX(wp_lf,0)))</f>
        <v>1+0,250585507658287i</v>
      </c>
      <c r="R19" s="4">
        <f>IMABS(Q19)</f>
        <v>1.0309185693585898</v>
      </c>
      <c r="S19" s="4">
        <f>IMARGUMENT(Q19)</f>
        <v>0.24552965319444961</v>
      </c>
      <c r="T19" s="4" t="str">
        <f t="shared" ref="T19:T82" si="51">IMSUM(COMPLEX(1,0),IMDIV(COMPLEX(0,2*PI()*O19),COMPLEX(wz_esr,0)))</f>
        <v>1+0,0000642953949403827i</v>
      </c>
      <c r="U19" s="4">
        <f>IMABS(T19)</f>
        <v>1.0000000020669488</v>
      </c>
      <c r="V19" s="4">
        <f>IMARGUMENT(T19)</f>
        <v>6.4295394851785837E-5</v>
      </c>
      <c r="W19" t="str">
        <f t="shared" ref="W19:W82" si="52">IMSUB(COMPLEX(1,0),IMDIV(COMPLEX(0,2*PI()*O19),COMPLEX(wz_rhp,0)))</f>
        <v>1-0,000139866395505847i</v>
      </c>
      <c r="X19" s="4">
        <f>IMABS(W19)</f>
        <v>1.0000000097813042</v>
      </c>
      <c r="Y19" s="4">
        <f>IMARGUMENT(W19)</f>
        <v>-1.3986639459379649E-4</v>
      </c>
      <c r="Z19" t="str">
        <f t="shared" ref="Z19:Z82" si="53">IMSUM(COMPLEX(1,0),IMDIV(COMPLEX(0,2*PI()*O19),COMPLEX(Q*(wsl/2),0)),IMDIV(IMPOWER(COMPLEX(0,2*PI()*O19),2),IMPOWER(COMPLEX(wsl/2,0),2)))</f>
        <v>0,999999999895287+0,0000274907880235749i</v>
      </c>
      <c r="AA19" s="4">
        <f>IMABS(Z19)</f>
        <v>1.0000000002731588</v>
      </c>
      <c r="AB19" s="4">
        <f>IMARGUMENT(Z19)</f>
        <v>2.7490788019528218E-5</v>
      </c>
      <c r="AC19" s="47" t="str">
        <f>(IMDIV(IMPRODUCT(P19,T19,W19),IMPRODUCT(Q19,Z19)))</f>
        <v>62,8309752708217-15,7514141002859i</v>
      </c>
      <c r="AD19" s="20">
        <f>20*LOG(IMABS(AC19))</f>
        <v>36.228187635862405</v>
      </c>
      <c r="AE19" s="43">
        <f>(180/PI())*IMARGUMENT(AC19)</f>
        <v>-14.073717878820586</v>
      </c>
      <c r="AF19" t="str">
        <f t="shared" ref="AF19:AF82" si="54">COMPLEX($B$72,0)</f>
        <v>223,849857273222</v>
      </c>
      <c r="AG19" t="str">
        <f t="shared" ref="AG19:AG82" si="55">IMSUM(COMPLEX(1,0),IMDIV(COMPLEX(0,2*PI()*O19),COMPLEX(wp_lf_DCM,0)))</f>
        <v>1+0,253804955287665i</v>
      </c>
      <c r="AH19">
        <f>IMABS(AG19)</f>
        <v>1.0317058472881568</v>
      </c>
      <c r="AI19">
        <f>IMARGUMENT(AG19)</f>
        <v>0.24855657898458683</v>
      </c>
      <c r="AJ19" t="str">
        <f t="shared" ref="AJ19:AJ82" si="56">IMSUM(COMPLEX(1,0),IMDIV(COMPLEX(0,2*PI()*O19),COMPLEX(wz1_dcm,0)))</f>
        <v>1+0,0000642953949403827i</v>
      </c>
      <c r="AK19">
        <f>IMABS(AJ19)</f>
        <v>1.0000000020669488</v>
      </c>
      <c r="AL19">
        <f>IMARGUMENT(AJ19)</f>
        <v>6.4295394851785837E-5</v>
      </c>
      <c r="AM19" t="str">
        <f t="shared" ref="AM19:AM82" si="57">IMSUB(COMPLEX(1,0),IMDIV(COMPLEX(0,2*PI()*O19),COMPLEX(wz2_dcm,0)))</f>
        <v>1-0,0000422604584391526i</v>
      </c>
      <c r="AN19">
        <f>IMABS(AM19)</f>
        <v>1.000000000892973</v>
      </c>
      <c r="AO19">
        <f>IMARGUMENT(AM19)</f>
        <v>-4.2260458413994297E-5</v>
      </c>
      <c r="AP19" s="41" t="str">
        <f>(IMDIV(IMPRODUCT(AF19,AJ19,AM19),IMPRODUCT(AG19)))</f>
        <v>210,303968438488-53,3712567889581i</v>
      </c>
      <c r="AQ19">
        <f>20*LOG(IMABS(AP19))</f>
        <v>46.728018622918526</v>
      </c>
      <c r="AR19" s="43">
        <f>(180/PI())*IMARGUMENT(AP19)</f>
        <v>-14.239980437167185</v>
      </c>
      <c r="AS19" t="str">
        <f t="shared" ref="AS19:AS82" si="58">COMPLEX(Adc_ea,0)</f>
        <v>-0,0000166666666666667</v>
      </c>
      <c r="AT19" t="str">
        <f t="shared" ref="AT19:AT82" si="59">COMPLEX(0,2*PI()*O19*wp0_ea)</f>
        <v>6,44882811252038E-08i</v>
      </c>
      <c r="AU19">
        <f>IMABS(AT19)</f>
        <v>6.4488281125203806E-8</v>
      </c>
      <c r="AV19">
        <f>IMARGUMENT(AT19)</f>
        <v>1.5707963267948966</v>
      </c>
      <c r="AW19" t="str">
        <f t="shared" ref="AW19:AW82" si="60">IMSUM(COMPLEX(1,0),IMDIV(COMPLEX(0,2*PI()*O19),COMPLEX(wp1_ea,0)))</f>
        <v>1+0,0000423080365509996i</v>
      </c>
      <c r="AX19">
        <f>IMABS(AW19)</f>
        <v>1.000000000894985</v>
      </c>
      <c r="AY19">
        <f>IMARGUMENT(AW19)</f>
        <v>4.2308036525756231E-5</v>
      </c>
      <c r="AZ19" t="str">
        <f t="shared" ref="AZ19:AZ82" si="61">IMSUM(COMPLEX(1,0),IMDIV(COMPLEX(0,2*PI()*O19),COMPLEX(wz_ea,0)))</f>
        <v>1+0,0141449868868842i</v>
      </c>
      <c r="BA19">
        <f>IMABS(AZ19)</f>
        <v>1.0001000353234821</v>
      </c>
      <c r="BB19">
        <f>IMARGUMENT(AZ19)</f>
        <v>1.4144043620710006E-2</v>
      </c>
      <c r="BC19" s="41" t="str">
        <f>IMPRODUCT(AS19,IMDIV(AZ19,IMPRODUCT(AT19,AW19)))</f>
        <v>-3,64476526562232+258,445043349596i</v>
      </c>
      <c r="BD19">
        <f>20*LOG(IMABS(BC19))</f>
        <v>48.248227809305185</v>
      </c>
      <c r="BE19" s="43">
        <f>(180/PI())*IMARGUMENT(BC19)</f>
        <v>90.807969932783209</v>
      </c>
      <c r="BF19" s="41" t="str">
        <f>IMPRODUCT(AC19,BC19)</f>
        <v>3841,87074369356+16295,7643345621i</v>
      </c>
      <c r="BG19" s="20">
        <f>20*LOG(IMABS(BF19))</f>
        <v>84.476415445167618</v>
      </c>
      <c r="BH19" s="43">
        <f>(180/PI())*IMARGUMENT(BF19)</f>
        <v>76.734252053962663</v>
      </c>
      <c r="BI19" s="41" t="str">
        <f>IMPRODUCT(AP19,BC19)</f>
        <v>13027,0281750576+54546,5439426041i</v>
      </c>
      <c r="BJ19" s="20">
        <f>20*LOG(IMABS(BI19))</f>
        <v>94.976246432223718</v>
      </c>
      <c r="BK19" s="43">
        <f>(180/PI())*IMARGUMENT(BI19)</f>
        <v>76.56798949561599</v>
      </c>
      <c r="BL19">
        <f>IF($B$31=0,BJ19,BG19)</f>
        <v>84.476415445167618</v>
      </c>
      <c r="BM19" s="43">
        <f>IF($B$31=0,BK19,BH19)</f>
        <v>76.734252053962663</v>
      </c>
    </row>
    <row r="20" spans="1:65" x14ac:dyDescent="0.25">
      <c r="A20" t="s">
        <v>33</v>
      </c>
      <c r="B20" s="29">
        <f>IOUT</f>
        <v>6</v>
      </c>
      <c r="C20" t="s">
        <v>11</v>
      </c>
      <c r="E20" t="s">
        <v>34</v>
      </c>
      <c r="N20" s="9">
        <v>2</v>
      </c>
      <c r="O20" s="34">
        <f t="shared" ref="O20:O83" si="62">10^(1+(N20/100))</f>
        <v>10.471285480509</v>
      </c>
      <c r="P20" s="33" t="str">
        <f t="shared" si="50"/>
        <v>66,7780509511648</v>
      </c>
      <c r="Q20" s="4" t="str">
        <f t="shared" ref="Q20:Q82" si="63">IMSUM(COMPLEX(1,0),IMDIV(COMPLEX(0,2*PI()*O20),COMPLEX(wp_lf,0)))</f>
        <v>1+0,25642239395384i</v>
      </c>
      <c r="R20" s="4">
        <f t="shared" ref="R20:R83" si="64">IMABS(Q20)</f>
        <v>1.032352868025763</v>
      </c>
      <c r="S20" s="4">
        <f t="shared" ref="S20:S83" si="65">IMARGUMENT(Q20)</f>
        <v>0.2510140753844779</v>
      </c>
      <c r="T20" s="4" t="str">
        <f t="shared" si="51"/>
        <v>1+0,0000657930270784171i</v>
      </c>
      <c r="U20" s="4">
        <f t="shared" ref="U20:U83" si="66">IMABS(T20)</f>
        <v>1.0000000021643611</v>
      </c>
      <c r="V20" s="4">
        <f t="shared" ref="V20:V83" si="67">IMARGUMENT(T20)</f>
        <v>6.5793026983483859E-5</v>
      </c>
      <c r="W20" t="str">
        <f t="shared" si="52"/>
        <v>1-0,000143124302376702i</v>
      </c>
      <c r="X20" s="4">
        <f t="shared" ref="X20:X83" si="68">IMABS(W20)</f>
        <v>1.0000000102422828</v>
      </c>
      <c r="Y20" s="4">
        <f t="shared" ref="Y20:Y83" si="69">IMARGUMENT(W20)</f>
        <v>-1.4312430139942227E-4</v>
      </c>
      <c r="Z20" t="str">
        <f t="shared" si="53"/>
        <v>0,999999999890352+0,0000281311307367998i</v>
      </c>
      <c r="AA20" s="4">
        <f t="shared" ref="AA20:AA83" si="70">IMABS(Z20)</f>
        <v>1.0000000002860321</v>
      </c>
      <c r="AB20" s="4">
        <f t="shared" ref="AB20:AB83" si="71">IMARGUMENT(Z20)</f>
        <v>2.8131130732463699E-5</v>
      </c>
      <c r="AC20" s="47" t="str">
        <f t="shared" ref="AC20:AC83" si="72">(IMDIV(IMPRODUCT(P20,T20,W20),IMPRODUCT(Q20,Z20)))</f>
        <v>62,6564319733722-16,0735548571548i</v>
      </c>
      <c r="AD20" s="20">
        <f t="shared" ref="AD20:AD83" si="73">20*LOG(IMABS(AC20))</f>
        <v>36.216111515557593</v>
      </c>
      <c r="AE20" s="43">
        <f t="shared" ref="AE20:AE83" si="74">(180/PI())*IMARGUMENT(AC20)</f>
        <v>-14.388089668621609</v>
      </c>
      <c r="AF20" t="str">
        <f t="shared" si="54"/>
        <v>223,849857273222</v>
      </c>
      <c r="AG20" t="str">
        <f t="shared" si="55"/>
        <v>1+0,259716832151998i</v>
      </c>
      <c r="AH20">
        <f t="shared" ref="AH20:AH83" si="75">IMABS(AG20)</f>
        <v>1.0331760899784068</v>
      </c>
      <c r="AI20">
        <f t="shared" ref="AI20:AI83" si="76">IMARGUMENT(AG20)</f>
        <v>0.25410280249249639</v>
      </c>
      <c r="AJ20" t="str">
        <f t="shared" si="56"/>
        <v>1+0,0000657930270784171i</v>
      </c>
      <c r="AK20">
        <f t="shared" ref="AK20:AK83" si="77">IMABS(AJ20)</f>
        <v>1.0000000021643611</v>
      </c>
      <c r="AL20">
        <f t="shared" ref="AL20:AL83" si="78">IMARGUMENT(AJ20)</f>
        <v>6.5793026983483859E-5</v>
      </c>
      <c r="AM20" t="str">
        <f t="shared" si="57"/>
        <v>1-0,0000432448309713569i</v>
      </c>
      <c r="AN20">
        <f t="shared" ref="AN20:AN83" si="79">IMABS(AM20)</f>
        <v>1.0000000009350576</v>
      </c>
      <c r="AO20">
        <f t="shared" ref="AO20:AO83" si="80">IMARGUMENT(AM20)</f>
        <v>-4.3244830944399288E-5</v>
      </c>
      <c r="AP20" s="41" t="str">
        <f t="shared" ref="AP20:AP83" si="81">(IMDIV(IMPRODUCT(AF20,AJ20,AM20),IMPRODUCT(AG20)))</f>
        <v>209,705911031957-54,4591074862883i</v>
      </c>
      <c r="AQ20">
        <f t="shared" ref="AQ20:AQ83" si="82">20*LOG(IMABS(AP20))</f>
        <v>46.715649521881474</v>
      </c>
      <c r="AR20" s="43">
        <f t="shared" ref="AR20:AR83" si="83">(180/PI())*IMARGUMENT(AP20)</f>
        <v>-14.557726228797717</v>
      </c>
      <c r="AS20" t="str">
        <f t="shared" si="58"/>
        <v>-0,0000166666666666667</v>
      </c>
      <c r="AT20" t="str">
        <f t="shared" si="59"/>
        <v>6,59904061596523E-08i</v>
      </c>
      <c r="AU20">
        <f t="shared" ref="AU20:AU83" si="84">IMABS(AT20)</f>
        <v>6.5990406159652305E-8</v>
      </c>
      <c r="AV20">
        <f t="shared" ref="AV20:AV83" si="85">IMARGUMENT(AT20)</f>
        <v>1.5707963267948966</v>
      </c>
      <c r="AW20" t="str">
        <f t="shared" si="60"/>
        <v>1+0,0000432935173197959i</v>
      </c>
      <c r="AX20">
        <f t="shared" ref="AX20:AX83" si="86">IMABS(AW20)</f>
        <v>1.0000000009371643</v>
      </c>
      <c r="AY20">
        <f t="shared" ref="AY20:AY83" si="87">IMARGUMENT(AW20)</f>
        <v>4.3293517292747144E-5</v>
      </c>
      <c r="AZ20" t="str">
        <f t="shared" si="61"/>
        <v>1+0,0144744659572517i</v>
      </c>
      <c r="BA20">
        <f t="shared" ref="BA20:BA83" si="88">IMABS(AZ20)</f>
        <v>1.0001047495961348</v>
      </c>
      <c r="BB20">
        <f t="shared" ref="BB20:BB83" si="89">IMARGUMENT(AZ20)</f>
        <v>1.447345523505349E-2</v>
      </c>
      <c r="BC20" s="41" t="str">
        <f t="shared" ref="BC20:BC83" si="90">IMPRODUCT(AS20,IMDIV(AZ20,IMPRODUCT(AT20,AW20)))</f>
        <v>-3,64476526531484+252,562123034696i</v>
      </c>
      <c r="BD20">
        <f t="shared" ref="BD20:BD83" si="91">20*LOG(IMABS(BC20))</f>
        <v>48.048268752398542</v>
      </c>
      <c r="BE20" s="43">
        <f t="shared" ref="BE20:BE83" si="92">(180/PI())*IMARGUMENT(BC20)</f>
        <v>90.826787364118942</v>
      </c>
      <c r="BF20" s="41" t="str">
        <f t="shared" ref="BF20:BF83" si="93">IMPRODUCT(AC20,BC20)</f>
        <v>3831,20315253256+15883,2258154074i</v>
      </c>
      <c r="BG20" s="20">
        <f t="shared" ref="BG20:BG83" si="94">20*LOG(IMABS(BF20))</f>
        <v>84.264380267956142</v>
      </c>
      <c r="BH20" s="43">
        <f t="shared" ref="BH20:BH83" si="95">(180/PI())*IMARGUMENT(BF20)</f>
        <v>76.438697695497339</v>
      </c>
      <c r="BI20" s="41" t="str">
        <f t="shared" ref="BI20:BI49" si="96">IMPRODUCT(AP20,BC20)</f>
        <v>12989,9789848512+53162,2607665022i</v>
      </c>
      <c r="BJ20" s="20">
        <f t="shared" ref="BJ20:BJ83" si="97">20*LOG(IMABS(BI20))</f>
        <v>94.763918274280016</v>
      </c>
      <c r="BK20" s="43">
        <f t="shared" ref="BK20:BK49" si="98">(180/PI())*IMARGUMENT(BI20)</f>
        <v>76.269061135321223</v>
      </c>
      <c r="BL20">
        <f t="shared" ref="BL20:BL83" si="99">IF($B$31=0,BJ20,BG20)</f>
        <v>84.264380267956142</v>
      </c>
      <c r="BM20" s="43">
        <f t="shared" ref="BM20:BM83" si="100">IF($B$31=0,BK20,BH20)</f>
        <v>76.438697695497339</v>
      </c>
    </row>
    <row r="21" spans="1:65" x14ac:dyDescent="0.25">
      <c r="N21" s="9">
        <v>3</v>
      </c>
      <c r="O21" s="34">
        <f t="shared" si="62"/>
        <v>10.715193052376069</v>
      </c>
      <c r="P21" s="33" t="str">
        <f t="shared" si="50"/>
        <v>66,7780509511648</v>
      </c>
      <c r="Q21" s="4" t="str">
        <f t="shared" si="63"/>
        <v>1+0,26239523879682i</v>
      </c>
      <c r="R21" s="4">
        <f t="shared" si="64"/>
        <v>1.0338526303798043</v>
      </c>
      <c r="S21" s="4">
        <f t="shared" si="65"/>
        <v>0.2566103200623997</v>
      </c>
      <c r="T21" s="4" t="str">
        <f t="shared" si="51"/>
        <v>1+0,0000673255435502821i</v>
      </c>
      <c r="U21" s="4">
        <f t="shared" si="66"/>
        <v>1.0000000022663644</v>
      </c>
      <c r="V21" s="4">
        <f t="shared" si="67"/>
        <v>6.7325543448559289E-5</v>
      </c>
      <c r="W21" t="str">
        <f t="shared" si="52"/>
        <v>1-0,000146458095647151i</v>
      </c>
      <c r="X21" s="4">
        <f t="shared" si="68"/>
        <v>1.0000000107249869</v>
      </c>
      <c r="Y21" s="4">
        <f t="shared" si="69"/>
        <v>-1.4645809459997691E-4</v>
      </c>
      <c r="Z21" t="str">
        <f t="shared" si="53"/>
        <v>0,999999999885185+0,000028786388947901i</v>
      </c>
      <c r="AA21" s="4">
        <f t="shared" si="70"/>
        <v>1.0000000002995131</v>
      </c>
      <c r="AB21" s="4">
        <f t="shared" si="71"/>
        <v>2.8786388943254772E-5</v>
      </c>
      <c r="AC21" s="47" t="str">
        <f t="shared" si="72"/>
        <v>62,4746986255549-16,4002700811696i</v>
      </c>
      <c r="AD21" s="20">
        <f t="shared" si="73"/>
        <v>36.203502152682013</v>
      </c>
      <c r="AE21" s="43">
        <f t="shared" si="74"/>
        <v>-14.708871618873731</v>
      </c>
      <c r="AF21" t="str">
        <f t="shared" si="54"/>
        <v>223,849857273222</v>
      </c>
      <c r="AG21" t="str">
        <f t="shared" si="55"/>
        <v>1+0,265766414318496i</v>
      </c>
      <c r="AH21">
        <f t="shared" si="75"/>
        <v>1.0347133839763119</v>
      </c>
      <c r="AI21">
        <f t="shared" si="76"/>
        <v>0.2597617189685888</v>
      </c>
      <c r="AJ21" t="str">
        <f t="shared" si="56"/>
        <v>1+0,0000673255435502821i</v>
      </c>
      <c r="AK21">
        <f t="shared" si="77"/>
        <v>1.0000000022663644</v>
      </c>
      <c r="AL21">
        <f t="shared" si="78"/>
        <v>6.7325543448559289E-5</v>
      </c>
      <c r="AM21" t="str">
        <f t="shared" si="57"/>
        <v>1-0,0000442521324853552i</v>
      </c>
      <c r="AN21">
        <f t="shared" si="79"/>
        <v>1.0000000009791257</v>
      </c>
      <c r="AO21">
        <f t="shared" si="80"/>
        <v>-4.4252132456469603E-5</v>
      </c>
      <c r="AP21" s="41" t="str">
        <f t="shared" si="81"/>
        <v>209,083303280005-55,5621548268199i</v>
      </c>
      <c r="AQ21">
        <f t="shared" si="82"/>
        <v>46.70273513035017</v>
      </c>
      <c r="AR21" s="43">
        <f t="shared" si="83"/>
        <v>-14.881928166894705</v>
      </c>
      <c r="AS21" t="str">
        <f t="shared" si="58"/>
        <v>-0,0000166666666666667</v>
      </c>
      <c r="AT21" t="str">
        <f t="shared" si="59"/>
        <v>6,7527520180933E-08i</v>
      </c>
      <c r="AU21">
        <f t="shared" si="84"/>
        <v>6.7527520180933001E-8</v>
      </c>
      <c r="AV21">
        <f t="shared" si="85"/>
        <v>1.5707963267948966</v>
      </c>
      <c r="AW21" t="str">
        <f t="shared" si="60"/>
        <v>1+0,0000443019528845326i</v>
      </c>
      <c r="AX21">
        <f t="shared" si="86"/>
        <v>1.0000000009813315</v>
      </c>
      <c r="AY21">
        <f t="shared" si="87"/>
        <v>4.4301952855549334E-5</v>
      </c>
      <c r="AZ21" t="str">
        <f t="shared" si="61"/>
        <v>1+0,014811619581062i</v>
      </c>
      <c r="BA21">
        <f t="shared" si="88"/>
        <v>1.0001096860217953</v>
      </c>
      <c r="BB21">
        <f t="shared" si="89"/>
        <v>1.4810536579129344E-2</v>
      </c>
      <c r="BC21" s="41" t="str">
        <f t="shared" si="90"/>
        <v>-3,64476526499289+246,813114500481i</v>
      </c>
      <c r="BD21">
        <f t="shared" si="91"/>
        <v>47.848311624666628</v>
      </c>
      <c r="BE21" s="43">
        <f t="shared" si="92"/>
        <v>90.846042923385426</v>
      </c>
      <c r="BF21" s="41" t="str">
        <f t="shared" si="93"/>
        <v>3820,0961258912+15479,3500799805i</v>
      </c>
      <c r="BG21" s="20">
        <f t="shared" si="94"/>
        <v>84.051813777348642</v>
      </c>
      <c r="BH21" s="43">
        <f t="shared" si="95"/>
        <v>76.137171304511725</v>
      </c>
      <c r="BI21" s="41" t="str">
        <f t="shared" si="96"/>
        <v>12951,4089198804+51807,0122845476i</v>
      </c>
      <c r="BJ21" s="20">
        <f t="shared" si="97"/>
        <v>94.551046755016799</v>
      </c>
      <c r="BK21" s="43">
        <f t="shared" si="98"/>
        <v>75.96411475649073</v>
      </c>
      <c r="BL21">
        <f t="shared" si="99"/>
        <v>84.051813777348642</v>
      </c>
      <c r="BM21" s="43">
        <f t="shared" si="100"/>
        <v>76.137171304511725</v>
      </c>
    </row>
    <row r="22" spans="1:65" x14ac:dyDescent="0.25">
      <c r="A22" t="s">
        <v>174</v>
      </c>
      <c r="N22" s="9">
        <v>4</v>
      </c>
      <c r="O22" s="34">
        <f t="shared" si="62"/>
        <v>10.964781961431854</v>
      </c>
      <c r="P22" s="33" t="str">
        <f t="shared" si="50"/>
        <v>66,7780509511648</v>
      </c>
      <c r="Q22" s="4" t="str">
        <f t="shared" si="63"/>
        <v>1+0,268507209068621i</v>
      </c>
      <c r="R22" s="4">
        <f t="shared" si="64"/>
        <v>1.0354207460360354</v>
      </c>
      <c r="S22" s="4">
        <f t="shared" si="65"/>
        <v>0.26231995174193878</v>
      </c>
      <c r="T22" s="4" t="str">
        <f t="shared" si="51"/>
        <v>1+0,0000688937569164964i</v>
      </c>
      <c r="U22" s="4">
        <f t="shared" si="66"/>
        <v>1.0000000023731748</v>
      </c>
      <c r="V22" s="4">
        <f t="shared" si="67"/>
        <v>6.8893756807498444E-5</v>
      </c>
      <c r="W22" t="str">
        <f t="shared" si="52"/>
        <v>1-0,000149869542938514i</v>
      </c>
      <c r="X22" s="4">
        <f t="shared" si="68"/>
        <v>1.0000000112304399</v>
      </c>
      <c r="Y22" s="4">
        <f t="shared" si="69"/>
        <v>-1.4986954181644675E-4</v>
      </c>
      <c r="Z22" t="str">
        <f t="shared" si="53"/>
        <v>0,999999999879774+0,0000294569100834552i</v>
      </c>
      <c r="AA22" s="4">
        <f t="shared" si="70"/>
        <v>1.0000000003136287</v>
      </c>
      <c r="AB22" s="4">
        <f t="shared" si="71"/>
        <v>2.9456910078476677E-5</v>
      </c>
      <c r="AC22" s="47" t="str">
        <f t="shared" si="72"/>
        <v>62,2855264582239-16,7314873548897i</v>
      </c>
      <c r="AD22" s="20">
        <f t="shared" si="73"/>
        <v>36.1903376506719</v>
      </c>
      <c r="AE22" s="43">
        <f t="shared" si="74"/>
        <v>-15.036153444237291</v>
      </c>
      <c r="AF22" t="str">
        <f t="shared" si="54"/>
        <v>223,849857273222</v>
      </c>
      <c r="AG22" t="str">
        <f t="shared" si="55"/>
        <v>1+0,2719569093557i</v>
      </c>
      <c r="AH22">
        <f t="shared" si="75"/>
        <v>1.0363206842219761</v>
      </c>
      <c r="AI22">
        <f t="shared" si="76"/>
        <v>0.26553487850565499</v>
      </c>
      <c r="AJ22" t="str">
        <f t="shared" si="56"/>
        <v>1+0,0000688937569164964i</v>
      </c>
      <c r="AK22">
        <f t="shared" si="77"/>
        <v>1.0000000023731748</v>
      </c>
      <c r="AL22">
        <f t="shared" si="78"/>
        <v>6.8893756807498444E-5</v>
      </c>
      <c r="AM22" t="str">
        <f t="shared" si="57"/>
        <v>1-0,0000452828970657435i</v>
      </c>
      <c r="AN22">
        <f t="shared" si="79"/>
        <v>1.0000000010252703</v>
      </c>
      <c r="AO22">
        <f t="shared" si="80"/>
        <v>-4.5282897034792019E-5</v>
      </c>
      <c r="AP22" s="41" t="str">
        <f t="shared" si="81"/>
        <v>208,435303460475-56,6801356421205i</v>
      </c>
      <c r="AQ22">
        <f t="shared" si="82"/>
        <v>46.689253136798577</v>
      </c>
      <c r="AR22" s="43">
        <f t="shared" si="83"/>
        <v>-15.212675049277447</v>
      </c>
      <c r="AS22" t="str">
        <f t="shared" si="58"/>
        <v>-0,0000166666666666667</v>
      </c>
      <c r="AT22" t="str">
        <f t="shared" si="59"/>
        <v>6,91004381872459E-08i</v>
      </c>
      <c r="AU22">
        <f t="shared" si="84"/>
        <v>6.9100438187245901E-8</v>
      </c>
      <c r="AV22">
        <f t="shared" si="85"/>
        <v>1.5707963267948966</v>
      </c>
      <c r="AW22" t="str">
        <f t="shared" si="60"/>
        <v>1+0,0000453338779310943i</v>
      </c>
      <c r="AX22">
        <f t="shared" si="86"/>
        <v>1.0000000010275802</v>
      </c>
      <c r="AY22">
        <f t="shared" si="87"/>
        <v>4.5333877900038169E-5</v>
      </c>
      <c r="AZ22" t="str">
        <f t="shared" si="61"/>
        <v>1+0,0151566265216292i</v>
      </c>
      <c r="BA22">
        <f t="shared" si="88"/>
        <v>1.0001148550679149</v>
      </c>
      <c r="BB22">
        <f t="shared" si="89"/>
        <v>1.5155466071348345E-2</v>
      </c>
      <c r="BC22" s="41" t="str">
        <f t="shared" si="90"/>
        <v>-3,64476526465577+241,194969546534i</v>
      </c>
      <c r="BD22">
        <f t="shared" si="91"/>
        <v>47.648356516988919</v>
      </c>
      <c r="BE22" s="43">
        <f t="shared" si="92"/>
        <v>90.865746802569348</v>
      </c>
      <c r="BF22" s="41" t="str">
        <f t="shared" si="93"/>
        <v>3808,53445970511+15083,9380012183i</v>
      </c>
      <c r="BG22" s="20">
        <f t="shared" si="94"/>
        <v>83.838694167660833</v>
      </c>
      <c r="BH22" s="43">
        <f t="shared" si="95"/>
        <v>75.829593358332062</v>
      </c>
      <c r="BI22" s="41" t="str">
        <f t="shared" si="96"/>
        <v>12911,2658361139+50480,1324601562i</v>
      </c>
      <c r="BJ22" s="20">
        <f t="shared" si="97"/>
        <v>94.337609653787496</v>
      </c>
      <c r="BK22" s="43">
        <f t="shared" si="98"/>
        <v>75.65307175329194</v>
      </c>
      <c r="BL22">
        <f t="shared" si="99"/>
        <v>83.838694167660833</v>
      </c>
      <c r="BM22" s="43">
        <f t="shared" si="100"/>
        <v>75.829593358332062</v>
      </c>
    </row>
    <row r="23" spans="1:65" x14ac:dyDescent="0.25">
      <c r="A23" t="s">
        <v>175</v>
      </c>
      <c r="B23" s="29">
        <f>Lm</f>
        <v>8.1999999999999988E-7</v>
      </c>
      <c r="C23" t="s">
        <v>87</v>
      </c>
      <c r="E23" t="s">
        <v>176</v>
      </c>
      <c r="N23" s="9">
        <v>5</v>
      </c>
      <c r="O23" s="34">
        <f t="shared" si="62"/>
        <v>11.220184543019636</v>
      </c>
      <c r="P23" s="33" t="str">
        <f t="shared" si="50"/>
        <v>66,7780509511648</v>
      </c>
      <c r="Q23" s="4" t="str">
        <f t="shared" si="63"/>
        <v>1+0,274761545416783i</v>
      </c>
      <c r="R23" s="4">
        <f t="shared" si="64"/>
        <v>1.0370602233428003</v>
      </c>
      <c r="S23" s="4">
        <f t="shared" si="65"/>
        <v>0.26814450806571982</v>
      </c>
      <c r="T23" s="4" t="str">
        <f t="shared" si="51"/>
        <v>1+0,0000704984986645445i</v>
      </c>
      <c r="U23" s="4">
        <f t="shared" si="66"/>
        <v>1.0000000024850191</v>
      </c>
      <c r="V23" s="4">
        <f t="shared" si="67"/>
        <v>7.0498498547751085E-5</v>
      </c>
      <c r="W23" t="str">
        <f t="shared" si="52"/>
        <v>1-0,000153360453045301i</v>
      </c>
      <c r="X23" s="4">
        <f t="shared" si="68"/>
        <v>1.0000000117597143</v>
      </c>
      <c r="Y23" s="4">
        <f t="shared" si="69"/>
        <v>-1.5336045184298426E-4</v>
      </c>
      <c r="Z23" t="str">
        <f t="shared" si="53"/>
        <v>0,999999999874107+0,000030143049662644i</v>
      </c>
      <c r="AA23" s="4">
        <f t="shared" si="70"/>
        <v>1.0000000003284086</v>
      </c>
      <c r="AB23" s="4">
        <f t="shared" si="71"/>
        <v>3.0143049657309439E-5</v>
      </c>
      <c r="AC23" s="47" t="str">
        <f t="shared" si="72"/>
        <v>62,0886623429658-17,067123072148i</v>
      </c>
      <c r="AD23" s="20">
        <f t="shared" si="73"/>
        <v>36.176595361604747</v>
      </c>
      <c r="AE23" s="43">
        <f t="shared" si="74"/>
        <v>-15.370023321510489</v>
      </c>
      <c r="AF23" t="str">
        <f t="shared" si="54"/>
        <v>223,849857273222</v>
      </c>
      <c r="AG23" t="str">
        <f t="shared" si="55"/>
        <v>1+0,278291599546021i</v>
      </c>
      <c r="AH23">
        <f t="shared" si="75"/>
        <v>1.0380010666554649</v>
      </c>
      <c r="AI23">
        <f t="shared" si="76"/>
        <v>0.27142380215546008</v>
      </c>
      <c r="AJ23" t="str">
        <f t="shared" si="56"/>
        <v>1+0,0000704984986645445i</v>
      </c>
      <c r="AK23">
        <f t="shared" si="77"/>
        <v>1.0000000024850191</v>
      </c>
      <c r="AL23">
        <f t="shared" si="78"/>
        <v>7.0498498547751085E-5</v>
      </c>
      <c r="AM23" t="str">
        <f t="shared" si="57"/>
        <v>1-0,0000463376712375461i</v>
      </c>
      <c r="AN23">
        <f t="shared" si="79"/>
        <v>1.0000000010735899</v>
      </c>
      <c r="AO23">
        <f t="shared" si="80"/>
        <v>-4.6337671204381003E-5</v>
      </c>
      <c r="AP23" s="41" t="str">
        <f t="shared" si="81"/>
        <v>207,761055845742-57,8127481569106i</v>
      </c>
      <c r="AQ23">
        <f t="shared" si="82"/>
        <v>46.675180471253086</v>
      </c>
      <c r="AR23" s="43">
        <f t="shared" si="83"/>
        <v>-15.5500540094654</v>
      </c>
      <c r="AS23" t="str">
        <f t="shared" si="58"/>
        <v>-0,0000166666666666667</v>
      </c>
      <c r="AT23" t="str">
        <f t="shared" si="59"/>
        <v>7,07099941605381E-08i</v>
      </c>
      <c r="AU23">
        <f t="shared" si="84"/>
        <v>7.0709994160538096E-8</v>
      </c>
      <c r="AV23">
        <f t="shared" si="85"/>
        <v>1.5707963267948966</v>
      </c>
      <c r="AW23" t="str">
        <f t="shared" si="60"/>
        <v>1+0,0000463898395998i</v>
      </c>
      <c r="AX23">
        <f t="shared" si="86"/>
        <v>1.0000000010760086</v>
      </c>
      <c r="AY23">
        <f t="shared" si="87"/>
        <v>4.6389839566522761E-5</v>
      </c>
      <c r="AZ23" t="str">
        <f t="shared" si="61"/>
        <v>1+0,0155096697061998i</v>
      </c>
      <c r="BA23">
        <f t="shared" si="88"/>
        <v>1.0001202676950385</v>
      </c>
      <c r="BB23">
        <f t="shared" si="89"/>
        <v>1.5508426269396809E-2</v>
      </c>
      <c r="BC23" s="41" t="str">
        <f t="shared" si="90"/>
        <v>-3,64476526430276+235,704709358034i</v>
      </c>
      <c r="BD23">
        <f t="shared" si="91"/>
        <v>47.448403524523826</v>
      </c>
      <c r="BE23" s="43">
        <f t="shared" si="92"/>
        <v>90.885909430106793</v>
      </c>
      <c r="BF23" s="41" t="str">
        <f t="shared" si="93"/>
        <v>3796,50268348378+14696,7957693128i</v>
      </c>
      <c r="BG23" s="20">
        <f t="shared" si="94"/>
        <v>83.62499888612858</v>
      </c>
      <c r="BH23" s="43">
        <f t="shared" si="95"/>
        <v>75.515886108596305</v>
      </c>
      <c r="BI23" s="41" t="str">
        <f t="shared" si="96"/>
        <v>12869,4967218924+49180,9731803551i</v>
      </c>
      <c r="BJ23" s="20">
        <f t="shared" si="97"/>
        <v>94.123583995776926</v>
      </c>
      <c r="BK23" s="43">
        <f t="shared" si="98"/>
        <v>75.335855420641408</v>
      </c>
      <c r="BL23">
        <f t="shared" si="99"/>
        <v>83.62499888612858</v>
      </c>
      <c r="BM23" s="43">
        <f t="shared" si="100"/>
        <v>75.515886108596305</v>
      </c>
    </row>
    <row r="24" spans="1:65" x14ac:dyDescent="0.25">
      <c r="N24" s="9">
        <v>6</v>
      </c>
      <c r="O24" s="34">
        <f t="shared" si="62"/>
        <v>11.481536214968834</v>
      </c>
      <c r="P24" s="33" t="str">
        <f t="shared" si="50"/>
        <v>66,7780509511648</v>
      </c>
      <c r="Q24" s="4" t="str">
        <f t="shared" si="63"/>
        <v>1+0,281161563973224i</v>
      </c>
      <c r="R24" s="4">
        <f t="shared" si="64"/>
        <v>1.0387741934876267</v>
      </c>
      <c r="S24" s="4">
        <f t="shared" si="65"/>
        <v>0.27408549584492403</v>
      </c>
      <c r="T24" s="4" t="str">
        <f t="shared" si="51"/>
        <v>1+0,0000721406196497425i</v>
      </c>
      <c r="U24" s="4">
        <f t="shared" si="66"/>
        <v>1.0000000026021345</v>
      </c>
      <c r="V24" s="4">
        <f t="shared" si="67"/>
        <v>7.2140619524596104E-5</v>
      </c>
      <c r="W24" t="str">
        <f t="shared" si="52"/>
        <v>1-0,000156932676894258i</v>
      </c>
      <c r="X24" s="4">
        <f t="shared" si="68"/>
        <v>1.0000000123139325</v>
      </c>
      <c r="Y24" s="4">
        <f t="shared" si="69"/>
        <v>-1.569326756059524E-4</v>
      </c>
      <c r="Z24" t="str">
        <f t="shared" si="53"/>
        <v>0,999999999868174+0,0000308451714857544i</v>
      </c>
      <c r="AA24" s="4">
        <f t="shared" si="70"/>
        <v>1.000000000343886</v>
      </c>
      <c r="AB24" s="4">
        <f t="shared" si="71"/>
        <v>3.084517148003832E-5</v>
      </c>
      <c r="AC24" s="47" t="str">
        <f t="shared" si="72"/>
        <v>61,8838491252692-17,407081833513i</v>
      </c>
      <c r="AD24" s="20">
        <f t="shared" si="73"/>
        <v>36.162251873636123</v>
      </c>
      <c r="AE24" s="43">
        <f t="shared" si="74"/>
        <v>-15.710567662758484</v>
      </c>
      <c r="AF24" t="str">
        <f t="shared" si="54"/>
        <v>223,849857273222</v>
      </c>
      <c r="AG24" t="str">
        <f t="shared" si="55"/>
        <v>1+0,284773843626045i</v>
      </c>
      <c r="AH24">
        <f t="shared" si="75"/>
        <v>1.039757732365358</v>
      </c>
      <c r="AI24">
        <f t="shared" si="76"/>
        <v>0.27742997785242191</v>
      </c>
      <c r="AJ24" t="str">
        <f t="shared" si="56"/>
        <v>1+0,0000721406196497425i</v>
      </c>
      <c r="AK24">
        <f t="shared" si="77"/>
        <v>1.0000000026021345</v>
      </c>
      <c r="AL24">
        <f t="shared" si="78"/>
        <v>7.2140619524596104E-5</v>
      </c>
      <c r="AM24" t="str">
        <f t="shared" si="57"/>
        <v>1-0,0000474170142559904i</v>
      </c>
      <c r="AN24">
        <f t="shared" si="79"/>
        <v>1.0000000011241865</v>
      </c>
      <c r="AO24">
        <f t="shared" si="80"/>
        <v>-4.741701422045335E-5</v>
      </c>
      <c r="AP24" s="41" t="str">
        <f t="shared" si="81"/>
        <v>207,059691904379-58,9596499480959i</v>
      </c>
      <c r="AQ24">
        <f t="shared" si="82"/>
        <v>46.660493293303055</v>
      </c>
      <c r="AR24" s="43">
        <f t="shared" si="83"/>
        <v>-15.894150283113374</v>
      </c>
      <c r="AS24" t="str">
        <f t="shared" si="58"/>
        <v>-0,0000166666666666667</v>
      </c>
      <c r="AT24" t="str">
        <f t="shared" si="59"/>
        <v>7,23570415086917E-08i</v>
      </c>
      <c r="AU24">
        <f t="shared" si="84"/>
        <v>7.2357041508691705E-8</v>
      </c>
      <c r="AV24">
        <f t="shared" si="85"/>
        <v>1.5707963267948966</v>
      </c>
      <c r="AW24" t="str">
        <f t="shared" si="60"/>
        <v>1+0,0000474703977755035i</v>
      </c>
      <c r="AX24">
        <f t="shared" si="86"/>
        <v>1.0000000011267194</v>
      </c>
      <c r="AY24">
        <f t="shared" si="87"/>
        <v>4.7470397739846292E-5</v>
      </c>
      <c r="AZ24" t="str">
        <f t="shared" si="61"/>
        <v>1+0,0158709363229433i</v>
      </c>
      <c r="BA24">
        <f t="shared" si="88"/>
        <v>1.0001259353800236</v>
      </c>
      <c r="BB24">
        <f t="shared" si="89"/>
        <v>1.586960396546501E-2</v>
      </c>
      <c r="BC24" s="41" t="str">
        <f t="shared" si="90"/>
        <v>-3,64476526393307+230,339422926355i</v>
      </c>
      <c r="BD24">
        <f t="shared" si="91"/>
        <v>47.248452746910218</v>
      </c>
      <c r="BE24" s="43">
        <f t="shared" si="92"/>
        <v>90.906541476322914</v>
      </c>
      <c r="BF24" s="41" t="str">
        <f t="shared" si="93"/>
        <v>3783,98508067297+14317,7348231894i</v>
      </c>
      <c r="BG24" s="20">
        <f t="shared" si="94"/>
        <v>83.410704620546383</v>
      </c>
      <c r="BH24" s="43">
        <f t="shared" si="95"/>
        <v>75.195973813564464</v>
      </c>
      <c r="BI24" s="41" t="str">
        <f t="shared" si="96"/>
        <v>12826,0477723705+47908,904028668i</v>
      </c>
      <c r="BJ24" s="20">
        <f t="shared" si="97"/>
        <v>93.90894604021328</v>
      </c>
      <c r="BK24" s="43">
        <f t="shared" si="98"/>
        <v>75.012391193209595</v>
      </c>
      <c r="BL24">
        <f t="shared" si="99"/>
        <v>83.410704620546383</v>
      </c>
      <c r="BM24" s="43">
        <f t="shared" si="100"/>
        <v>75.195973813564464</v>
      </c>
    </row>
    <row r="25" spans="1:65" x14ac:dyDescent="0.25">
      <c r="A25" t="s">
        <v>137</v>
      </c>
      <c r="B25" s="29">
        <f>R_cs</f>
        <v>1.1999999999999999E-3</v>
      </c>
      <c r="C25" s="2" t="s">
        <v>36</v>
      </c>
      <c r="E25" t="s">
        <v>177</v>
      </c>
      <c r="N25" s="9">
        <v>7</v>
      </c>
      <c r="O25" s="34">
        <f t="shared" si="62"/>
        <v>11.748975549395301</v>
      </c>
      <c r="P25" s="33" t="str">
        <f t="shared" si="50"/>
        <v>66,7780509511648</v>
      </c>
      <c r="Q25" s="4" t="str">
        <f t="shared" si="63"/>
        <v>1+0,287710658112497i</v>
      </c>
      <c r="R25" s="4">
        <f t="shared" si="64"/>
        <v>1.0405659146788953</v>
      </c>
      <c r="S25" s="4">
        <f t="shared" si="65"/>
        <v>0.28014438688916776</v>
      </c>
      <c r="T25" s="4" t="str">
        <f t="shared" si="51"/>
        <v>1+0,0000738209905463728i</v>
      </c>
      <c r="U25" s="4">
        <f t="shared" si="66"/>
        <v>1.0000000027247693</v>
      </c>
      <c r="V25" s="4">
        <f t="shared" si="67"/>
        <v>7.3820990412276017E-5</v>
      </c>
      <c r="W25" t="str">
        <f t="shared" si="52"/>
        <v>1-0,000160588108525754i</v>
      </c>
      <c r="X25" s="4">
        <f t="shared" si="68"/>
        <v>1.0000000128942703</v>
      </c>
      <c r="Y25" s="4">
        <f t="shared" si="69"/>
        <v>-1.6058810714530972E-4</v>
      </c>
      <c r="Z25" t="str">
        <f t="shared" si="53"/>
        <v>0,999999999861962+0,0000315636478270706i</v>
      </c>
      <c r="AA25" s="4">
        <f t="shared" si="70"/>
        <v>1.000000000360094</v>
      </c>
      <c r="AB25" s="4">
        <f t="shared" si="71"/>
        <v>3.156364782094568E-5</v>
      </c>
      <c r="AC25" s="47" t="str">
        <f t="shared" si="72"/>
        <v>61,6708260042957-17,7512558339638i</v>
      </c>
      <c r="AD25" s="20">
        <f t="shared" si="73"/>
        <v>36.147282999503119</v>
      </c>
      <c r="AE25" s="43">
        <f t="shared" si="74"/>
        <v>-16.057870876424868</v>
      </c>
      <c r="AF25" t="str">
        <f t="shared" si="54"/>
        <v>223,849857273222</v>
      </c>
      <c r="AG25" t="str">
        <f t="shared" si="55"/>
        <v>1+0,291407078567387i</v>
      </c>
      <c r="AH25">
        <f t="shared" si="75"/>
        <v>1.0415940118103499</v>
      </c>
      <c r="AI25">
        <f t="shared" si="76"/>
        <v>0.28355485612616693</v>
      </c>
      <c r="AJ25" t="str">
        <f t="shared" si="56"/>
        <v>1+0,0000738209905463728i</v>
      </c>
      <c r="AK25">
        <f t="shared" si="77"/>
        <v>1.0000000027247693</v>
      </c>
      <c r="AL25">
        <f t="shared" si="78"/>
        <v>7.3820990412276017E-5</v>
      </c>
      <c r="AM25" t="str">
        <f t="shared" si="57"/>
        <v>1-0,0000485214984030316i</v>
      </c>
      <c r="AN25">
        <f t="shared" si="79"/>
        <v>1.0000000011771679</v>
      </c>
      <c r="AO25">
        <f t="shared" si="80"/>
        <v>-4.8521498364952969E-5</v>
      </c>
      <c r="AP25" s="41" t="str">
        <f t="shared" si="81"/>
        <v>206,330331664201-60,1204558823996i</v>
      </c>
      <c r="AQ25">
        <f t="shared" si="82"/>
        <v>46.645166981256693</v>
      </c>
      <c r="AR25" s="43">
        <f t="shared" si="83"/>
        <v>-16.245046962350539</v>
      </c>
      <c r="AS25" t="str">
        <f t="shared" si="58"/>
        <v>-0,0000166666666666667</v>
      </c>
      <c r="AT25" t="str">
        <f t="shared" si="59"/>
        <v>7,40424535180119E-08i</v>
      </c>
      <c r="AU25">
        <f t="shared" si="84"/>
        <v>7.4042453518011904E-8</v>
      </c>
      <c r="AV25">
        <f t="shared" si="85"/>
        <v>1.5707963267948966</v>
      </c>
      <c r="AW25" t="str">
        <f t="shared" si="60"/>
        <v>1+0,0000485761253844527i</v>
      </c>
      <c r="AX25">
        <f t="shared" si="86"/>
        <v>1.00000000117982</v>
      </c>
      <c r="AY25">
        <f t="shared" si="87"/>
        <v>4.8576125346245316E-5</v>
      </c>
      <c r="AZ25" t="str">
        <f t="shared" si="61"/>
        <v>1+0,016240617920202i</v>
      </c>
      <c r="BA25">
        <f t="shared" si="88"/>
        <v>1.0001318701403481</v>
      </c>
      <c r="BB25">
        <f t="shared" si="89"/>
        <v>1.6239190283608925E-2</v>
      </c>
      <c r="BC25" s="41" t="str">
        <f t="shared" si="90"/>
        <v>-3,64476526354601+225,096265505615i</v>
      </c>
      <c r="BD25">
        <f t="shared" si="91"/>
        <v>47.048504288478306</v>
      </c>
      <c r="BE25" s="43">
        <f t="shared" si="92"/>
        <v>90.92765385899321</v>
      </c>
      <c r="BF25" s="41" t="str">
        <f t="shared" si="93"/>
        <v>3770,96571186537+13946,5717848615i</v>
      </c>
      <c r="BG25" s="20">
        <f t="shared" si="94"/>
        <v>83.195787287981432</v>
      </c>
      <c r="BH25" s="43">
        <f t="shared" si="95"/>
        <v>74.869782982568339</v>
      </c>
      <c r="BI25" s="41" t="str">
        <f t="shared" si="96"/>
        <v>12780,8644739576+46663,3120673753i</v>
      </c>
      <c r="BJ25" s="20">
        <f t="shared" si="97"/>
        <v>93.693671269734992</v>
      </c>
      <c r="BK25" s="43">
        <f t="shared" si="98"/>
        <v>74.682606896642696</v>
      </c>
      <c r="BL25">
        <f t="shared" si="99"/>
        <v>83.195787287981432</v>
      </c>
      <c r="BM25" s="43">
        <f t="shared" si="100"/>
        <v>74.869782982568339</v>
      </c>
    </row>
    <row r="26" spans="1:65" x14ac:dyDescent="0.25">
      <c r="A26" t="s">
        <v>138</v>
      </c>
      <c r="B26" s="29">
        <f>R_sl</f>
        <v>0</v>
      </c>
      <c r="C26" s="2" t="s">
        <v>36</v>
      </c>
      <c r="E26" t="s">
        <v>493</v>
      </c>
      <c r="N26" s="9">
        <v>8</v>
      </c>
      <c r="O26" s="34">
        <f t="shared" si="62"/>
        <v>12.022644346174133</v>
      </c>
      <c r="P26" s="33" t="str">
        <f t="shared" si="50"/>
        <v>66,7780509511648</v>
      </c>
      <c r="Q26" s="4" t="str">
        <f t="shared" si="63"/>
        <v>1+0,294412300251002i</v>
      </c>
      <c r="R26" s="4">
        <f t="shared" si="64"/>
        <v>1.0424387763984446</v>
      </c>
      <c r="S26" s="4">
        <f t="shared" si="65"/>
        <v>0.28632261362435812</v>
      </c>
      <c r="T26" s="4" t="str">
        <f t="shared" si="51"/>
        <v>1+0,000075540502309327i</v>
      </c>
      <c r="U26" s="4">
        <f t="shared" si="66"/>
        <v>1.0000000028531837</v>
      </c>
      <c r="V26" s="4">
        <f t="shared" si="67"/>
        <v>7.5540502165639703E-5</v>
      </c>
      <c r="W26" t="str">
        <f t="shared" si="52"/>
        <v>1-0,000164328686098025i</v>
      </c>
      <c r="X26" s="4">
        <f t="shared" si="68"/>
        <v>1.0000000135019584</v>
      </c>
      <c r="Y26" s="4">
        <f t="shared" si="69"/>
        <v>-1.6432868461885229E-4</v>
      </c>
      <c r="Z26" t="str">
        <f t="shared" si="53"/>
        <v>0,999999999855456+0,000032298859632259i</v>
      </c>
      <c r="AA26" s="4">
        <f t="shared" si="70"/>
        <v>1.0000000003770639</v>
      </c>
      <c r="AB26" s="4">
        <f t="shared" si="71"/>
        <v>3.229885962569604E-5</v>
      </c>
      <c r="AC26" s="47" t="str">
        <f t="shared" si="72"/>
        <v>61,449328962067-18,0995242453776i</v>
      </c>
      <c r="AD26" s="20">
        <f t="shared" si="73"/>
        <v>36.131663766237722</v>
      </c>
      <c r="AE26" s="43">
        <f t="shared" si="74"/>
        <v>-16.412015116295553</v>
      </c>
      <c r="AF26" t="str">
        <f t="shared" si="54"/>
        <v>223,849857273222</v>
      </c>
      <c r="AG26" t="str">
        <f t="shared" si="55"/>
        <v>1+0,298194821399014i</v>
      </c>
      <c r="AH26">
        <f t="shared" si="75"/>
        <v>1.0435133691089873</v>
      </c>
      <c r="AI26">
        <f t="shared" si="76"/>
        <v>0.28979984560121091</v>
      </c>
      <c r="AJ26" t="str">
        <f t="shared" si="56"/>
        <v>1+0,000075540502309327i</v>
      </c>
      <c r="AK26">
        <f t="shared" si="77"/>
        <v>1.0000000028531837</v>
      </c>
      <c r="AL26">
        <f t="shared" si="78"/>
        <v>7.5540502165639703E-5</v>
      </c>
      <c r="AM26" t="str">
        <f t="shared" si="57"/>
        <v>1-0,000049651709290784i</v>
      </c>
      <c r="AN26">
        <f t="shared" si="79"/>
        <v>1.000000001232646</v>
      </c>
      <c r="AO26">
        <f t="shared" si="80"/>
        <v>-4.965170924998201E-5</v>
      </c>
      <c r="AP26" s="41" t="str">
        <f t="shared" si="81"/>
        <v>205,572085246088-61,2947360419578i</v>
      </c>
      <c r="AQ26">
        <f t="shared" si="82"/>
        <v>46.629176122591083</v>
      </c>
      <c r="AR26" s="43">
        <f t="shared" si="83"/>
        <v>-16.602824737921498</v>
      </c>
      <c r="AS26" t="str">
        <f t="shared" si="58"/>
        <v>-0,0000166666666666667</v>
      </c>
      <c r="AT26" t="str">
        <f t="shared" si="59"/>
        <v>7,5767123816255E-08i</v>
      </c>
      <c r="AU26">
        <f t="shared" si="84"/>
        <v>7.5767123816255002E-8</v>
      </c>
      <c r="AV26">
        <f t="shared" si="85"/>
        <v>1.5707963267948966</v>
      </c>
      <c r="AW26" t="str">
        <f t="shared" si="60"/>
        <v>1+0,0000497076086980616i</v>
      </c>
      <c r="AX26">
        <f t="shared" si="86"/>
        <v>1.0000000012354231</v>
      </c>
      <c r="AY26">
        <f t="shared" si="87"/>
        <v>4.9707608657121642E-5</v>
      </c>
      <c r="AZ26" t="str">
        <f t="shared" si="61"/>
        <v>1+0,0166189105080519i</v>
      </c>
      <c r="BA26">
        <f t="shared" si="88"/>
        <v>1.0001380845595644</v>
      </c>
      <c r="BB26">
        <f t="shared" si="89"/>
        <v>1.6617380779288239E-2</v>
      </c>
      <c r="BC26" s="41" t="str">
        <f t="shared" si="90"/>
        <v>-3,64476526314067+219,972457104347i</v>
      </c>
      <c r="BD26">
        <f t="shared" si="91"/>
        <v>46.848558258470021</v>
      </c>
      <c r="BE26" s="43">
        <f t="shared" si="92"/>
        <v>90.949257749029286</v>
      </c>
      <c r="BF26" s="41" t="str">
        <f t="shared" si="93"/>
        <v>3757,42844103117+13583,1283964481i</v>
      </c>
      <c r="BG26" s="20">
        <f t="shared" si="94"/>
        <v>82.980222024707743</v>
      </c>
      <c r="BH26" s="43">
        <f t="shared" si="95"/>
        <v>74.537242632733708</v>
      </c>
      <c r="BI26" s="41" t="str">
        <f t="shared" si="96"/>
        <v>12733,8916993355+45443,6016283854i</v>
      </c>
      <c r="BJ26" s="20">
        <f t="shared" si="97"/>
        <v>93.477734381061111</v>
      </c>
      <c r="BK26" s="43">
        <f t="shared" si="98"/>
        <v>74.346433011107806</v>
      </c>
      <c r="BL26">
        <f t="shared" si="99"/>
        <v>82.980222024707743</v>
      </c>
      <c r="BM26" s="43">
        <f t="shared" si="100"/>
        <v>74.537242632733708</v>
      </c>
    </row>
    <row r="27" spans="1:65" x14ac:dyDescent="0.25">
      <c r="A27" t="s">
        <v>129</v>
      </c>
      <c r="B27" s="12">
        <f>Rsl_int</f>
        <v>3000</v>
      </c>
      <c r="C27" s="2" t="s">
        <v>36</v>
      </c>
      <c r="E27" t="s">
        <v>178</v>
      </c>
      <c r="N27" s="9">
        <v>9</v>
      </c>
      <c r="O27" s="34">
        <f t="shared" si="62"/>
        <v>12.302687708123818</v>
      </c>
      <c r="P27" s="33" t="str">
        <f t="shared" si="50"/>
        <v>66,7780509511648</v>
      </c>
      <c r="Q27" s="4" t="str">
        <f t="shared" si="63"/>
        <v>1+0,301270043688108i</v>
      </c>
      <c r="R27" s="4">
        <f t="shared" si="64"/>
        <v>1.0443963037199215</v>
      </c>
      <c r="S27" s="4">
        <f t="shared" si="65"/>
        <v>0.29262156449723686</v>
      </c>
      <c r="T27" s="4" t="str">
        <f t="shared" si="51"/>
        <v>1+0,0000773000666465025i</v>
      </c>
      <c r="U27" s="4">
        <f t="shared" si="66"/>
        <v>1.0000000029876501</v>
      </c>
      <c r="V27" s="4">
        <f t="shared" si="67"/>
        <v>7.7300066492538792E-5</v>
      </c>
      <c r="W27" t="str">
        <f t="shared" si="52"/>
        <v>1-0,000168156392914813i</v>
      </c>
      <c r="X27" s="4">
        <f t="shared" si="68"/>
        <v>1.0000000141382861</v>
      </c>
      <c r="Y27" s="4">
        <f t="shared" si="69"/>
        <v>-1.6815639132985088E-4</v>
      </c>
      <c r="Z27" t="str">
        <f t="shared" si="53"/>
        <v>0,999999999848644+0,0000330511967203504i</v>
      </c>
      <c r="AA27" s="4">
        <f t="shared" si="70"/>
        <v>1.0000000003948346</v>
      </c>
      <c r="AB27" s="4">
        <f t="shared" si="71"/>
        <v>3.3051196713318051E-5</v>
      </c>
      <c r="AC27" s="47" t="str">
        <f t="shared" si="72"/>
        <v>61,2190912448544-18,4517525967882i</v>
      </c>
      <c r="AD27" s="20">
        <f t="shared" si="73"/>
        <v>36.115368406242872</v>
      </c>
      <c r="AE27" s="43">
        <f t="shared" si="74"/>
        <v>-16.773080018241693</v>
      </c>
      <c r="AF27" t="str">
        <f t="shared" si="54"/>
        <v>223,849857273222</v>
      </c>
      <c r="AG27" t="str">
        <f t="shared" si="55"/>
        <v>1+0,305140671072022i</v>
      </c>
      <c r="AH27">
        <f t="shared" si="75"/>
        <v>1.0455194063920019</v>
      </c>
      <c r="AI27">
        <f t="shared" si="76"/>
        <v>0.29616630828307672</v>
      </c>
      <c r="AJ27" t="str">
        <f t="shared" si="56"/>
        <v>1+0,0000773000666465025i</v>
      </c>
      <c r="AK27">
        <f t="shared" si="77"/>
        <v>1.0000000029876501</v>
      </c>
      <c r="AL27">
        <f t="shared" si="78"/>
        <v>7.7300066492538792E-5</v>
      </c>
      <c r="AM27" t="str">
        <f t="shared" si="57"/>
        <v>1-0,0000508082461720205i</v>
      </c>
      <c r="AN27">
        <f t="shared" si="79"/>
        <v>1.0000000012907388</v>
      </c>
      <c r="AO27">
        <f t="shared" si="80"/>
        <v>-5.0808246128300377E-5</v>
      </c>
      <c r="AP27" s="41" t="str">
        <f t="shared" si="81"/>
        <v>204,784054577761-62,4820136484754i</v>
      </c>
      <c r="AQ27">
        <f t="shared" si="82"/>
        <v>46.612494505851323</v>
      </c>
      <c r="AR27" s="43">
        <f t="shared" si="83"/>
        <v>-16.967561629092227</v>
      </c>
      <c r="AS27" t="str">
        <f t="shared" si="58"/>
        <v>-0,0000166666666666667</v>
      </c>
      <c r="AT27" t="str">
        <f t="shared" si="59"/>
        <v>7,7531966846442E-08i</v>
      </c>
      <c r="AU27">
        <f t="shared" si="84"/>
        <v>7.7531966846442001E-8</v>
      </c>
      <c r="AV27">
        <f t="shared" si="85"/>
        <v>1.5707963267948966</v>
      </c>
      <c r="AW27" t="str">
        <f t="shared" si="60"/>
        <v>1+0,0000508654476437604i</v>
      </c>
      <c r="AX27">
        <f t="shared" si="86"/>
        <v>1.0000000012936467</v>
      </c>
      <c r="AY27">
        <f t="shared" si="87"/>
        <v>5.0865447599892448E-5</v>
      </c>
      <c r="AZ27" t="str">
        <f t="shared" si="61"/>
        <v>1+0,0170060146622305i</v>
      </c>
      <c r="BA27">
        <f t="shared" si="88"/>
        <v>1.0001445918139498</v>
      </c>
      <c r="BB27">
        <f t="shared" si="89"/>
        <v>1.7004375541126736E-2</v>
      </c>
      <c r="BC27" s="41" t="str">
        <f t="shared" si="90"/>
        <v>-3,64476526271626+214,965281011515i</v>
      </c>
      <c r="BD27">
        <f t="shared" si="91"/>
        <v>46.648614771270225</v>
      </c>
      <c r="BE27" s="43">
        <f t="shared" si="92"/>
        <v>90.971364576291521</v>
      </c>
      <c r="BF27" s="41" t="str">
        <f t="shared" si="93"/>
        <v>3743,35696493922+13227,2314596207i</v>
      </c>
      <c r="BG27" s="20">
        <f t="shared" si="94"/>
        <v>82.763983177513083</v>
      </c>
      <c r="BH27" s="43">
        <f t="shared" si="95"/>
        <v>74.198284558049849</v>
      </c>
      <c r="BI27" s="41" t="str">
        <f t="shared" si="96"/>
        <v>12685,0738136266+44249,1941118763i</v>
      </c>
      <c r="BJ27" s="20">
        <f t="shared" si="97"/>
        <v>93.261109277121534</v>
      </c>
      <c r="BK27" s="43">
        <f t="shared" si="98"/>
        <v>74.003802947199304</v>
      </c>
      <c r="BL27">
        <f t="shared" si="99"/>
        <v>82.763983177513083</v>
      </c>
      <c r="BM27" s="43">
        <f t="shared" si="100"/>
        <v>74.198284558049849</v>
      </c>
    </row>
    <row r="28" spans="1:65" x14ac:dyDescent="0.25">
      <c r="A28" t="s">
        <v>127</v>
      </c>
      <c r="B28" s="12">
        <f>Isl</f>
        <v>2.9999999999999997E-5</v>
      </c>
      <c r="C28" s="2" t="s">
        <v>11</v>
      </c>
      <c r="E28" t="s">
        <v>179</v>
      </c>
      <c r="N28" s="9">
        <v>10</v>
      </c>
      <c r="O28" s="34">
        <f t="shared" si="62"/>
        <v>12.58925411794168</v>
      </c>
      <c r="P28" s="33" t="str">
        <f t="shared" si="50"/>
        <v>66,7780509511648</v>
      </c>
      <c r="Q28" s="4" t="str">
        <f t="shared" si="63"/>
        <v>1+0,308287524490158i</v>
      </c>
      <c r="R28" s="4">
        <f t="shared" si="64"/>
        <v>1.0464421616870518</v>
      </c>
      <c r="S28" s="4">
        <f t="shared" si="65"/>
        <v>0.29904257916640481</v>
      </c>
      <c r="T28" s="4" t="str">
        <f t="shared" si="51"/>
        <v>1+0,0000791006165022013i</v>
      </c>
      <c r="U28" s="4">
        <f t="shared" si="66"/>
        <v>1.0000000031284537</v>
      </c>
      <c r="V28" s="4">
        <f t="shared" si="67"/>
        <v>7.9100616337226222E-5</v>
      </c>
      <c r="W28" t="str">
        <f t="shared" si="52"/>
        <v>1-0,000172073258476937i</v>
      </c>
      <c r="X28" s="4">
        <f t="shared" si="68"/>
        <v>1.0000000148046031</v>
      </c>
      <c r="Y28" s="4">
        <f t="shared" si="69"/>
        <v>-1.7207325677861949E-4</v>
      </c>
      <c r="Z28" t="str">
        <f t="shared" si="53"/>
        <v>0,999999999841511+0,0000338210579904272i</v>
      </c>
      <c r="AA28" s="4">
        <f t="shared" si="70"/>
        <v>1.0000000004134428</v>
      </c>
      <c r="AB28" s="4">
        <f t="shared" si="71"/>
        <v>3.3821057982891905E-5</v>
      </c>
      <c r="AC28" s="47" t="str">
        <f t="shared" si="72"/>
        <v>60,9798438994861-18,8077921557481i</v>
      </c>
      <c r="AD28" s="20">
        <f t="shared" si="73"/>
        <v>36.098370349890942</v>
      </c>
      <c r="AE28" s="43">
        <f t="shared" si="74"/>
        <v>-17.141142424730319</v>
      </c>
      <c r="AF28" t="str">
        <f t="shared" si="54"/>
        <v>223,849857273222</v>
      </c>
      <c r="AG28" t="str">
        <f t="shared" si="55"/>
        <v>1+0,312248310367847i</v>
      </c>
      <c r="AH28">
        <f t="shared" si="75"/>
        <v>1.0476158682110419</v>
      </c>
      <c r="AI28">
        <f t="shared" si="76"/>
        <v>0.30265555463129484</v>
      </c>
      <c r="AJ28" t="str">
        <f t="shared" si="56"/>
        <v>1+0,0000791006165022013i</v>
      </c>
      <c r="AK28">
        <f t="shared" si="77"/>
        <v>1.0000000031284537</v>
      </c>
      <c r="AL28">
        <f t="shared" si="78"/>
        <v>7.9100616337226222E-5</v>
      </c>
      <c r="AM28" t="str">
        <f t="shared" si="57"/>
        <v>1-0,000051991722257904i</v>
      </c>
      <c r="AN28">
        <f t="shared" si="79"/>
        <v>1.0000000013515695</v>
      </c>
      <c r="AO28">
        <f t="shared" si="80"/>
        <v>-5.1991722211057049E-5</v>
      </c>
      <c r="AP28" s="41" t="str">
        <f t="shared" si="81"/>
        <v>203,965335296502-63,6817629978367i</v>
      </c>
      <c r="AQ28">
        <f t="shared" si="82"/>
        <v>46.595095114165758</v>
      </c>
      <c r="AR28" s="43">
        <f t="shared" si="83"/>
        <v>-17.339332701343611</v>
      </c>
      <c r="AS28" t="str">
        <f t="shared" si="58"/>
        <v>-0,0000166666666666667</v>
      </c>
      <c r="AT28" t="str">
        <f t="shared" si="59"/>
        <v>7,93379183517079E-08i</v>
      </c>
      <c r="AU28">
        <f t="shared" si="84"/>
        <v>7.9337918351707905E-8</v>
      </c>
      <c r="AV28">
        <f t="shared" si="85"/>
        <v>1.5707963267948966</v>
      </c>
      <c r="AW28" t="str">
        <f t="shared" si="60"/>
        <v>1+0,0000520502561230836i</v>
      </c>
      <c r="AX28">
        <f t="shared" si="86"/>
        <v>1.0000000013546144</v>
      </c>
      <c r="AY28">
        <f t="shared" si="87"/>
        <v>5.2050256076078248E-5</v>
      </c>
      <c r="AZ28" t="str">
        <f t="shared" si="61"/>
        <v>1+0,0174021356304843i</v>
      </c>
      <c r="BA28">
        <f t="shared" si="88"/>
        <v>1.0001514057004077</v>
      </c>
      <c r="BB28">
        <f t="shared" si="89"/>
        <v>1.740037929493762E-2</v>
      </c>
      <c r="BC28" s="41" t="str">
        <f t="shared" si="90"/>
        <v>-3,64476526227184+210,072082356079i</v>
      </c>
      <c r="BD28">
        <f t="shared" si="91"/>
        <v>46.448673946648533</v>
      </c>
      <c r="BE28" s="43">
        <f t="shared" si="92"/>
        <v>90.993986035531009</v>
      </c>
      <c r="BF28" s="41" t="str">
        <f t="shared" si="93"/>
        <v>3728,73484593472+12878,712777223i</v>
      </c>
      <c r="BG28" s="20">
        <f t="shared" si="94"/>
        <v>82.547044296539482</v>
      </c>
      <c r="BH28" s="43">
        <f t="shared" si="95"/>
        <v>73.852843610800718</v>
      </c>
      <c r="BI28" s="41" t="str">
        <f t="shared" si="96"/>
        <v>12634,3547922655+43079,5277918068i</v>
      </c>
      <c r="BJ28" s="20">
        <f t="shared" si="97"/>
        <v>93.043769060814299</v>
      </c>
      <c r="BK28" s="43">
        <f t="shared" si="98"/>
        <v>73.654653334187458</v>
      </c>
      <c r="BL28">
        <f t="shared" si="99"/>
        <v>82.547044296539482</v>
      </c>
      <c r="BM28" s="43">
        <f t="shared" si="100"/>
        <v>73.852843610800718</v>
      </c>
    </row>
    <row r="29" spans="1:65" x14ac:dyDescent="0.25">
      <c r="A29" t="s">
        <v>491</v>
      </c>
      <c r="B29" s="12">
        <f>Vsl</f>
        <v>4.4999999999999998E-2</v>
      </c>
      <c r="C29" s="2"/>
      <c r="N29" s="9">
        <v>11</v>
      </c>
      <c r="O29" s="34">
        <f t="shared" si="62"/>
        <v>12.882495516931346</v>
      </c>
      <c r="P29" s="33" t="str">
        <f t="shared" si="50"/>
        <v>66,7780509511648</v>
      </c>
      <c r="Q29" s="4" t="str">
        <f t="shared" si="63"/>
        <v>1+0,315468463418359i</v>
      </c>
      <c r="R29" s="4">
        <f t="shared" si="64"/>
        <v>1.0485801597453295</v>
      </c>
      <c r="S29" s="4">
        <f t="shared" si="65"/>
        <v>0.30558694348084076</v>
      </c>
      <c r="T29" s="4" t="str">
        <f t="shared" si="51"/>
        <v>1+0,0000809431065517899i</v>
      </c>
      <c r="U29" s="4">
        <f t="shared" si="66"/>
        <v>1.0000000032758931</v>
      </c>
      <c r="V29" s="4">
        <f t="shared" si="67"/>
        <v>8.0943106375015906E-5</v>
      </c>
      <c r="W29" t="str">
        <f t="shared" si="52"/>
        <v>1-0,000176081359558365i</v>
      </c>
      <c r="X29" s="4">
        <f t="shared" si="68"/>
        <v>1.0000000155023223</v>
      </c>
      <c r="Y29" s="4">
        <f t="shared" si="69"/>
        <v>-1.7608135773858501E-4</v>
      </c>
      <c r="Z29" t="str">
        <f t="shared" si="53"/>
        <v>0,999999999834041+0,0000346088516331251i</v>
      </c>
      <c r="AA29" s="4">
        <f t="shared" si="70"/>
        <v>1.0000000004329272</v>
      </c>
      <c r="AB29" s="4">
        <f t="shared" si="71"/>
        <v>3.4608851625050907E-5</v>
      </c>
      <c r="AC29" s="47" t="str">
        <f t="shared" si="72"/>
        <v>60,7313163671911-19,1674793145208i</v>
      </c>
      <c r="AD29" s="20">
        <f t="shared" si="73"/>
        <v>36.080642219813399</v>
      </c>
      <c r="AE29" s="43">
        <f t="shared" si="74"/>
        <v>-17.516276097160304</v>
      </c>
      <c r="AF29" t="str">
        <f t="shared" si="54"/>
        <v>223,849857273222</v>
      </c>
      <c r="AG29" t="str">
        <f t="shared" si="55"/>
        <v>1+0,319521507850924i</v>
      </c>
      <c r="AH29">
        <f t="shared" si="75"/>
        <v>1.0498066459969322</v>
      </c>
      <c r="AI29">
        <f t="shared" si="76"/>
        <v>0.30926883842103225</v>
      </c>
      <c r="AJ29" t="str">
        <f t="shared" si="56"/>
        <v>1+0,0000809431065517899i</v>
      </c>
      <c r="AK29">
        <f t="shared" si="77"/>
        <v>1.0000000032758931</v>
      </c>
      <c r="AL29">
        <f t="shared" si="78"/>
        <v>8.0943106375015906E-5</v>
      </c>
      <c r="AM29" t="str">
        <f t="shared" si="57"/>
        <v>1-0,0000532027650431204i</v>
      </c>
      <c r="AN29">
        <f t="shared" si="79"/>
        <v>1.000000001415267</v>
      </c>
      <c r="AO29">
        <f t="shared" si="80"/>
        <v>-5.3202764992922981E-5</v>
      </c>
      <c r="AP29" s="41" t="str">
        <f t="shared" si="81"/>
        <v>203,115018849294-64,8934074184078i</v>
      </c>
      <c r="AQ29">
        <f t="shared" si="82"/>
        <v>46.57695012054829</v>
      </c>
      <c r="AR29" s="43">
        <f t="shared" si="83"/>
        <v>-17.718209771955095</v>
      </c>
      <c r="AS29" t="str">
        <f t="shared" si="58"/>
        <v>-0,0000166666666666667</v>
      </c>
      <c r="AT29" t="str">
        <f t="shared" si="59"/>
        <v>8,11859358714453E-08i</v>
      </c>
      <c r="AU29">
        <f t="shared" si="84"/>
        <v>8.1185935871445296E-8</v>
      </c>
      <c r="AV29">
        <f t="shared" si="85"/>
        <v>1.5707963267948966</v>
      </c>
      <c r="AW29" t="str">
        <f t="shared" si="60"/>
        <v>1+0,0000532626623371698i</v>
      </c>
      <c r="AX29">
        <f t="shared" si="86"/>
        <v>1.0000000014184556</v>
      </c>
      <c r="AY29">
        <f t="shared" si="87"/>
        <v>5.3262662286802656E-5</v>
      </c>
      <c r="AZ29" t="str">
        <f t="shared" si="61"/>
        <v>1+0,0178074834413938i</v>
      </c>
      <c r="BA29">
        <f t="shared" si="88"/>
        <v>1.0001585406656863</v>
      </c>
      <c r="BB29">
        <f t="shared" si="89"/>
        <v>1.7805601510060505E-2</v>
      </c>
      <c r="BC29" s="41" t="str">
        <f t="shared" si="90"/>
        <v>-3,64476526180647+205,290266699339i</v>
      </c>
      <c r="BD29">
        <f t="shared" si="91"/>
        <v>46.248735910012229</v>
      </c>
      <c r="BE29" s="43">
        <f t="shared" si="92"/>
        <v>91.017134092463564</v>
      </c>
      <c r="BF29" s="41" t="str">
        <f t="shared" si="93"/>
        <v>3713,54554823312+12537,4090967846i</v>
      </c>
      <c r="BG29" s="20">
        <f t="shared" si="94"/>
        <v>82.32937812982567</v>
      </c>
      <c r="BH29" s="43">
        <f t="shared" si="95"/>
        <v>73.500857995303335</v>
      </c>
      <c r="BI29" s="41" t="str">
        <f t="shared" si="96"/>
        <v>12581,6783511007+41934,0576272917i</v>
      </c>
      <c r="BJ29" s="20">
        <f t="shared" si="97"/>
        <v>92.825686030560519</v>
      </c>
      <c r="BK29" s="43">
        <f t="shared" si="98"/>
        <v>73.298924320508519</v>
      </c>
      <c r="BL29">
        <f t="shared" si="99"/>
        <v>82.32937812982567</v>
      </c>
      <c r="BM29" s="43">
        <f t="shared" si="100"/>
        <v>73.500857995303335</v>
      </c>
    </row>
    <row r="30" spans="1:65" x14ac:dyDescent="0.25">
      <c r="A30" t="s">
        <v>201</v>
      </c>
      <c r="B30" s="12">
        <f>Gcomp</f>
        <v>1</v>
      </c>
      <c r="C30" s="2"/>
      <c r="E30" t="s">
        <v>202</v>
      </c>
      <c r="N30" s="9">
        <v>12</v>
      </c>
      <c r="O30" s="34">
        <f t="shared" si="62"/>
        <v>13.182567385564075</v>
      </c>
      <c r="P30" s="33" t="str">
        <f t="shared" si="50"/>
        <v>66,7780509511648</v>
      </c>
      <c r="Q30" s="4" t="str">
        <f t="shared" si="63"/>
        <v>1+0,322816667901585i</v>
      </c>
      <c r="R30" s="4">
        <f t="shared" si="64"/>
        <v>1.0508142562199478</v>
      </c>
      <c r="S30" s="4">
        <f t="shared" si="65"/>
        <v>0.31225588424828576</v>
      </c>
      <c r="T30" s="4" t="str">
        <f t="shared" si="51"/>
        <v>1+0,000082828513707881i</v>
      </c>
      <c r="U30" s="4">
        <f t="shared" si="66"/>
        <v>1.0000000034302814</v>
      </c>
      <c r="V30" s="4">
        <f t="shared" si="67"/>
        <v>8.282851351846427E-5</v>
      </c>
      <c r="W30" t="str">
        <f t="shared" si="52"/>
        <v>1-0,000180182821307342i</v>
      </c>
      <c r="X30" s="4">
        <f t="shared" si="68"/>
        <v>1.0000000162329243</v>
      </c>
      <c r="Y30" s="4">
        <f t="shared" si="69"/>
        <v>-1.801828193574126E-4</v>
      </c>
      <c r="Z30" t="str">
        <f t="shared" si="53"/>
        <v>0,99999999982622+0,0000354149953470613i</v>
      </c>
      <c r="AA30" s="4">
        <f t="shared" si="70"/>
        <v>1.0000000004533307</v>
      </c>
      <c r="AB30" s="4">
        <f t="shared" si="71"/>
        <v>3.5414995338409631E-5</v>
      </c>
      <c r="AC30" s="47" t="str">
        <f t="shared" si="72"/>
        <v>60,4732371374547-19,5306349852385i</v>
      </c>
      <c r="AD30" s="20">
        <f t="shared" si="73"/>
        <v>36.062155827057566</v>
      </c>
      <c r="AE30" s="43">
        <f t="shared" si="74"/>
        <v>-17.898551416158654</v>
      </c>
      <c r="AF30" t="str">
        <f t="shared" si="54"/>
        <v>223,849857273222</v>
      </c>
      <c r="AG30" t="str">
        <f t="shared" si="55"/>
        <v>1+0,32696411986683i</v>
      </c>
      <c r="AH30">
        <f t="shared" si="75"/>
        <v>1.0520957825598822</v>
      </c>
      <c r="AI30">
        <f t="shared" si="76"/>
        <v>0.31600735139652952</v>
      </c>
      <c r="AJ30" t="str">
        <f t="shared" si="56"/>
        <v>1+0,000082828513707881i</v>
      </c>
      <c r="AK30">
        <f t="shared" si="77"/>
        <v>1.0000000034302814</v>
      </c>
      <c r="AL30">
        <f t="shared" si="78"/>
        <v>8.282851351846427E-5</v>
      </c>
      <c r="AM30" t="str">
        <f t="shared" si="57"/>
        <v>1-0,0000544420166385846i</v>
      </c>
      <c r="AN30">
        <f t="shared" si="79"/>
        <v>1.0000000014819665</v>
      </c>
      <c r="AO30">
        <f t="shared" si="80"/>
        <v>-5.4442016584797099E-5</v>
      </c>
      <c r="AP30" s="41" t="str">
        <f t="shared" si="81"/>
        <v>202,23219479838-66,116317267672i</v>
      </c>
      <c r="AQ30">
        <f t="shared" si="82"/>
        <v>46.558030885168975</v>
      </c>
      <c r="AR30" s="43">
        <f t="shared" si="83"/>
        <v>-18.10426110365918</v>
      </c>
      <c r="AS30" t="str">
        <f t="shared" si="58"/>
        <v>-0,0000166666666666667</v>
      </c>
      <c r="AT30" t="str">
        <f t="shared" si="59"/>
        <v>8,30769992490047E-08i</v>
      </c>
      <c r="AU30">
        <f t="shared" si="84"/>
        <v>8.3076999249004704E-8</v>
      </c>
      <c r="AV30">
        <f t="shared" si="85"/>
        <v>1.5707963267948966</v>
      </c>
      <c r="AW30" t="str">
        <f t="shared" si="60"/>
        <v>1+0,0000545033091198419i</v>
      </c>
      <c r="AX30">
        <f t="shared" si="86"/>
        <v>1.0000000014853052</v>
      </c>
      <c r="AY30">
        <f t="shared" si="87"/>
        <v>5.4503309065872534E-5</v>
      </c>
      <c r="AZ30" t="str">
        <f t="shared" si="61"/>
        <v>1+0,0182222730157338i</v>
      </c>
      <c r="BA30">
        <f t="shared" si="88"/>
        <v>1.0001660118369651</v>
      </c>
      <c r="BB30">
        <f t="shared" si="89"/>
        <v>1.8220256508056004E-2</v>
      </c>
      <c r="BC30" s="41" t="str">
        <f t="shared" si="90"/>
        <v>-3,64476526131916+200,617298659342i</v>
      </c>
      <c r="BD30">
        <f t="shared" si="91"/>
        <v>46.048800792671784</v>
      </c>
      <c r="BE30" s="43">
        <f t="shared" si="92"/>
        <v>91.0408209899784</v>
      </c>
      <c r="BF30" s="41" t="str">
        <f t="shared" si="93"/>
        <v>3697,77247788208+12203,1620556277i</v>
      </c>
      <c r="BG30" s="20">
        <f t="shared" si="94"/>
        <v>82.110956619729365</v>
      </c>
      <c r="BH30" s="43">
        <f t="shared" si="95"/>
        <v>73.142269573819775</v>
      </c>
      <c r="BI30" s="41" t="str">
        <f t="shared" si="96"/>
        <v>12526,9880892229+40812,2550787844i</v>
      </c>
      <c r="BJ30" s="20">
        <f t="shared" si="97"/>
        <v>92.606831677840773</v>
      </c>
      <c r="BK30" s="43">
        <f t="shared" si="98"/>
        <v>72.93655988631923</v>
      </c>
      <c r="BL30">
        <f t="shared" si="99"/>
        <v>82.110956619729365</v>
      </c>
      <c r="BM30" s="43">
        <f t="shared" si="100"/>
        <v>73.142269573819775</v>
      </c>
    </row>
    <row r="31" spans="1:65" x14ac:dyDescent="0.25">
      <c r="A31" t="s">
        <v>481</v>
      </c>
      <c r="B31">
        <f>IF(Variable_Management!B20=3,1,IF((VOUT*IOUT)/(VIN_var*Np)&lt;((VIN_var*(1-(VIN_var/VOUT)))/(2*Lm*Fsw)),0,1))</f>
        <v>1</v>
      </c>
      <c r="E31" t="s">
        <v>482</v>
      </c>
      <c r="N31" s="9">
        <v>13</v>
      </c>
      <c r="O31" s="34">
        <f t="shared" si="62"/>
        <v>13.489628825916535</v>
      </c>
      <c r="P31" s="33" t="str">
        <f t="shared" si="50"/>
        <v>66,7780509511648</v>
      </c>
      <c r="Q31" s="4" t="str">
        <f t="shared" si="63"/>
        <v>1+0,330336034055115i</v>
      </c>
      <c r="R31" s="4">
        <f t="shared" si="64"/>
        <v>1.0531485628320736</v>
      </c>
      <c r="S31" s="4">
        <f t="shared" si="65"/>
        <v>0.31905056379733443</v>
      </c>
      <c r="T31" s="4" t="str">
        <f t="shared" si="51"/>
        <v>1+0,000084757837638305i</v>
      </c>
      <c r="U31" s="4">
        <f t="shared" si="66"/>
        <v>1.0000000035919454</v>
      </c>
      <c r="V31" s="4">
        <f t="shared" si="67"/>
        <v>8.4757837435341316E-5</v>
      </c>
      <c r="W31" t="str">
        <f t="shared" si="52"/>
        <v>1-0,000184379818373179i</v>
      </c>
      <c r="X31" s="4">
        <f t="shared" si="68"/>
        <v>1.0000000169979586</v>
      </c>
      <c r="Y31" s="4">
        <f t="shared" si="69"/>
        <v>-1.84379816283792E-4</v>
      </c>
      <c r="Z31" t="str">
        <f t="shared" si="53"/>
        <v>0,99999999981803+0,0000362399165603033i</v>
      </c>
      <c r="AA31" s="4">
        <f t="shared" si="70"/>
        <v>1.0000000004746956</v>
      </c>
      <c r="AB31" s="4">
        <f t="shared" si="71"/>
        <v>3.6239916551032868E-5</v>
      </c>
      <c r="AC31" s="47" t="str">
        <f t="shared" si="72"/>
        <v>60,2053344641728-19,8970640085845i</v>
      </c>
      <c r="AD31" s="20">
        <f t="shared" si="73"/>
        <v>36.042882169293541</v>
      </c>
      <c r="AE31" s="43">
        <f t="shared" si="74"/>
        <v>-18.288035070059742</v>
      </c>
      <c r="AF31" t="str">
        <f t="shared" si="54"/>
        <v>223,849857273222</v>
      </c>
      <c r="AG31" t="str">
        <f t="shared" si="55"/>
        <v>1+0,334580092586972i</v>
      </c>
      <c r="AH31">
        <f t="shared" si="75"/>
        <v>1.0544874766233625</v>
      </c>
      <c r="AI31">
        <f t="shared" si="76"/>
        <v>0.32287221772110314</v>
      </c>
      <c r="AJ31" t="str">
        <f t="shared" si="56"/>
        <v>1+0,000084757837638305i</v>
      </c>
      <c r="AK31">
        <f t="shared" si="77"/>
        <v>1.0000000035919454</v>
      </c>
      <c r="AL31">
        <f t="shared" si="78"/>
        <v>8.4757837435341316E-5</v>
      </c>
      <c r="AM31" t="str">
        <f t="shared" si="57"/>
        <v>1-0,0000557101341118959i</v>
      </c>
      <c r="AN31">
        <f t="shared" si="79"/>
        <v>1.0000000015518096</v>
      </c>
      <c r="AO31">
        <f t="shared" si="80"/>
        <v>-5.5710134054261554E-5</v>
      </c>
      <c r="AP31" s="41" t="str">
        <f t="shared" si="81"/>
        <v>201,315953339458-67,3498079832617i</v>
      </c>
      <c r="AQ31">
        <f t="shared" si="82"/>
        <v>46.538307954778475</v>
      </c>
      <c r="AR31" s="43">
        <f t="shared" si="83"/>
        <v>-18.497551086639902</v>
      </c>
      <c r="AS31" t="str">
        <f t="shared" si="58"/>
        <v>-0,0000166666666666667</v>
      </c>
      <c r="AT31" t="str">
        <f t="shared" si="59"/>
        <v>8,50121111512199E-08i</v>
      </c>
      <c r="AU31">
        <f t="shared" si="84"/>
        <v>8.5012111151219905E-8</v>
      </c>
      <c r="AV31">
        <f t="shared" si="85"/>
        <v>1.5707963267948966</v>
      </c>
      <c r="AW31" t="str">
        <f t="shared" si="60"/>
        <v>1+0,000055772854278446i</v>
      </c>
      <c r="AX31">
        <f t="shared" si="86"/>
        <v>1.0000000015553057</v>
      </c>
      <c r="AY31">
        <f t="shared" si="87"/>
        <v>5.5772854220616775E-5</v>
      </c>
      <c r="AZ31" t="str">
        <f t="shared" si="61"/>
        <v>1+0,0186467242804271i</v>
      </c>
      <c r="BA31">
        <f t="shared" si="88"/>
        <v>1.0001738350538822</v>
      </c>
      <c r="BB31">
        <f t="shared" si="89"/>
        <v>1.8644563573803428E-2</v>
      </c>
      <c r="BC31" s="41" t="str">
        <f t="shared" si="90"/>
        <v>-3,64476526080891+196,050700566577i</v>
      </c>
      <c r="BD31">
        <f t="shared" si="91"/>
        <v>45.848868732117893</v>
      </c>
      <c r="BE31" s="43">
        <f t="shared" si="92"/>
        <v>91.065059254484041</v>
      </c>
      <c r="BF31" s="41" t="str">
        <f t="shared" si="93"/>
        <v>3681,39902653062+11875,8181272367i</v>
      </c>
      <c r="BG31" s="20">
        <f t="shared" si="94"/>
        <v>81.891750901411399</v>
      </c>
      <c r="BH31" s="43">
        <f t="shared" si="95"/>
        <v>72.777024184424249</v>
      </c>
      <c r="BI31" s="41" t="str">
        <f t="shared" si="96"/>
        <v>12470,2276449646+39713,6079278886i</v>
      </c>
      <c r="BJ31" s="20">
        <f t="shared" si="97"/>
        <v>92.387176686896368</v>
      </c>
      <c r="BK31" s="43">
        <f t="shared" si="98"/>
        <v>72.567508167844167</v>
      </c>
      <c r="BL31">
        <f t="shared" si="99"/>
        <v>81.891750901411399</v>
      </c>
      <c r="BM31" s="43">
        <f t="shared" si="100"/>
        <v>72.777024184424249</v>
      </c>
    </row>
    <row r="32" spans="1:65" ht="15.75" x14ac:dyDescent="0.25">
      <c r="A32" s="35" t="s">
        <v>476</v>
      </c>
      <c r="E32" s="31" t="s">
        <v>500</v>
      </c>
      <c r="N32" s="9">
        <v>14</v>
      </c>
      <c r="O32" s="34">
        <f t="shared" si="62"/>
        <v>13.803842646028857</v>
      </c>
      <c r="P32" s="33" t="str">
        <f t="shared" si="50"/>
        <v>66,7780509511648</v>
      </c>
      <c r="Q32" s="4" t="str">
        <f t="shared" si="63"/>
        <v>1+0,338030548746416i</v>
      </c>
      <c r="R32" s="4">
        <f t="shared" si="64"/>
        <v>1.0555873492448662</v>
      </c>
      <c r="S32" s="4">
        <f t="shared" si="65"/>
        <v>0.3259720743387774</v>
      </c>
      <c r="T32" s="4" t="str">
        <f t="shared" si="51"/>
        <v>1+0,0000867321012961475i</v>
      </c>
      <c r="U32" s="4">
        <f t="shared" si="66"/>
        <v>1.0000000037612287</v>
      </c>
      <c r="V32" s="4">
        <f t="shared" si="67"/>
        <v>8.6732101078667987E-5</v>
      </c>
      <c r="W32" t="str">
        <f t="shared" si="52"/>
        <v>1-0,000188674576059272i</v>
      </c>
      <c r="X32" s="4">
        <f t="shared" si="68"/>
        <v>1.0000000177990476</v>
      </c>
      <c r="Y32" s="4">
        <f t="shared" si="69"/>
        <v>-1.8867457382045353E-4</v>
      </c>
      <c r="Z32" t="str">
        <f t="shared" si="53"/>
        <v>0,999999999809454+0,0000370840526569977i</v>
      </c>
      <c r="AA32" s="4">
        <f t="shared" si="70"/>
        <v>1.0000000004970675</v>
      </c>
      <c r="AB32" s="4">
        <f t="shared" si="71"/>
        <v>3.7084052647064259E-5</v>
      </c>
      <c r="AC32" s="47" t="str">
        <f t="shared" si="72"/>
        <v>59,9273371461583-20,266554580989i</v>
      </c>
      <c r="AD32" s="20">
        <f t="shared" si="73"/>
        <v>36.022791431260941</v>
      </c>
      <c r="AE32" s="43">
        <f t="shared" si="74"/>
        <v>-18.684789731881821</v>
      </c>
      <c r="AF32" t="str">
        <f t="shared" si="54"/>
        <v>223,849857273222</v>
      </c>
      <c r="AG32" t="str">
        <f t="shared" si="55"/>
        <v>1+0,342373464100894i</v>
      </c>
      <c r="AH32">
        <f t="shared" si="75"/>
        <v>1.0569860873826327</v>
      </c>
      <c r="AI32">
        <f t="shared" si="76"/>
        <v>0.32986448823019082</v>
      </c>
      <c r="AJ32" t="str">
        <f t="shared" si="56"/>
        <v>1+0,0000867321012961475i</v>
      </c>
      <c r="AK32">
        <f t="shared" si="77"/>
        <v>1.0000000037612287</v>
      </c>
      <c r="AL32">
        <f t="shared" si="78"/>
        <v>8.6732101078667987E-5</v>
      </c>
      <c r="AM32" t="str">
        <f t="shared" si="57"/>
        <v>1-0,0000570077898357241i</v>
      </c>
      <c r="AN32">
        <f t="shared" si="79"/>
        <v>1.000000001624944</v>
      </c>
      <c r="AO32">
        <f t="shared" si="80"/>
        <v>-5.7007789773967787E-5</v>
      </c>
      <c r="AP32" s="41" t="str">
        <f t="shared" si="81"/>
        <v>200,365388038912-68,5931382059243i</v>
      </c>
      <c r="AQ32">
        <f t="shared" si="82"/>
        <v>46.517751064480876</v>
      </c>
      <c r="AR32" s="43">
        <f t="shared" si="83"/>
        <v>-18.898139909246098</v>
      </c>
      <c r="AS32" t="str">
        <f t="shared" si="58"/>
        <v>-0,0000166666666666667</v>
      </c>
      <c r="AT32" t="str">
        <f t="shared" si="59"/>
        <v>8,6992297600036E-08i</v>
      </c>
      <c r="AU32">
        <f t="shared" si="84"/>
        <v>8.6992297600036003E-8</v>
      </c>
      <c r="AV32">
        <f t="shared" si="85"/>
        <v>1.5707963267948966</v>
      </c>
      <c r="AW32" t="str">
        <f t="shared" si="60"/>
        <v>1+0,0000570719709426295i</v>
      </c>
      <c r="AX32">
        <f t="shared" si="86"/>
        <v>1.0000000016286048</v>
      </c>
      <c r="AY32">
        <f t="shared" si="87"/>
        <v>5.7071970880664373E-5</v>
      </c>
      <c r="AZ32" t="str">
        <f t="shared" si="61"/>
        <v>1+0,0190810622851524i</v>
      </c>
      <c r="BA32">
        <f t="shared" si="88"/>
        <v>1.0001820269020683</v>
      </c>
      <c r="BB32">
        <f t="shared" si="89"/>
        <v>1.9078747069048708E-2</v>
      </c>
      <c r="BC32" s="41" t="str">
        <f t="shared" si="90"/>
        <v>-3,64476526027457+191,58805115029i</v>
      </c>
      <c r="BD32">
        <f t="shared" si="91"/>
        <v>45.648939872312305</v>
      </c>
      <c r="BE32" s="43">
        <f t="shared" si="92"/>
        <v>91.089861702394117</v>
      </c>
      <c r="BF32" s="41" t="str">
        <f t="shared" si="93"/>
        <v>3664,40861913158+11555,2285685411i</v>
      </c>
      <c r="BG32" s="20">
        <f t="shared" si="94"/>
        <v>81.671731303573253</v>
      </c>
      <c r="BH32" s="43">
        <f t="shared" si="95"/>
        <v>72.405071970512338</v>
      </c>
      <c r="BI32" s="41" t="str">
        <f t="shared" si="96"/>
        <v>12411,3408654699+38637,6200995729i</v>
      </c>
      <c r="BJ32" s="20">
        <f t="shared" si="97"/>
        <v>92.166690936793159</v>
      </c>
      <c r="BK32" s="43">
        <f t="shared" si="98"/>
        <v>72.191721793147991</v>
      </c>
      <c r="BL32">
        <f t="shared" si="99"/>
        <v>81.671731303573253</v>
      </c>
      <c r="BM32" s="43">
        <f t="shared" si="100"/>
        <v>72.405071970512338</v>
      </c>
    </row>
    <row r="33" spans="1:65" x14ac:dyDescent="0.25">
      <c r="N33" s="9">
        <v>15</v>
      </c>
      <c r="O33" s="34">
        <f t="shared" si="62"/>
        <v>14.125375446227544</v>
      </c>
      <c r="P33" s="33" t="str">
        <f t="shared" si="50"/>
        <v>66,7780509511648</v>
      </c>
      <c r="Q33" s="4" t="str">
        <f t="shared" si="63"/>
        <v>1+0,345904291709025i</v>
      </c>
      <c r="R33" s="4">
        <f t="shared" si="64"/>
        <v>1.0581350476298961</v>
      </c>
      <c r="S33" s="4">
        <f t="shared" si="65"/>
        <v>0.3330214321334628</v>
      </c>
      <c r="T33" s="4" t="str">
        <f t="shared" si="51"/>
        <v>1+0,0000887523514621322i</v>
      </c>
      <c r="U33" s="4">
        <f t="shared" si="66"/>
        <v>1.00000000393849</v>
      </c>
      <c r="V33" s="4">
        <f t="shared" si="67"/>
        <v>8.8752351229098709E-5</v>
      </c>
      <c r="W33" t="str">
        <f t="shared" si="52"/>
        <v>1-0,000193069371502995i</v>
      </c>
      <c r="X33" s="4">
        <f t="shared" si="68"/>
        <v>1.000000018637891</v>
      </c>
      <c r="Y33" s="4">
        <f t="shared" si="69"/>
        <v>-1.9306936910405779E-4</v>
      </c>
      <c r="Z33" t="str">
        <f t="shared" si="53"/>
        <v>0,999999999800474+0,0000379478512092762i</v>
      </c>
      <c r="AA33" s="4">
        <f t="shared" si="70"/>
        <v>1.0000000005204936</v>
      </c>
      <c r="AB33" s="4">
        <f t="shared" si="71"/>
        <v>3.7947851198632318E-5</v>
      </c>
      <c r="AC33" s="47" t="str">
        <f t="shared" si="72"/>
        <v>59,6389753737615-20,638877705766i</v>
      </c>
      <c r="AD33" s="20">
        <f t="shared" si="73"/>
        <v>36.001852987650921</v>
      </c>
      <c r="AE33" s="43">
        <f t="shared" si="74"/>
        <v>-19.088873725220687</v>
      </c>
      <c r="AF33" t="str">
        <f t="shared" si="54"/>
        <v>223,849857273222</v>
      </c>
      <c r="AG33" t="str">
        <f t="shared" si="55"/>
        <v>1+0,350348366557331i</v>
      </c>
      <c r="AH33">
        <f t="shared" si="75"/>
        <v>1.0595961390781821</v>
      </c>
      <c r="AI33">
        <f t="shared" si="76"/>
        <v>0.33698513449582007</v>
      </c>
      <c r="AJ33" t="str">
        <f t="shared" si="56"/>
        <v>1+0,0000887523514621322i</v>
      </c>
      <c r="AK33">
        <f t="shared" si="77"/>
        <v>1.00000000393849</v>
      </c>
      <c r="AL33">
        <f t="shared" si="78"/>
        <v>8.8752351229098709E-5</v>
      </c>
      <c r="AM33" t="str">
        <f t="shared" si="57"/>
        <v>1-0,0000583356718443104i</v>
      </c>
      <c r="AN33">
        <f t="shared" si="79"/>
        <v>1.0000000017015251</v>
      </c>
      <c r="AO33">
        <f t="shared" si="80"/>
        <v>-5.8335671778137319E-5</v>
      </c>
      <c r="AP33" s="41" t="str">
        <f t="shared" si="81"/>
        <v>199,379598795331-69,8455079934091i</v>
      </c>
      <c r="AQ33">
        <f t="shared" si="82"/>
        <v>46.4963291420517</v>
      </c>
      <c r="AR33" s="43">
        <f t="shared" si="83"/>
        <v>-19.306083217899573</v>
      </c>
      <c r="AS33" t="str">
        <f t="shared" si="58"/>
        <v>-0,0000166666666666667</v>
      </c>
      <c r="AT33" t="str">
        <f t="shared" si="59"/>
        <v>8,90186085165186E-08i</v>
      </c>
      <c r="AU33">
        <f t="shared" si="84"/>
        <v>8.9018608516518605E-8</v>
      </c>
      <c r="AV33">
        <f t="shared" si="85"/>
        <v>1.5707963267948966</v>
      </c>
      <c r="AW33" t="str">
        <f t="shared" si="60"/>
        <v>1+0,0000584013479212435i</v>
      </c>
      <c r="AX33">
        <f t="shared" si="86"/>
        <v>1.0000000017053587</v>
      </c>
      <c r="AY33">
        <f t="shared" si="87"/>
        <v>5.8401347854846665E-5</v>
      </c>
      <c r="AZ33" t="str">
        <f t="shared" si="61"/>
        <v>1+0,0195255173216691i</v>
      </c>
      <c r="BA33">
        <f t="shared" si="88"/>
        <v>1.0001906047482543</v>
      </c>
      <c r="BB33">
        <f t="shared" si="89"/>
        <v>1.952303654845083E-2</v>
      </c>
      <c r="BC33" s="41" t="str">
        <f t="shared" si="90"/>
        <v>-3,64476525971509+187,226984254692i</v>
      </c>
      <c r="BD33">
        <f t="shared" si="91"/>
        <v>45.449014363991857</v>
      </c>
      <c r="BE33" s="43">
        <f t="shared" si="92"/>
        <v>91.115241446755931</v>
      </c>
      <c r="BF33" s="41" t="str">
        <f t="shared" si="93"/>
        <v>3646,78476568468+11241,2493677307i</v>
      </c>
      <c r="BG33" s="20">
        <f t="shared" si="94"/>
        <v>81.450867351642785</v>
      </c>
      <c r="BH33" s="43">
        <f t="shared" si="95"/>
        <v>72.026367721535237</v>
      </c>
      <c r="BI33" s="41" t="str">
        <f t="shared" si="96"/>
        <v>12350,2719901578+37583,8114854418i</v>
      </c>
      <c r="BJ33" s="20">
        <f t="shared" si="97"/>
        <v>91.945343506043571</v>
      </c>
      <c r="BK33" s="43">
        <f t="shared" si="98"/>
        <v>71.80915822885639</v>
      </c>
      <c r="BL33">
        <f t="shared" si="99"/>
        <v>81.450867351642785</v>
      </c>
      <c r="BM33" s="43">
        <f t="shared" si="100"/>
        <v>72.026367721535237</v>
      </c>
    </row>
    <row r="34" spans="1:65" x14ac:dyDescent="0.25">
      <c r="A34" t="s">
        <v>494</v>
      </c>
      <c r="B34">
        <f>(R_cs*Acs/(2*Lm*Fsw))*(1-(VIN_var/VOUT))*(VIN_var/VOUT)</f>
        <v>5.9755991044057525E-4</v>
      </c>
      <c r="E34" t="s">
        <v>497</v>
      </c>
      <c r="N34" s="9">
        <v>16</v>
      </c>
      <c r="O34" s="34">
        <f t="shared" si="62"/>
        <v>14.454397707459275</v>
      </c>
      <c r="P34" s="33" t="str">
        <f t="shared" si="50"/>
        <v>66,7780509511648</v>
      </c>
      <c r="Q34" s="4" t="str">
        <f t="shared" si="63"/>
        <v>1+0,353961437705683i</v>
      </c>
      <c r="R34" s="4">
        <f t="shared" si="64"/>
        <v>1.0607962572439036</v>
      </c>
      <c r="S34" s="4">
        <f t="shared" si="65"/>
        <v>0.34019957147595403</v>
      </c>
      <c r="T34" s="4" t="str">
        <f t="shared" si="51"/>
        <v>1+0,0000908196592996384i</v>
      </c>
      <c r="U34" s="4">
        <f t="shared" si="66"/>
        <v>1.0000000041241053</v>
      </c>
      <c r="V34" s="4">
        <f t="shared" si="67"/>
        <v>9.081965904993851E-5</v>
      </c>
      <c r="W34" t="str">
        <f t="shared" si="52"/>
        <v>1-0,000197566534883064i</v>
      </c>
      <c r="X34" s="4">
        <f t="shared" si="68"/>
        <v>1.0000000195162677</v>
      </c>
      <c r="Y34" s="4">
        <f t="shared" si="69"/>
        <v>-1.9756653231255643E-4</v>
      </c>
      <c r="Z34" t="str">
        <f t="shared" si="53"/>
        <v>0,99999999979107+0,000038831770214565i</v>
      </c>
      <c r="AA34" s="4">
        <f t="shared" si="70"/>
        <v>1.0000000005450231</v>
      </c>
      <c r="AB34" s="4">
        <f t="shared" si="71"/>
        <v>3.8831770203159891E-5</v>
      </c>
      <c r="AC34" s="47" t="str">
        <f t="shared" si="72"/>
        <v>59,3399816430205-21,0137866740533i</v>
      </c>
      <c r="AD34" s="20">
        <f t="shared" si="73"/>
        <v>35.980035408623536</v>
      </c>
      <c r="AE34" s="43">
        <f t="shared" si="74"/>
        <v>-19.500340679589169</v>
      </c>
      <c r="AF34" t="str">
        <f t="shared" si="54"/>
        <v>223,849857273222</v>
      </c>
      <c r="AG34" t="str">
        <f t="shared" si="55"/>
        <v>1+0,358509028355126i</v>
      </c>
      <c r="AH34">
        <f t="shared" si="75"/>
        <v>1.0623223255736163</v>
      </c>
      <c r="AI34">
        <f t="shared" si="76"/>
        <v>0.34423504271287508</v>
      </c>
      <c r="AJ34" t="str">
        <f t="shared" si="56"/>
        <v>1+0,0000908196592996384i</v>
      </c>
      <c r="AK34">
        <f t="shared" si="77"/>
        <v>1.0000000041241053</v>
      </c>
      <c r="AL34">
        <f t="shared" si="78"/>
        <v>9.081965904993851E-5</v>
      </c>
      <c r="AM34" t="str">
        <f t="shared" si="57"/>
        <v>1-0,0000596944841982725i</v>
      </c>
      <c r="AN34">
        <f t="shared" si="79"/>
        <v>1.0000000017817157</v>
      </c>
      <c r="AO34">
        <f t="shared" si="80"/>
        <v>-5.9694484127366771E-5</v>
      </c>
      <c r="AP34" s="41" t="str">
        <f t="shared" si="81"/>
        <v>198,357695029331-71,106057145724i</v>
      </c>
      <c r="AQ34">
        <f t="shared" si="82"/>
        <v>46.474010315003568</v>
      </c>
      <c r="AR34" s="43">
        <f t="shared" si="83"/>
        <v>-19.721431766793742</v>
      </c>
      <c r="AS34" t="str">
        <f t="shared" si="58"/>
        <v>-0,0000166666666666667</v>
      </c>
      <c r="AT34" t="str">
        <f t="shared" si="59"/>
        <v>9,10921182775373E-08i</v>
      </c>
      <c r="AU34">
        <f t="shared" si="84"/>
        <v>9.1092118277537304E-8</v>
      </c>
      <c r="AV34">
        <f t="shared" si="85"/>
        <v>1.5707963267948966</v>
      </c>
      <c r="AW34" t="str">
        <f t="shared" si="60"/>
        <v>1+0,0000597616900675587i</v>
      </c>
      <c r="AX34">
        <f t="shared" si="86"/>
        <v>1.0000000017857298</v>
      </c>
      <c r="AY34">
        <f t="shared" si="87"/>
        <v>5.9761689996413209E-5</v>
      </c>
      <c r="AZ34" t="str">
        <f t="shared" si="61"/>
        <v>1+0,0199803250459204i</v>
      </c>
      <c r="BA34">
        <f t="shared" si="88"/>
        <v>1.0001995867770295</v>
      </c>
      <c r="BB34">
        <f t="shared" si="89"/>
        <v>1.9977666878172477E-2</v>
      </c>
      <c r="BC34" s="41" t="str">
        <f t="shared" si="90"/>
        <v>-3,64476525912921+182,965187584387i</v>
      </c>
      <c r="BD34">
        <f t="shared" si="91"/>
        <v>45.249092364986616</v>
      </c>
      <c r="BE34" s="43">
        <f t="shared" si="92"/>
        <v>91.141211904024217</v>
      </c>
      <c r="BF34" s="41" t="str">
        <f t="shared" si="93"/>
        <v>3628,51111710661+10933,7411922017i</v>
      </c>
      <c r="BG34" s="20">
        <f t="shared" si="94"/>
        <v>81.229127773610173</v>
      </c>
      <c r="BH34" s="43">
        <f t="shared" si="95"/>
        <v>71.640871224435102</v>
      </c>
      <c r="BI34" s="41" t="str">
        <f t="shared" si="96"/>
        <v>12286,9658483297+36551,7177666466i</v>
      </c>
      <c r="BJ34" s="20">
        <f t="shared" si="97"/>
        <v>91.723102679990177</v>
      </c>
      <c r="BK34" s="43">
        <f t="shared" si="98"/>
        <v>71.419780137230475</v>
      </c>
      <c r="BL34">
        <f t="shared" si="99"/>
        <v>81.229127773610173</v>
      </c>
      <c r="BM34" s="43">
        <f t="shared" si="100"/>
        <v>71.640871224435102</v>
      </c>
    </row>
    <row r="35" spans="1:65" x14ac:dyDescent="0.25">
      <c r="A35" t="s">
        <v>495</v>
      </c>
      <c r="B35">
        <f>1/((0.5-(1-(VIN_var/VOUT)))*(R_cs*Acs/(Lm*Fsw))+(Vsl*Acs/VOUT))</f>
        <v>159.81785063752281</v>
      </c>
      <c r="E35" t="s">
        <v>497</v>
      </c>
      <c r="N35" s="9">
        <v>17</v>
      </c>
      <c r="O35" s="34">
        <f t="shared" si="62"/>
        <v>14.791083881682074</v>
      </c>
      <c r="P35" s="33" t="str">
        <f t="shared" si="50"/>
        <v>66,7780509511648</v>
      </c>
      <c r="Q35" s="4" t="str">
        <f t="shared" si="63"/>
        <v>1+0,362206258741846i</v>
      </c>
      <c r="R35" s="4">
        <f t="shared" si="64"/>
        <v>1.0635757490051025</v>
      </c>
      <c r="S35" s="4">
        <f t="shared" si="65"/>
        <v>0.34750733850530896</v>
      </c>
      <c r="T35" s="4" t="str">
        <f t="shared" si="51"/>
        <v>1+0,0000929351209226456i</v>
      </c>
      <c r="U35" s="4">
        <f t="shared" si="66"/>
        <v>1.0000000043184682</v>
      </c>
      <c r="V35" s="4">
        <f t="shared" si="67"/>
        <v>9.2935120655087352E-5</v>
      </c>
      <c r="W35" t="str">
        <f t="shared" si="52"/>
        <v>1-0,000202168450655031i</v>
      </c>
      <c r="X35" s="4">
        <f t="shared" si="68"/>
        <v>1.0000000204360411</v>
      </c>
      <c r="Y35" s="4">
        <f t="shared" si="69"/>
        <v>-2.0216844790068255E-4</v>
      </c>
      <c r="Z35" t="str">
        <f t="shared" si="53"/>
        <v>0,999999999781224+0,0000397362783384209i</v>
      </c>
      <c r="AA35" s="4">
        <f t="shared" si="70"/>
        <v>1.0000000005707097</v>
      </c>
      <c r="AB35" s="4">
        <f t="shared" si="71"/>
        <v>3.9736278326200093E-5</v>
      </c>
      <c r="AC35" s="47" t="str">
        <f t="shared" si="72"/>
        <v>59,0300917383478-21,3910165818497i</v>
      </c>
      <c r="AD35" s="20">
        <f t="shared" si="73"/>
        <v>35.957306468164163</v>
      </c>
      <c r="AE35" s="43">
        <f t="shared" si="74"/>
        <v>-19.919239175853203</v>
      </c>
      <c r="AF35" t="str">
        <f t="shared" si="54"/>
        <v>223,849857273222</v>
      </c>
      <c r="AG35" t="str">
        <f t="shared" si="55"/>
        <v>1+0,366859776385183i</v>
      </c>
      <c r="AH35">
        <f t="shared" si="75"/>
        <v>1.0651695149267963</v>
      </c>
      <c r="AI35">
        <f t="shared" si="76"/>
        <v>0.35161500741974255</v>
      </c>
      <c r="AJ35" t="str">
        <f t="shared" si="56"/>
        <v>1+0,0000929351209226456i</v>
      </c>
      <c r="AK35">
        <f t="shared" si="77"/>
        <v>1.0000000043184682</v>
      </c>
      <c r="AL35">
        <f t="shared" si="78"/>
        <v>9.2935120655087352E-5</v>
      </c>
      <c r="AM35" t="str">
        <f t="shared" si="57"/>
        <v>1-0,0000610849473579065i</v>
      </c>
      <c r="AN35">
        <f t="shared" si="79"/>
        <v>1.0000000018656854</v>
      </c>
      <c r="AO35">
        <f t="shared" si="80"/>
        <v>-6.1084947281929642E-5</v>
      </c>
      <c r="AP35" s="41" t="str">
        <f t="shared" si="81"/>
        <v>197,298799104231-72,3738636636366i</v>
      </c>
      <c r="AQ35">
        <f t="shared" si="82"/>
        <v>46.450761920606013</v>
      </c>
      <c r="AR35" s="43">
        <f t="shared" si="83"/>
        <v>-20.144231058101294</v>
      </c>
      <c r="AS35" t="str">
        <f t="shared" si="58"/>
        <v>-0,0000166666666666667</v>
      </c>
      <c r="AT35" t="str">
        <f t="shared" si="59"/>
        <v>9,32139262854136E-08i</v>
      </c>
      <c r="AU35">
        <f t="shared" si="84"/>
        <v>9.3213926285413601E-8</v>
      </c>
      <c r="AV35">
        <f t="shared" si="85"/>
        <v>1.5707963267948966</v>
      </c>
      <c r="AW35" t="str">
        <f t="shared" si="60"/>
        <v>1+0,0000611537186529871i</v>
      </c>
      <c r="AX35">
        <f t="shared" si="86"/>
        <v>1.0000000018698887</v>
      </c>
      <c r="AY35">
        <f t="shared" si="87"/>
        <v>6.1153718576753332E-5</v>
      </c>
      <c r="AZ35" t="str">
        <f t="shared" si="61"/>
        <v>1+0,020445726602982i</v>
      </c>
      <c r="BA35">
        <f t="shared" si="88"/>
        <v>1.0002089920293278</v>
      </c>
      <c r="BB35">
        <f t="shared" si="89"/>
        <v>2.0442878357065573E-2</v>
      </c>
      <c r="BC35" s="41" t="str">
        <f t="shared" si="90"/>
        <v>-3,64476525851572+178,80040147837i</v>
      </c>
      <c r="BD35">
        <f t="shared" si="91"/>
        <v>45.049174040553488</v>
      </c>
      <c r="BE35" s="43">
        <f t="shared" si="92"/>
        <v>91.167786800983208</v>
      </c>
      <c r="BF35" s="41" t="str">
        <f t="shared" si="93"/>
        <v>3609,57152529027+10632,5693362035i</v>
      </c>
      <c r="BG35" s="20">
        <f t="shared" si="94"/>
        <v>81.006480508717686</v>
      </c>
      <c r="BH35" s="43">
        <f t="shared" si="95"/>
        <v>71.248547625130087</v>
      </c>
      <c r="BI35" s="41" t="str">
        <f t="shared" si="96"/>
        <v>12221,3680710771+35540,8902349425i</v>
      </c>
      <c r="BJ35" s="20">
        <f t="shared" si="97"/>
        <v>91.499935961159494</v>
      </c>
      <c r="BK35" s="43">
        <f t="shared" si="98"/>
        <v>71.023555742881854</v>
      </c>
      <c r="BL35">
        <f t="shared" si="99"/>
        <v>81.006480508717686</v>
      </c>
      <c r="BM35" s="43">
        <f t="shared" si="100"/>
        <v>71.248547625130087</v>
      </c>
    </row>
    <row r="36" spans="1:65" x14ac:dyDescent="0.25">
      <c r="A36" t="s">
        <v>496</v>
      </c>
      <c r="B36">
        <f>2+((VOUT*((VIN_var/VOUT)^2))/(IOUT_VAR*R_cs*Acs))*((1/Km)+(Kex/(VIN_var/VOUT)))</f>
        <v>2.2878442182971921</v>
      </c>
      <c r="E36" t="s">
        <v>497</v>
      </c>
      <c r="N36" s="9">
        <v>18</v>
      </c>
      <c r="O36" s="34">
        <f t="shared" si="62"/>
        <v>15.135612484362087</v>
      </c>
      <c r="P36" s="33" t="str">
        <f t="shared" si="50"/>
        <v>66,7780509511648</v>
      </c>
      <c r="Q36" s="4" t="str">
        <f t="shared" si="63"/>
        <v>1+0,370643126330761i</v>
      </c>
      <c r="R36" s="4">
        <f t="shared" si="64"/>
        <v>1.0664784700575256</v>
      </c>
      <c r="S36" s="4">
        <f t="shared" si="65"/>
        <v>0.35494548485658095</v>
      </c>
      <c r="T36" s="4" t="str">
        <f t="shared" si="51"/>
        <v>1+0,0000950998579769078i</v>
      </c>
      <c r="U36" s="4">
        <f t="shared" si="66"/>
        <v>1.0000000045219914</v>
      </c>
      <c r="V36" s="4">
        <f t="shared" si="67"/>
        <v>9.5099857690213968E-5</v>
      </c>
      <c r="W36" t="str">
        <f t="shared" si="52"/>
        <v>1-0,000206877558815551i</v>
      </c>
      <c r="X36" s="4">
        <f t="shared" si="68"/>
        <v>1.000000021399162</v>
      </c>
      <c r="Y36" s="4">
        <f t="shared" si="69"/>
        <v>-2.0687755586421344E-4</v>
      </c>
      <c r="Z36" t="str">
        <f t="shared" si="53"/>
        <v>0,999999999770913+0,0000406618551630237i</v>
      </c>
      <c r="AA36" s="4">
        <f t="shared" si="70"/>
        <v>1.0000000005976062</v>
      </c>
      <c r="AB36" s="4">
        <f t="shared" si="71"/>
        <v>4.0661855149928878E-5</v>
      </c>
      <c r="AC36" s="47" t="str">
        <f t="shared" si="72"/>
        <v>58,7090457842874-21,7702838898613i</v>
      </c>
      <c r="AD36" s="20">
        <f t="shared" si="73"/>
        <v>35.933633155485417</v>
      </c>
      <c r="AE36" s="43">
        <f t="shared" si="74"/>
        <v>-20.345612382543116</v>
      </c>
      <c r="AF36" t="str">
        <f t="shared" si="54"/>
        <v>223,849857273222</v>
      </c>
      <c r="AG36" t="str">
        <f t="shared" si="55"/>
        <v>1+0,375405038324642i</v>
      </c>
      <c r="AH36">
        <f t="shared" si="75"/>
        <v>1.0681427539423398</v>
      </c>
      <c r="AI36">
        <f t="shared" si="76"/>
        <v>0.35912572506822404</v>
      </c>
      <c r="AJ36" t="str">
        <f t="shared" si="56"/>
        <v>1+0,0000950998579769078i</v>
      </c>
      <c r="AK36">
        <f t="shared" si="77"/>
        <v>1.0000000045219914</v>
      </c>
      <c r="AL36">
        <f t="shared" si="78"/>
        <v>9.5099857690213968E-5</v>
      </c>
      <c r="AM36" t="str">
        <f t="shared" si="57"/>
        <v>1-0,0000625077985651845i</v>
      </c>
      <c r="AN36">
        <f t="shared" si="79"/>
        <v>1.0000000019536124</v>
      </c>
      <c r="AO36">
        <f t="shared" si="80"/>
        <v>-6.2507798483773814E-5</v>
      </c>
      <c r="AP36" s="41" t="str">
        <f t="shared" si="81"/>
        <v>196,202049978339-73,6479423636442i</v>
      </c>
      <c r="AQ36">
        <f t="shared" si="82"/>
        <v>46.4265505190642</v>
      </c>
      <c r="AR36" s="43">
        <f t="shared" si="83"/>
        <v>-20.574520973546637</v>
      </c>
      <c r="AS36" t="str">
        <f t="shared" si="58"/>
        <v>-0,0000166666666666667</v>
      </c>
      <c r="AT36" t="str">
        <f t="shared" si="59"/>
        <v>9,53851575508385E-08i</v>
      </c>
      <c r="AU36">
        <f t="shared" si="84"/>
        <v>9.53851575508385E-8</v>
      </c>
      <c r="AV36">
        <f t="shared" si="85"/>
        <v>1.5707963267948966</v>
      </c>
      <c r="AW36" t="str">
        <f t="shared" si="60"/>
        <v>1+0,0000625781717495106i</v>
      </c>
      <c r="AX36">
        <f t="shared" si="86"/>
        <v>1.0000000019580138</v>
      </c>
      <c r="AY36">
        <f t="shared" si="87"/>
        <v>6.2578171667824659E-5</v>
      </c>
      <c r="AZ36" t="str">
        <f t="shared" si="61"/>
        <v>1+0,0209219687549197i</v>
      </c>
      <c r="BA36">
        <f t="shared" si="88"/>
        <v>1.0002188404427212</v>
      </c>
      <c r="BB36">
        <f t="shared" si="89"/>
        <v>2.0918916840497143E-2</v>
      </c>
      <c r="BC36" s="41" t="str">
        <f t="shared" si="90"/>
        <v>-3,64476525787334+174,73041771192i</v>
      </c>
      <c r="BD36">
        <f t="shared" si="91"/>
        <v>44.849259563724928</v>
      </c>
      <c r="BE36" s="43">
        <f t="shared" si="92"/>
        <v>91.194980181819417</v>
      </c>
      <c r="BF36" s="41" t="str">
        <f t="shared" si="93"/>
        <v>3589,95010738508+10337,6036677326i</v>
      </c>
      <c r="BG36" s="20">
        <f t="shared" si="94"/>
        <v>80.782892719210366</v>
      </c>
      <c r="BH36" s="43">
        <f t="shared" si="95"/>
        <v>70.849367799276351</v>
      </c>
      <c r="BI36" s="41" t="str">
        <f t="shared" si="96"/>
        <v>12153,4253175384+34550,895610291i</v>
      </c>
      <c r="BJ36" s="20">
        <f t="shared" si="97"/>
        <v>91.275810082789121</v>
      </c>
      <c r="BK36" s="43">
        <f t="shared" si="98"/>
        <v>70.620459208272734</v>
      </c>
      <c r="BL36">
        <f t="shared" si="99"/>
        <v>80.782892719210366</v>
      </c>
      <c r="BM36" s="43">
        <f t="shared" si="100"/>
        <v>70.849367799276351</v>
      </c>
    </row>
    <row r="37" spans="1:65" x14ac:dyDescent="0.25">
      <c r="N37" s="9">
        <v>19</v>
      </c>
      <c r="O37" s="34">
        <f t="shared" si="62"/>
        <v>15.488166189124817</v>
      </c>
      <c r="P37" s="33" t="str">
        <f t="shared" si="50"/>
        <v>66,7780509511648</v>
      </c>
      <c r="Q37" s="4" t="str">
        <f t="shared" si="63"/>
        <v>1+0,379276513811298i</v>
      </c>
      <c r="R37" s="4">
        <f t="shared" si="64"/>
        <v>1.0695095483112116</v>
      </c>
      <c r="S37" s="4">
        <f t="shared" si="65"/>
        <v>0.36251466116900022</v>
      </c>
      <c r="T37" s="4" t="str">
        <f t="shared" si="51"/>
        <v>1+0,0000973150182346647i</v>
      </c>
      <c r="U37" s="4">
        <f t="shared" si="66"/>
        <v>1.0000000047351063</v>
      </c>
      <c r="V37" s="4">
        <f t="shared" si="67"/>
        <v>9.7315017927466721E-5</v>
      </c>
      <c r="W37" t="str">
        <f t="shared" si="52"/>
        <v>1-0,000211696356196103i</v>
      </c>
      <c r="X37" s="4">
        <f t="shared" si="68"/>
        <v>1.0000000224076733</v>
      </c>
      <c r="Y37" s="4">
        <f t="shared" si="69"/>
        <v>-2.1169635303368786E-4</v>
      </c>
      <c r="Z37" t="str">
        <f t="shared" si="53"/>
        <v>0,999999999760117+0,0000416089914414571i</v>
      </c>
      <c r="AA37" s="4">
        <f t="shared" si="70"/>
        <v>1.000000000625771</v>
      </c>
      <c r="AB37" s="4">
        <f t="shared" si="71"/>
        <v>4.160899142742573E-5</v>
      </c>
      <c r="AC37" s="47" t="str">
        <f t="shared" si="72"/>
        <v>58,3765893663315-22,151286033263i</v>
      </c>
      <c r="AD37" s="20">
        <f t="shared" si="73"/>
        <v>35.908981689680935</v>
      </c>
      <c r="AE37" s="43">
        <f t="shared" si="74"/>
        <v>-20.779497683954002</v>
      </c>
      <c r="AF37" t="str">
        <f t="shared" si="54"/>
        <v>223,849857273222</v>
      </c>
      <c r="AG37" t="str">
        <f t="shared" si="55"/>
        <v>1+0,384149344984494i</v>
      </c>
      <c r="AH37">
        <f t="shared" si="75"/>
        <v>1.0712472726929183</v>
      </c>
      <c r="AI37">
        <f t="shared" si="76"/>
        <v>0.36676778746006372</v>
      </c>
      <c r="AJ37" t="str">
        <f t="shared" si="56"/>
        <v>1+0,0000973150182346647i</v>
      </c>
      <c r="AK37">
        <f t="shared" si="77"/>
        <v>1.0000000047351063</v>
      </c>
      <c r="AL37">
        <f t="shared" si="78"/>
        <v>9.7315017927466721E-5</v>
      </c>
      <c r="AM37" t="str">
        <f t="shared" si="57"/>
        <v>1-0,0000639637922346503i</v>
      </c>
      <c r="AN37">
        <f t="shared" si="79"/>
        <v>1.0000000020456834</v>
      </c>
      <c r="AO37">
        <f t="shared" si="80"/>
        <v>-6.3963792147417198E-5</v>
      </c>
      <c r="AP37" s="41" t="str">
        <f t="shared" si="81"/>
        <v>195,06660708777-74,9272436739347i</v>
      </c>
      <c r="AQ37">
        <f t="shared" si="82"/>
        <v>46.401341910065156</v>
      </c>
      <c r="AR37" s="43">
        <f t="shared" si="83"/>
        <v>-21.012335398334116</v>
      </c>
      <c r="AS37" t="str">
        <f t="shared" si="58"/>
        <v>-0,0000166666666666667</v>
      </c>
      <c r="AT37" t="str">
        <f t="shared" si="59"/>
        <v>9,76069632893687E-08i</v>
      </c>
      <c r="AU37">
        <f t="shared" si="84"/>
        <v>9.7606963289368696E-8</v>
      </c>
      <c r="AV37">
        <f t="shared" si="85"/>
        <v>1.5707963267948966</v>
      </c>
      <c r="AW37" t="str">
        <f t="shared" si="60"/>
        <v>1+0,0000640358046210156i</v>
      </c>
      <c r="AX37">
        <f t="shared" si="86"/>
        <v>1.0000000020502922</v>
      </c>
      <c r="AY37">
        <f t="shared" si="87"/>
        <v>6.4035804533487526E-5</v>
      </c>
      <c r="AZ37" t="str">
        <f t="shared" si="61"/>
        <v>1+0,0214093040116262i</v>
      </c>
      <c r="BA37">
        <f t="shared" si="88"/>
        <v>1.0002291528936067</v>
      </c>
      <c r="BB37">
        <f t="shared" si="89"/>
        <v>2.1406033866866642E-2</v>
      </c>
      <c r="BC37" s="41" t="str">
        <f t="shared" si="90"/>
        <v>-3,64476525720067+170,753078325772i</v>
      </c>
      <c r="BD37">
        <f t="shared" si="91"/>
        <v>44.649349115674219</v>
      </c>
      <c r="BE37" s="43">
        <f t="shared" si="92"/>
        <v>91.22280641534806</v>
      </c>
      <c r="BF37" s="41" t="str">
        <f t="shared" si="93"/>
        <v>3569,63131429806+10048,718574197i</v>
      </c>
      <c r="BG37" s="20">
        <f t="shared" si="94"/>
        <v>80.558330805355155</v>
      </c>
      <c r="BH37" s="43">
        <f t="shared" si="95"/>
        <v>70.443308731394097</v>
      </c>
      <c r="BI37" s="41" t="str">
        <f t="shared" si="96"/>
        <v>12083,0855154361+33581,3158533611i</v>
      </c>
      <c r="BJ37" s="20">
        <f t="shared" si="97"/>
        <v>91.050691025739354</v>
      </c>
      <c r="BK37" s="43">
        <f t="shared" si="98"/>
        <v>70.210471017013873</v>
      </c>
      <c r="BL37">
        <f t="shared" si="99"/>
        <v>80.558330805355155</v>
      </c>
      <c r="BM37" s="43">
        <f t="shared" si="100"/>
        <v>70.443308731394097</v>
      </c>
    </row>
    <row r="38" spans="1:65" x14ac:dyDescent="0.25">
      <c r="A38" t="s">
        <v>200</v>
      </c>
      <c r="B38" s="16">
        <f>(Gcomp*(VIN_var/VOUT)*(VOUT/IOUT))/(Kd*R_cs*Acs/Np)</f>
        <v>66.778050951164843</v>
      </c>
      <c r="C38" t="s">
        <v>150</v>
      </c>
      <c r="E38" t="s">
        <v>204</v>
      </c>
      <c r="N38" s="9">
        <v>20</v>
      </c>
      <c r="O38" s="34">
        <f t="shared" si="62"/>
        <v>15.848931924611136</v>
      </c>
      <c r="P38" s="33" t="str">
        <f t="shared" si="50"/>
        <v>66,7780509511648</v>
      </c>
      <c r="Q38" s="4" t="str">
        <f t="shared" si="63"/>
        <v>1+0,388110998719776i</v>
      </c>
      <c r="R38" s="4">
        <f t="shared" si="64"/>
        <v>1.0726742969453784</v>
      </c>
      <c r="S38" s="4">
        <f t="shared" si="65"/>
        <v>0.37021541046932771</v>
      </c>
      <c r="T38" s="4" t="str">
        <f t="shared" si="51"/>
        <v>1+0,0000995817762032062i</v>
      </c>
      <c r="U38" s="4">
        <f t="shared" si="66"/>
        <v>1.0000000049582649</v>
      </c>
      <c r="V38" s="4">
        <f t="shared" si="67"/>
        <v>9.9581775874037632E-5</v>
      </c>
      <c r="W38" t="str">
        <f t="shared" si="52"/>
        <v>1-0,000216627397786842i</v>
      </c>
      <c r="X38" s="4">
        <f t="shared" si="68"/>
        <v>1.0000000234637145</v>
      </c>
      <c r="Y38" s="4">
        <f t="shared" si="69"/>
        <v>-2.1662739439825312E-4</v>
      </c>
      <c r="Z38" t="str">
        <f t="shared" si="53"/>
        <v>0,999999999748811+0,0000425781893579129i</v>
      </c>
      <c r="AA38" s="4">
        <f t="shared" si="70"/>
        <v>1.0000000006552621</v>
      </c>
      <c r="AB38" s="4">
        <f t="shared" si="71"/>
        <v>4.2578189342878044E-5</v>
      </c>
      <c r="AC38" s="47" t="str">
        <f t="shared" si="72"/>
        <v>58,0324747201794-22,5337010888545i</v>
      </c>
      <c r="AD38" s="20">
        <f t="shared" si="73"/>
        <v>35.883317537837513</v>
      </c>
      <c r="AE38" s="43">
        <f t="shared" si="74"/>
        <v>-21.220926301096497</v>
      </c>
      <c r="AF38" t="str">
        <f t="shared" si="54"/>
        <v>223,849857273222</v>
      </c>
      <c r="AG38" t="str">
        <f t="shared" si="55"/>
        <v>1+0,393097332711875i</v>
      </c>
      <c r="AH38">
        <f t="shared" si="75"/>
        <v>1.0744884889961319</v>
      </c>
      <c r="AI38">
        <f t="shared" si="76"/>
        <v>0.37454167507001551</v>
      </c>
      <c r="AJ38" t="str">
        <f t="shared" si="56"/>
        <v>1+0,0000995817762032062i</v>
      </c>
      <c r="AK38">
        <f t="shared" si="77"/>
        <v>1.0000000049582649</v>
      </c>
      <c r="AL38">
        <f t="shared" si="78"/>
        <v>9.9581775874037632E-5</v>
      </c>
      <c r="AM38" t="str">
        <f t="shared" si="57"/>
        <v>1-0,0000654537003534197i</v>
      </c>
      <c r="AN38">
        <f t="shared" si="79"/>
        <v>1.0000000021420934</v>
      </c>
      <c r="AO38">
        <f t="shared" si="80"/>
        <v>-6.545370025994775E-5</v>
      </c>
      <c r="AP38" s="41" t="str">
        <f t="shared" si="81"/>
        <v>193,891654456435-76,210652637009i</v>
      </c>
      <c r="AQ38">
        <f t="shared" si="82"/>
        <v>46.375101152894743</v>
      </c>
      <c r="AR38" s="43">
        <f t="shared" si="83"/>
        <v>-21.457701838576501</v>
      </c>
      <c r="AS38" t="str">
        <f t="shared" si="58"/>
        <v>-0,0000166666666666667</v>
      </c>
      <c r="AT38" t="str">
        <f t="shared" si="59"/>
        <v>9,98805215318158E-08i</v>
      </c>
      <c r="AU38">
        <f t="shared" si="84"/>
        <v>9.9880521531815806E-8</v>
      </c>
      <c r="AV38">
        <f t="shared" si="85"/>
        <v>1.5707963267948966</v>
      </c>
      <c r="AW38" t="str">
        <f t="shared" si="60"/>
        <v>1+0,0000655273901237448i</v>
      </c>
      <c r="AX38">
        <f t="shared" si="86"/>
        <v>1.0000000021469193</v>
      </c>
      <c r="AY38">
        <f t="shared" si="87"/>
        <v>6.5527390029956789E-5</v>
      </c>
      <c r="AZ38" t="str">
        <f t="shared" si="61"/>
        <v>1+0,0219079907647053i</v>
      </c>
      <c r="BA38">
        <f t="shared" si="88"/>
        <v>1.000239951241374</v>
      </c>
      <c r="BB38">
        <f t="shared" si="89"/>
        <v>2.1904486786862416E-2</v>
      </c>
      <c r="BC38" s="41" t="str">
        <f t="shared" si="90"/>
        <v>-3,64476525649631+166,866274481935i</v>
      </c>
      <c r="BD38">
        <f t="shared" si="91"/>
        <v>44.449442886097614</v>
      </c>
      <c r="BE38" s="43">
        <f t="shared" si="92"/>
        <v>91.251280202396075</v>
      </c>
      <c r="BF38" s="41" t="str">
        <f t="shared" si="93"/>
        <v>3548,60000337806+9765,79290635234i</v>
      </c>
      <c r="BG38" s="20">
        <f t="shared" si="94"/>
        <v>80.332760423935113</v>
      </c>
      <c r="BH38" s="43">
        <f t="shared" si="95"/>
        <v>70.030353901299591</v>
      </c>
      <c r="BI38" s="41" t="str">
        <f t="shared" si="96"/>
        <v>12010,2981156871+32631,7479711903i</v>
      </c>
      <c r="BJ38" s="20">
        <f t="shared" si="97"/>
        <v>90.824544038992357</v>
      </c>
      <c r="BK38" s="43">
        <f t="shared" si="98"/>
        <v>69.793578363819677</v>
      </c>
      <c r="BL38">
        <f t="shared" si="99"/>
        <v>80.332760423935113</v>
      </c>
      <c r="BM38" s="43">
        <f t="shared" si="100"/>
        <v>70.030353901299591</v>
      </c>
    </row>
    <row r="39" spans="1:65" x14ac:dyDescent="0.25">
      <c r="A39" t="s">
        <v>217</v>
      </c>
      <c r="B39" s="18">
        <f>Kd/(Cout*(VOUT/IOUT_VAR))</f>
        <v>256.5806599959468</v>
      </c>
      <c r="C39" t="s">
        <v>216</v>
      </c>
      <c r="E39" t="s">
        <v>207</v>
      </c>
      <c r="N39" s="9">
        <v>21</v>
      </c>
      <c r="O39" s="34">
        <f t="shared" si="62"/>
        <v>16.218100973589298</v>
      </c>
      <c r="P39" s="33" t="str">
        <f t="shared" si="50"/>
        <v>66,7780509511648</v>
      </c>
      <c r="Q39" s="4" t="str">
        <f t="shared" si="63"/>
        <v>1+0,39715126521703i</v>
      </c>
      <c r="R39" s="4">
        <f t="shared" si="64"/>
        <v>1.0759782188610918</v>
      </c>
      <c r="S39" s="4">
        <f t="shared" si="65"/>
        <v>0.37804816145148901</v>
      </c>
      <c r="T39" s="4" t="str">
        <f t="shared" si="51"/>
        <v>1+0,000101901333747611i</v>
      </c>
      <c r="U39" s="4">
        <f t="shared" si="66"/>
        <v>1.0000000051919409</v>
      </c>
      <c r="V39" s="4">
        <f t="shared" si="67"/>
        <v>1.0190133339490053E-4</v>
      </c>
      <c r="W39" t="str">
        <f t="shared" si="52"/>
        <v>1-0,00022167329809129i</v>
      </c>
      <c r="X39" s="4">
        <f t="shared" si="68"/>
        <v>1.0000000245695253</v>
      </c>
      <c r="Y39" s="4">
        <f t="shared" si="69"/>
        <v>-2.2167329446035159E-4</v>
      </c>
      <c r="Z39" t="str">
        <f t="shared" si="53"/>
        <v>0,999999999736973+0,0000435699627939552i</v>
      </c>
      <c r="AA39" s="4">
        <f t="shared" si="70"/>
        <v>1.0000000006861436</v>
      </c>
      <c r="AB39" s="4">
        <f t="shared" si="71"/>
        <v>4.3569962777845054E-5</v>
      </c>
      <c r="AC39" s="47" t="str">
        <f t="shared" si="72"/>
        <v>57,6764619881352-22,9171875074113i</v>
      </c>
      <c r="AD39" s="20">
        <f t="shared" si="73"/>
        <v>35.856605436808493</v>
      </c>
      <c r="AE39" s="43">
        <f t="shared" si="74"/>
        <v>-21.669922906704393</v>
      </c>
      <c r="AF39" t="str">
        <f t="shared" si="54"/>
        <v>223,849857273222</v>
      </c>
      <c r="AG39" t="str">
        <f t="shared" si="55"/>
        <v>1+0,402253745848316i</v>
      </c>
      <c r="AH39">
        <f t="shared" si="75"/>
        <v>1.0778720128331571</v>
      </c>
      <c r="AI39">
        <f t="shared" si="76"/>
        <v>0.38244775027807792</v>
      </c>
      <c r="AJ39" t="str">
        <f t="shared" si="56"/>
        <v>1+0,000101901333747611i</v>
      </c>
      <c r="AK39">
        <f t="shared" si="77"/>
        <v>1.0000000051919409</v>
      </c>
      <c r="AL39">
        <f t="shared" si="78"/>
        <v>1.0190133339490053E-4</v>
      </c>
      <c r="AM39" t="str">
        <f t="shared" si="57"/>
        <v>1-0,0000669783128904986i</v>
      </c>
      <c r="AN39">
        <f t="shared" si="79"/>
        <v>1.0000000022430471</v>
      </c>
      <c r="AO39">
        <f t="shared" si="80"/>
        <v>-6.6978312790341583E-5</v>
      </c>
      <c r="AP39" s="41" t="str">
        <f t="shared" si="81"/>
        <v>192,676405027483-77,4969881456581i</v>
      </c>
      <c r="AQ39">
        <f t="shared" si="82"/>
        <v>46.347792590326399</v>
      </c>
      <c r="AR39" s="43">
        <f t="shared" si="83"/>
        <v>-21.910641033518672</v>
      </c>
      <c r="AS39" t="str">
        <f t="shared" si="58"/>
        <v>-0,0000166666666666667</v>
      </c>
      <c r="AT39" t="str">
        <f t="shared" si="59"/>
        <v>1,02207037748854E-07i</v>
      </c>
      <c r="AU39">
        <f t="shared" si="84"/>
        <v>1.0220703774885401E-7</v>
      </c>
      <c r="AV39">
        <f t="shared" si="85"/>
        <v>1.5707963267948966</v>
      </c>
      <c r="AW39" t="str">
        <f t="shared" si="60"/>
        <v>1+0,000067053719116075i</v>
      </c>
      <c r="AX39">
        <f t="shared" si="86"/>
        <v>1.0000000022481006</v>
      </c>
      <c r="AY39">
        <f t="shared" si="87"/>
        <v>6.7053719015579331E-5</v>
      </c>
      <c r="AZ39" t="str">
        <f t="shared" si="61"/>
        <v>1+0,0224182934244744i</v>
      </c>
      <c r="BA39">
        <f t="shared" si="88"/>
        <v>1.0002512583746475</v>
      </c>
      <c r="BB39">
        <f t="shared" si="89"/>
        <v>2.2414538895506299E-2</v>
      </c>
      <c r="BC39" s="41" t="str">
        <f t="shared" si="90"/>
        <v>-3,64476525575874+163,067945345567i</v>
      </c>
      <c r="BD39">
        <f t="shared" si="91"/>
        <v>44.249541073615035</v>
      </c>
      <c r="BE39" s="43">
        <f t="shared" si="92"/>
        <v>91.280416583344078</v>
      </c>
      <c r="BF39" s="41" t="str">
        <f t="shared" si="93"/>
        <v>3526,84151520321+9488,70991999362i</v>
      </c>
      <c r="BG39" s="20">
        <f t="shared" si="94"/>
        <v>80.106146510423528</v>
      </c>
      <c r="BH39" s="43">
        <f t="shared" si="95"/>
        <v>69.610493676639706</v>
      </c>
      <c r="BI39" s="41" t="str">
        <f t="shared" si="96"/>
        <v>11935,0143607336+31701,8038142212i</v>
      </c>
      <c r="BJ39" s="20">
        <f t="shared" si="97"/>
        <v>90.597333663941441</v>
      </c>
      <c r="BK39" s="43">
        <f t="shared" si="98"/>
        <v>69.369775549825377</v>
      </c>
      <c r="BL39">
        <f t="shared" si="99"/>
        <v>80.106146510423528</v>
      </c>
      <c r="BM39" s="43">
        <f t="shared" si="100"/>
        <v>69.610493676639706</v>
      </c>
    </row>
    <row r="40" spans="1:65" x14ac:dyDescent="0.25">
      <c r="B40" s="17">
        <f>wp_lf/(2*PI())</f>
        <v>40.836080340135858</v>
      </c>
      <c r="C40" t="s">
        <v>65</v>
      </c>
      <c r="N40" s="9">
        <v>22</v>
      </c>
      <c r="O40" s="34">
        <f t="shared" si="62"/>
        <v>16.595869074375614</v>
      </c>
      <c r="P40" s="33" t="str">
        <f t="shared" si="50"/>
        <v>66,7780509511648</v>
      </c>
      <c r="Q40" s="4" t="str">
        <f t="shared" si="63"/>
        <v>1+0,406402106572024i</v>
      </c>
      <c r="R40" s="4">
        <f t="shared" si="64"/>
        <v>1.0794270110693815</v>
      </c>
      <c r="S40" s="4">
        <f t="shared" si="65"/>
        <v>0.38601322167636226</v>
      </c>
      <c r="T40" s="4" t="str">
        <f t="shared" si="51"/>
        <v>1+0,000104274920727993i</v>
      </c>
      <c r="U40" s="4">
        <f t="shared" si="66"/>
        <v>1.0000000054366296</v>
      </c>
      <c r="V40" s="4">
        <f t="shared" si="67"/>
        <v>1.0427492035005693E-4</v>
      </c>
      <c r="W40" t="str">
        <f t="shared" si="52"/>
        <v>1-0,000226836732512581i</v>
      </c>
      <c r="X40" s="4">
        <f t="shared" si="68"/>
        <v>1.0000000257274513</v>
      </c>
      <c r="Y40" s="4">
        <f t="shared" si="69"/>
        <v>-2.2683672862196044E-4</v>
      </c>
      <c r="Z40" t="str">
        <f t="shared" si="53"/>
        <v>0,999999999724577+0,0000445848376009877i</v>
      </c>
      <c r="AA40" s="4">
        <f t="shared" si="70"/>
        <v>1.0000000007184808</v>
      </c>
      <c r="AB40" s="4">
        <f t="shared" si="71"/>
        <v>4.4584837583725358E-5</v>
      </c>
      <c r="AC40" s="47" t="str">
        <f t="shared" si="72"/>
        <v>57,308320540585-23,3013839193197i</v>
      </c>
      <c r="AD40" s="20">
        <f t="shared" si="73"/>
        <v>35.828809418846362</v>
      </c>
      <c r="AE40" s="43">
        <f t="shared" si="74"/>
        <v>-22.126505235670756</v>
      </c>
      <c r="AF40" t="str">
        <f t="shared" si="54"/>
        <v>223,849857273222</v>
      </c>
      <c r="AG40" t="str">
        <f t="shared" si="55"/>
        <v>1+0,411623439245267i</v>
      </c>
      <c r="AH40">
        <f t="shared" si="75"/>
        <v>1.0814036506948281</v>
      </c>
      <c r="AI40">
        <f t="shared" si="76"/>
        <v>0.39048625053632446</v>
      </c>
      <c r="AJ40" t="str">
        <f t="shared" si="56"/>
        <v>1+0,000104274920727993i</v>
      </c>
      <c r="AK40">
        <f t="shared" si="77"/>
        <v>1.0000000054366296</v>
      </c>
      <c r="AL40">
        <f t="shared" si="78"/>
        <v>1.0427492035005693E-4</v>
      </c>
      <c r="AM40" t="str">
        <f t="shared" si="57"/>
        <v>1-0,0000685384382156351i</v>
      </c>
      <c r="AN40">
        <f t="shared" si="79"/>
        <v>1.0000000023487587</v>
      </c>
      <c r="AO40">
        <f t="shared" si="80"/>
        <v>-6.8538438108314926E-5</v>
      </c>
      <c r="AP40" s="41" t="str">
        <f t="shared" si="81"/>
        <v>191,420105207815-78,7850024398218i</v>
      </c>
      <c r="AQ40">
        <f t="shared" si="82"/>
        <v>46.319379876476717</v>
      </c>
      <c r="AR40" s="43">
        <f t="shared" si="83"/>
        <v>-22.37116656401237</v>
      </c>
      <c r="AS40" t="str">
        <f t="shared" si="58"/>
        <v>-0,0000166666666666667</v>
      </c>
      <c r="AT40" t="str">
        <f t="shared" si="59"/>
        <v>1,04587745490177E-07i</v>
      </c>
      <c r="AU40">
        <f t="shared" si="84"/>
        <v>1.04587745490177E-7</v>
      </c>
      <c r="AV40">
        <f t="shared" si="85"/>
        <v>1.5707963267948966</v>
      </c>
      <c r="AW40" t="str">
        <f t="shared" si="60"/>
        <v>1+0,0000686156008778418i</v>
      </c>
      <c r="AX40">
        <f t="shared" si="86"/>
        <v>1.0000000023540503</v>
      </c>
      <c r="AY40">
        <f t="shared" si="87"/>
        <v>6.8615600770158752E-5</v>
      </c>
      <c r="AZ40" t="str">
        <f t="shared" si="61"/>
        <v>1+0,0229404825601584i</v>
      </c>
      <c r="BA40">
        <f t="shared" si="88"/>
        <v>1.0002630982596994</v>
      </c>
      <c r="BB40">
        <f t="shared" si="89"/>
        <v>2.2936459567035886E-2</v>
      </c>
      <c r="BC40" s="41" t="str">
        <f t="shared" si="90"/>
        <v>-3,64476525498641+159,356076992279i</v>
      </c>
      <c r="BD40">
        <f t="shared" si="91"/>
        <v>44.04964388618825</v>
      </c>
      <c r="BE40" s="43">
        <f t="shared" si="92"/>
        <v>91.310230945830725</v>
      </c>
      <c r="BF40" s="41" t="str">
        <f t="shared" si="93"/>
        <v>3504,34175434581+9217,3572148659i</v>
      </c>
      <c r="BG40" s="20">
        <f t="shared" si="94"/>
        <v>79.878453305034611</v>
      </c>
      <c r="BH40" s="43">
        <f t="shared" si="95"/>
        <v>69.18372571015999</v>
      </c>
      <c r="BI40" s="41" t="str">
        <f t="shared" si="96"/>
        <v>11857,1875660698+30791,1098628734i</v>
      </c>
      <c r="BJ40" s="20">
        <f t="shared" si="97"/>
        <v>90.369023762664966</v>
      </c>
      <c r="BK40" s="43">
        <f t="shared" si="98"/>
        <v>68.939064381818426</v>
      </c>
      <c r="BL40">
        <f t="shared" si="99"/>
        <v>79.878453305034611</v>
      </c>
      <c r="BM40" s="43">
        <f t="shared" si="100"/>
        <v>69.18372571015999</v>
      </c>
    </row>
    <row r="41" spans="1:65" x14ac:dyDescent="0.25">
      <c r="B41" s="1"/>
      <c r="C41" t="s">
        <v>237</v>
      </c>
      <c r="E41" t="s">
        <v>236</v>
      </c>
      <c r="N41" s="9">
        <v>23</v>
      </c>
      <c r="O41" s="34">
        <f t="shared" si="62"/>
        <v>16.982436524617448</v>
      </c>
      <c r="P41" s="33" t="str">
        <f t="shared" si="50"/>
        <v>66,7780509511648</v>
      </c>
      <c r="Q41" s="4" t="str">
        <f t="shared" si="63"/>
        <v>1+0,415868427703286i</v>
      </c>
      <c r="R41" s="4">
        <f t="shared" si="64"/>
        <v>1.083026569000227</v>
      </c>
      <c r="S41" s="4">
        <f t="shared" si="65"/>
        <v>0.39411077071836809</v>
      </c>
      <c r="T41" s="4" t="str">
        <f t="shared" si="51"/>
        <v>1+0,000106703795651586i</v>
      </c>
      <c r="U41" s="4">
        <f t="shared" si="66"/>
        <v>1.00000000569285</v>
      </c>
      <c r="V41" s="4">
        <f t="shared" si="67"/>
        <v>1.0670379524662019E-4</v>
      </c>
      <c r="W41" t="str">
        <f t="shared" si="52"/>
        <v>1-0,000232120438771987i</v>
      </c>
      <c r="X41" s="4">
        <f t="shared" si="68"/>
        <v>1.0000000269399487</v>
      </c>
      <c r="Y41" s="4">
        <f t="shared" si="69"/>
        <v>-2.3212043460311193E-4</v>
      </c>
      <c r="Z41" t="str">
        <f t="shared" si="53"/>
        <v>0,999999999711597+0,000045623351879066i</v>
      </c>
      <c r="AA41" s="4">
        <f t="shared" si="70"/>
        <v>1.000000000752342</v>
      </c>
      <c r="AB41" s="4">
        <f t="shared" si="71"/>
        <v>4.5623351860569056E-5</v>
      </c>
      <c r="AC41" s="47" t="str">
        <f t="shared" si="72"/>
        <v>56,9278303596774-23,685909021795i</v>
      </c>
      <c r="AD41" s="20">
        <f t="shared" si="73"/>
        <v>35.799892841285875</v>
      </c>
      <c r="AE41" s="43">
        <f t="shared" si="74"/>
        <v>-22.590683692435206</v>
      </c>
      <c r="AF41" t="str">
        <f t="shared" si="54"/>
        <v>223,849857273222</v>
      </c>
      <c r="AG41" t="str">
        <f t="shared" si="55"/>
        <v>1+0,421211380838183i</v>
      </c>
      <c r="AH41">
        <f t="shared" si="75"/>
        <v>1.0850894098403177</v>
      </c>
      <c r="AI41">
        <f t="shared" si="76"/>
        <v>0.39865728149856922</v>
      </c>
      <c r="AJ41" t="str">
        <f t="shared" si="56"/>
        <v>1+0,000106703795651586i</v>
      </c>
      <c r="AK41">
        <f t="shared" si="77"/>
        <v>1.00000000569285</v>
      </c>
      <c r="AL41">
        <f t="shared" si="78"/>
        <v>1.0670379524662019E-4</v>
      </c>
      <c r="AM41" t="str">
        <f t="shared" si="57"/>
        <v>1-0,0000701349035279266i</v>
      </c>
      <c r="AN41">
        <f t="shared" si="79"/>
        <v>1.0000000024594522</v>
      </c>
      <c r="AO41">
        <f t="shared" si="80"/>
        <v>-7.0134903412930974E-5</v>
      </c>
      <c r="AP41" s="41" t="str">
        <f t="shared" si="81"/>
        <v>190,122039614348-80,0733808924487i</v>
      </c>
      <c r="AQ41">
        <f t="shared" si="82"/>
        <v>46.289826008811971</v>
      </c>
      <c r="AR41" s="43">
        <f t="shared" si="83"/>
        <v>-22.839284458863265</v>
      </c>
      <c r="AS41" t="str">
        <f t="shared" si="58"/>
        <v>-0,0000166666666666667</v>
      </c>
      <c r="AT41" t="str">
        <f t="shared" si="59"/>
        <v>1,07023907038541E-07i</v>
      </c>
      <c r="AU41">
        <f t="shared" si="84"/>
        <v>1.07023907038541E-7</v>
      </c>
      <c r="AV41">
        <f t="shared" si="85"/>
        <v>1.5707963267948966</v>
      </c>
      <c r="AW41" t="str">
        <f t="shared" si="60"/>
        <v>1+0,0000702138635394285i</v>
      </c>
      <c r="AX41">
        <f t="shared" si="86"/>
        <v>1.0000000024649933</v>
      </c>
      <c r="AY41">
        <f t="shared" si="87"/>
        <v>7.0213863424044027E-5</v>
      </c>
      <c r="AZ41" t="str">
        <f t="shared" si="61"/>
        <v>1+0,0234748350433489i</v>
      </c>
      <c r="BA41">
        <f t="shared" si="88"/>
        <v>1.0002754959911357</v>
      </c>
      <c r="BB41">
        <f t="shared" si="89"/>
        <v>2.3470524392673168E-2</v>
      </c>
      <c r="BC41" s="41" t="str">
        <f t="shared" si="90"/>
        <v>-3,64476525417769+155,728701340339i</v>
      </c>
      <c r="BD41">
        <f t="shared" si="91"/>
        <v>43.84975154156006</v>
      </c>
      <c r="BE41" s="43">
        <f t="shared" si="92"/>
        <v>91.340739032621514</v>
      </c>
      <c r="BF41" s="41" t="str">
        <f t="shared" si="93"/>
        <v>3481,08727393888+8951,62667025194i</v>
      </c>
      <c r="BG41" s="20">
        <f t="shared" si="94"/>
        <v>79.649644382845935</v>
      </c>
      <c r="BH41" s="43">
        <f t="shared" si="95"/>
        <v>68.750055340186321</v>
      </c>
      <c r="BI41" s="41" t="str">
        <f t="shared" si="96"/>
        <v>11776,7734142716+29899,3070017802i</v>
      </c>
      <c r="BJ41" s="20">
        <f t="shared" si="97"/>
        <v>90.139577550372024</v>
      </c>
      <c r="BK41" s="43">
        <f t="shared" si="98"/>
        <v>68.501454573758195</v>
      </c>
      <c r="BL41">
        <f t="shared" si="99"/>
        <v>79.649644382845935</v>
      </c>
      <c r="BM41" s="43">
        <f t="shared" si="100"/>
        <v>68.750055340186321</v>
      </c>
    </row>
    <row r="42" spans="1:65" x14ac:dyDescent="0.25">
      <c r="A42" t="s">
        <v>218</v>
      </c>
      <c r="B42" s="18">
        <f>((VOUT/IOUT)*((VIN_var/VOUT)^2))/(Lm)</f>
        <v>459691.51280297857</v>
      </c>
      <c r="C42" t="s">
        <v>216</v>
      </c>
      <c r="E42" t="s">
        <v>208</v>
      </c>
      <c r="N42" s="9">
        <v>24</v>
      </c>
      <c r="O42" s="34">
        <f t="shared" si="62"/>
        <v>17.378008287493756</v>
      </c>
      <c r="P42" s="33" t="str">
        <f t="shared" si="50"/>
        <v>66,7780509511648</v>
      </c>
      <c r="Q42" s="4" t="str">
        <f t="shared" si="63"/>
        <v>1+0,42555524777959i</v>
      </c>
      <c r="R42" s="4">
        <f t="shared" si="64"/>
        <v>1.0867829907174422</v>
      </c>
      <c r="S42" s="4">
        <f t="shared" si="65"/>
        <v>0.40234085328850255</v>
      </c>
      <c r="T42" s="4" t="str">
        <f t="shared" si="51"/>
        <v>1+0,000109189246340026i</v>
      </c>
      <c r="U42" s="4">
        <f t="shared" si="66"/>
        <v>1.0000000059611458</v>
      </c>
      <c r="V42" s="4">
        <f t="shared" si="67"/>
        <v>1.0918924590609732E-4</v>
      </c>
      <c r="W42" t="str">
        <f t="shared" si="52"/>
        <v>1-0,000237527218360509i</v>
      </c>
      <c r="X42" s="4">
        <f t="shared" si="68"/>
        <v>1.0000000282095893</v>
      </c>
      <c r="Y42" s="4">
        <f t="shared" si="69"/>
        <v>-2.375272138934789E-4</v>
      </c>
      <c r="Z42" t="str">
        <f t="shared" si="53"/>
        <v>0,999999999698005+0,0000466860562622074i</v>
      </c>
      <c r="AA42" s="4">
        <f t="shared" si="70"/>
        <v>1.0000000007877987</v>
      </c>
      <c r="AB42" s="4">
        <f t="shared" si="71"/>
        <v>4.6686056242387565E-5</v>
      </c>
      <c r="AC42" s="47" t="str">
        <f t="shared" si="72"/>
        <v>56,5347834814245-24,0703615561413i</v>
      </c>
      <c r="AD42" s="20">
        <f t="shared" si="73"/>
        <v>35.769818420457625</v>
      </c>
      <c r="AE42" s="43">
        <f t="shared" si="74"/>
        <v>-23.062460957025237</v>
      </c>
      <c r="AF42" t="str">
        <f t="shared" si="54"/>
        <v>223,849857273222</v>
      </c>
      <c r="AG42" t="str">
        <f t="shared" si="55"/>
        <v>1+0,431022654280614i</v>
      </c>
      <c r="AH42">
        <f t="shared" si="75"/>
        <v>1.088935502453247</v>
      </c>
      <c r="AI42">
        <f t="shared" si="76"/>
        <v>0.40696081014412822</v>
      </c>
      <c r="AJ42" t="str">
        <f t="shared" si="56"/>
        <v>1+0,000109189246340026i</v>
      </c>
      <c r="AK42">
        <f t="shared" si="77"/>
        <v>1.0000000059611458</v>
      </c>
      <c r="AL42">
        <f t="shared" si="78"/>
        <v>1.0918924590609732E-4</v>
      </c>
      <c r="AM42" t="str">
        <f t="shared" si="57"/>
        <v>1-0,0000717685552944143i</v>
      </c>
      <c r="AN42">
        <f t="shared" si="79"/>
        <v>1.0000000025753628</v>
      </c>
      <c r="AO42">
        <f t="shared" si="80"/>
        <v>-7.1768555171194262E-5</v>
      </c>
      <c r="AP42" s="41" t="str">
        <f t="shared" si="81"/>
        <v>188,781536007669-81,3607421128472i</v>
      </c>
      <c r="AQ42">
        <f t="shared" si="82"/>
        <v>46.259093364481245</v>
      </c>
      <c r="AR42" s="43">
        <f t="shared" si="83"/>
        <v>-23.314992800837761</v>
      </c>
      <c r="AS42" t="str">
        <f t="shared" si="58"/>
        <v>-0,0000166666666666667</v>
      </c>
      <c r="AT42" t="str">
        <f t="shared" si="59"/>
        <v>1,09516814079046E-07i</v>
      </c>
      <c r="AU42">
        <f t="shared" si="84"/>
        <v>1.09516814079046E-7</v>
      </c>
      <c r="AV42">
        <f t="shared" si="85"/>
        <v>1.5707963267948966</v>
      </c>
      <c r="AW42" t="str">
        <f t="shared" si="60"/>
        <v>1+0,0000718493545208546i</v>
      </c>
      <c r="AX42">
        <f t="shared" si="86"/>
        <v>1.0000000025811648</v>
      </c>
      <c r="AY42">
        <f t="shared" si="87"/>
        <v>7.1849354397217921E-5</v>
      </c>
      <c r="AZ42" t="str">
        <f t="shared" si="61"/>
        <v>1+0,0240216341948057i</v>
      </c>
      <c r="BA42">
        <f t="shared" si="88"/>
        <v>1.000288477844961</v>
      </c>
      <c r="BB42">
        <f t="shared" si="89"/>
        <v>2.4017015321329594E-2</v>
      </c>
      <c r="BC42" s="41" t="str">
        <f t="shared" si="90"/>
        <v>-3,64476525333087+152,183895107163i</v>
      </c>
      <c r="BD42">
        <f t="shared" si="91"/>
        <v>43.649864267713042</v>
      </c>
      <c r="BE42" s="43">
        <f t="shared" si="92"/>
        <v>91.371956949645522</v>
      </c>
      <c r="BF42" s="41" t="str">
        <f t="shared" si="93"/>
        <v>3457,06536381362+8691,41437667821i</v>
      </c>
      <c r="BG42" s="20">
        <f t="shared" si="94"/>
        <v>79.419682688170667</v>
      </c>
      <c r="BH42" s="43">
        <f t="shared" si="95"/>
        <v>68.30949599262027</v>
      </c>
      <c r="BI42" s="41" t="str">
        <f t="shared" si="96"/>
        <v>11693,7302606313+29026,0502797983i</v>
      </c>
      <c r="BJ42" s="20">
        <f t="shared" si="97"/>
        <v>89.908957632194273</v>
      </c>
      <c r="BK42" s="43">
        <f t="shared" si="98"/>
        <v>68.056964148807737</v>
      </c>
      <c r="BL42">
        <f t="shared" si="99"/>
        <v>79.419682688170667</v>
      </c>
      <c r="BM42" s="43">
        <f t="shared" si="100"/>
        <v>68.30949599262027</v>
      </c>
    </row>
    <row r="43" spans="1:65" x14ac:dyDescent="0.25">
      <c r="B43" s="1">
        <f>wz_rhp/(2*PI())</f>
        <v>73162.176559985339</v>
      </c>
      <c r="C43" t="s">
        <v>65</v>
      </c>
      <c r="N43" s="9">
        <v>25</v>
      </c>
      <c r="O43" s="34">
        <f t="shared" si="62"/>
        <v>17.782794100389236</v>
      </c>
      <c r="P43" s="33" t="str">
        <f t="shared" si="50"/>
        <v>66,7780509511648</v>
      </c>
      <c r="Q43" s="4" t="str">
        <f t="shared" si="63"/>
        <v>1+0,435467702881152i</v>
      </c>
      <c r="R43" s="4">
        <f t="shared" si="64"/>
        <v>1.0907025810240789</v>
      </c>
      <c r="S43" s="4">
        <f t="shared" si="65"/>
        <v>0.41070337236621662</v>
      </c>
      <c r="T43" s="4" t="str">
        <f t="shared" si="51"/>
        <v>1+0,000111732590612165i</v>
      </c>
      <c r="U43" s="4">
        <f t="shared" si="66"/>
        <v>1.0000000062420857</v>
      </c>
      <c r="V43" s="4">
        <f t="shared" si="67"/>
        <v>1.1173259014720206E-4</v>
      </c>
      <c r="W43" t="str">
        <f t="shared" si="52"/>
        <v>1-0,000243059938024248i</v>
      </c>
      <c r="X43" s="4">
        <f t="shared" si="68"/>
        <v>1.0000000295390663</v>
      </c>
      <c r="Y43" s="4">
        <f t="shared" si="69"/>
        <v>-2.4305993323773902E-4</v>
      </c>
      <c r="Z43" t="str">
        <f t="shared" si="53"/>
        <v>0,999999999683772+0,0000477735142103416i</v>
      </c>
      <c r="AA43" s="4">
        <f t="shared" si="70"/>
        <v>1.0000000008249261</v>
      </c>
      <c r="AB43" s="4">
        <f t="shared" si="71"/>
        <v>4.7773514189104297E-5</v>
      </c>
      <c r="AC43" s="47" t="str">
        <f t="shared" si="72"/>
        <v>56,128985491501-24,4543203835604i</v>
      </c>
      <c r="AD43" s="20">
        <f t="shared" si="73"/>
        <v>35.738548270001012</v>
      </c>
      <c r="AE43" s="43">
        <f t="shared" si="74"/>
        <v>-23.541831591603394</v>
      </c>
      <c r="AF43" t="str">
        <f t="shared" si="54"/>
        <v>223,849857273222</v>
      </c>
      <c r="AG43" t="str">
        <f t="shared" si="55"/>
        <v>1+0,4410624616396i</v>
      </c>
      <c r="AH43">
        <f t="shared" si="75"/>
        <v>1.0929483496797017</v>
      </c>
      <c r="AI43">
        <f t="shared" si="76"/>
        <v>0.41539665792972208</v>
      </c>
      <c r="AJ43" t="str">
        <f t="shared" si="56"/>
        <v>1+0,000111732590612165i</v>
      </c>
      <c r="AK43">
        <f t="shared" si="77"/>
        <v>1.0000000062420857</v>
      </c>
      <c r="AL43">
        <f t="shared" si="78"/>
        <v>1.1173259014720206E-4</v>
      </c>
      <c r="AM43" t="str">
        <f t="shared" si="57"/>
        <v>1-0,0000734402596988876i</v>
      </c>
      <c r="AN43">
        <f t="shared" si="79"/>
        <v>1.0000000026967357</v>
      </c>
      <c r="AO43">
        <f t="shared" si="80"/>
        <v>-7.344025956685495E-5</v>
      </c>
      <c r="AP43" s="41" t="str">
        <f t="shared" si="81"/>
        <v>187,397970395335-82,6456383960215i</v>
      </c>
      <c r="AQ43">
        <f t="shared" si="82"/>
        <v>46.227143741134682</v>
      </c>
      <c r="AR43" s="43">
        <f t="shared" si="83"/>
        <v>-23.798281334282599</v>
      </c>
      <c r="AS43" t="str">
        <f t="shared" si="58"/>
        <v>-0,0000166666666666667</v>
      </c>
      <c r="AT43" t="str">
        <f t="shared" si="59"/>
        <v>1,12067788384002E-07i</v>
      </c>
      <c r="AU43">
        <f t="shared" si="84"/>
        <v>1.12067788384002E-7</v>
      </c>
      <c r="AV43">
        <f t="shared" si="85"/>
        <v>1.5707963267948966</v>
      </c>
      <c r="AW43" t="str">
        <f t="shared" si="60"/>
        <v>1+0,0000735229409810856i</v>
      </c>
      <c r="AX43">
        <f t="shared" si="86"/>
        <v>1.0000000027028113</v>
      </c>
      <c r="AY43">
        <f t="shared" si="87"/>
        <v>7.3522940848606507E-5</v>
      </c>
      <c r="AZ43" t="str">
        <f t="shared" si="61"/>
        <v>1+0,0245811699346763i</v>
      </c>
      <c r="BA43">
        <f t="shared" si="88"/>
        <v>1.0003020713341333</v>
      </c>
      <c r="BB43">
        <f t="shared" si="89"/>
        <v>2.4576220803294357E-2</v>
      </c>
      <c r="BC43" s="41" t="str">
        <f t="shared" si="90"/>
        <v>-3,64476525244411+148,719778789565i</v>
      </c>
      <c r="BD43">
        <f t="shared" si="91"/>
        <v>43.449982303349941</v>
      </c>
      <c r="BE43" s="43">
        <f t="shared" si="92"/>
        <v>91.403901174202375</v>
      </c>
      <c r="BF43" s="41" t="str">
        <f t="shared" si="93"/>
        <v>3432,26414191789+8436,62056318487i</v>
      </c>
      <c r="BG43" s="20">
        <f t="shared" si="94"/>
        <v>79.18853057335096</v>
      </c>
      <c r="BH43" s="43">
        <f t="shared" si="95"/>
        <v>67.862069582598991</v>
      </c>
      <c r="BI43" s="41" t="str">
        <f t="shared" si="96"/>
        <v>11608,0194493032+28171,0086538996i</v>
      </c>
      <c r="BJ43" s="20">
        <f t="shared" si="97"/>
        <v>89.677126044484638</v>
      </c>
      <c r="BK43" s="43">
        <f t="shared" si="98"/>
        <v>67.605619839919854</v>
      </c>
      <c r="BL43">
        <f t="shared" si="99"/>
        <v>79.18853057335096</v>
      </c>
      <c r="BM43" s="43">
        <f t="shared" si="100"/>
        <v>67.862069582598991</v>
      </c>
    </row>
    <row r="44" spans="1:65" x14ac:dyDescent="0.25">
      <c r="B44" s="1"/>
      <c r="N44" s="9">
        <v>26</v>
      </c>
      <c r="O44" s="34">
        <f t="shared" si="62"/>
        <v>18.197008586099841</v>
      </c>
      <c r="P44" s="33" t="str">
        <f t="shared" si="50"/>
        <v>66,7780509511648</v>
      </c>
      <c r="Q44" s="4" t="str">
        <f t="shared" si="63"/>
        <v>1+0,445611048722881i</v>
      </c>
      <c r="R44" s="4">
        <f t="shared" si="64"/>
        <v>1.0947918554428078</v>
      </c>
      <c r="S44" s="4">
        <f t="shared" si="65"/>
        <v>0.41919808237568684</v>
      </c>
      <c r="T44" s="4" t="str">
        <f t="shared" si="51"/>
        <v>1+0,000114335176982803i</v>
      </c>
      <c r="U44" s="4">
        <f t="shared" si="66"/>
        <v>1.0000000065362662</v>
      </c>
      <c r="V44" s="4">
        <f t="shared" si="67"/>
        <v>1.1433517648458623E-4</v>
      </c>
      <c r="W44" t="str">
        <f t="shared" si="52"/>
        <v>1-0,000248721531284408i</v>
      </c>
      <c r="X44" s="4">
        <f t="shared" si="68"/>
        <v>1.0000000309311996</v>
      </c>
      <c r="Y44" s="4">
        <f t="shared" si="69"/>
        <v>-2.4872152615557124E-4</v>
      </c>
      <c r="Z44" t="str">
        <f t="shared" si="53"/>
        <v>0,999999999668869+0,0000488863023080677i</v>
      </c>
      <c r="AA44" s="4">
        <f t="shared" si="70"/>
        <v>1.0000000008638041</v>
      </c>
      <c r="AB44" s="4">
        <f t="shared" si="71"/>
        <v>4.8886302285311487E-5</v>
      </c>
      <c r="AC44" s="47" t="str">
        <f t="shared" si="72"/>
        <v>55,7102570689865-24,8373446680021i</v>
      </c>
      <c r="AD44" s="20">
        <f t="shared" si="73"/>
        <v>35.706043943728289</v>
      </c>
      <c r="AE44" s="43">
        <f t="shared" si="74"/>
        <v>-24.02878164956152</v>
      </c>
      <c r="AF44" t="str">
        <f t="shared" si="54"/>
        <v>223,849857273222</v>
      </c>
      <c r="AG44" t="str">
        <f t="shared" si="55"/>
        <v>1+0,451336126153903i</v>
      </c>
      <c r="AH44">
        <f t="shared" si="75"/>
        <v>1.0971345855325187</v>
      </c>
      <c r="AI44">
        <f t="shared" si="76"/>
        <v>0.42396449400665592</v>
      </c>
      <c r="AJ44" t="str">
        <f t="shared" si="56"/>
        <v>1+0,000114335176982803i</v>
      </c>
      <c r="AK44">
        <f t="shared" si="77"/>
        <v>1.0000000065362662</v>
      </c>
      <c r="AL44">
        <f t="shared" si="78"/>
        <v>1.1433517648458623E-4</v>
      </c>
      <c r="AM44" t="str">
        <f t="shared" si="57"/>
        <v>1-0,0000751509031011505i</v>
      </c>
      <c r="AN44">
        <f t="shared" si="79"/>
        <v>1.0000000028238292</v>
      </c>
      <c r="AO44">
        <f t="shared" si="80"/>
        <v>-7.5150902959674964E-5</v>
      </c>
      <c r="AP44" s="41" t="str">
        <f t="shared" si="81"/>
        <v>185,970772283619-83,9265565462226i</v>
      </c>
      <c r="AQ44">
        <f t="shared" si="82"/>
        <v>46.193938402369952</v>
      </c>
      <c r="AR44" s="43">
        <f t="shared" si="83"/>
        <v>-24.28913107648464</v>
      </c>
      <c r="AS44" t="str">
        <f t="shared" si="58"/>
        <v>-0,0000166666666666667</v>
      </c>
      <c r="AT44" t="str">
        <f t="shared" si="59"/>
        <v>1,14678182513752E-07i</v>
      </c>
      <c r="AU44">
        <f t="shared" si="84"/>
        <v>1.1467818251375201E-7</v>
      </c>
      <c r="AV44">
        <f t="shared" si="85"/>
        <v>1.5707963267948966</v>
      </c>
      <c r="AW44" t="str">
        <f t="shared" si="60"/>
        <v>1+0,0000752355102778165i</v>
      </c>
      <c r="AX44">
        <f t="shared" si="86"/>
        <v>1.000000002830191</v>
      </c>
      <c r="AY44">
        <f t="shared" si="87"/>
        <v>7.5235510135862583E-5</v>
      </c>
      <c r="AZ44" t="str">
        <f t="shared" si="61"/>
        <v>1+0,0251537389362166i</v>
      </c>
      <c r="BA44">
        <f t="shared" si="88"/>
        <v>1.0003163052667248</v>
      </c>
      <c r="BB44">
        <f t="shared" si="89"/>
        <v>2.5148435936958102E-2</v>
      </c>
      <c r="BC44" s="41" t="str">
        <f t="shared" si="90"/>
        <v>-3,64476525151556+145,33451566722i</v>
      </c>
      <c r="BD44">
        <f t="shared" si="91"/>
        <v>43.250105898396647</v>
      </c>
      <c r="BE44" s="43">
        <f t="shared" si="92"/>
        <v>91.436588563342525</v>
      </c>
      <c r="BF44" s="41" t="str">
        <f t="shared" si="93"/>
        <v>3406,67264866585+8187,14951960332i</v>
      </c>
      <c r="BG44" s="20">
        <f t="shared" si="94"/>
        <v>78.956149842124944</v>
      </c>
      <c r="BH44" s="43">
        <f t="shared" si="95"/>
        <v>67.40780691378103</v>
      </c>
      <c r="BI44" s="41" t="str">
        <f t="shared" si="96"/>
        <v>11519,605638646+27333,8647150777i</v>
      </c>
      <c r="BJ44" s="20">
        <f t="shared" si="97"/>
        <v>89.444044300766606</v>
      </c>
      <c r="BK44" s="43">
        <f t="shared" si="98"/>
        <v>67.14745748685786</v>
      </c>
      <c r="BL44">
        <f t="shared" si="99"/>
        <v>78.956149842124944</v>
      </c>
      <c r="BM44" s="43">
        <f t="shared" si="100"/>
        <v>67.40780691378103</v>
      </c>
    </row>
    <row r="45" spans="1:65" x14ac:dyDescent="0.25">
      <c r="A45" t="s">
        <v>219</v>
      </c>
      <c r="B45" s="18">
        <f>1/(Cout*Resr)</f>
        <v>1000000</v>
      </c>
      <c r="C45" t="s">
        <v>216</v>
      </c>
      <c r="E45" t="s">
        <v>209</v>
      </c>
      <c r="N45" s="9">
        <v>27</v>
      </c>
      <c r="O45" s="34">
        <f t="shared" si="62"/>
        <v>18.62087136662868</v>
      </c>
      <c r="P45" s="33" t="str">
        <f t="shared" si="50"/>
        <v>66,7780509511648</v>
      </c>
      <c r="Q45" s="4" t="str">
        <f t="shared" si="63"/>
        <v>1+0,455990663441002i</v>
      </c>
      <c r="R45" s="4">
        <f t="shared" si="64"/>
        <v>1.0990575440555264</v>
      </c>
      <c r="S45" s="4">
        <f t="shared" si="65"/>
        <v>0.42782458244470484</v>
      </c>
      <c r="T45" s="4" t="str">
        <f t="shared" si="51"/>
        <v>1+0,000116998385377682i</v>
      </c>
      <c r="U45" s="4">
        <f t="shared" si="66"/>
        <v>1.0000000068443111</v>
      </c>
      <c r="V45" s="4">
        <f t="shared" si="67"/>
        <v>1.169983848438331E-4</v>
      </c>
      <c r="W45" t="str">
        <f t="shared" si="52"/>
        <v>1-0,000254514999992673i</v>
      </c>
      <c r="X45" s="4">
        <f t="shared" si="68"/>
        <v>1.0000000323889422</v>
      </c>
      <c r="Y45" s="4">
        <f t="shared" si="69"/>
        <v>-2.5451499449702538E-4</v>
      </c>
      <c r="Z45" t="str">
        <f t="shared" si="53"/>
        <v>0,999999999653263+0,000050025010570364i</v>
      </c>
      <c r="AA45" s="4">
        <f t="shared" si="70"/>
        <v>1.0000000009045138</v>
      </c>
      <c r="AB45" s="4">
        <f t="shared" si="71"/>
        <v>5.0025010545980291E-5</v>
      </c>
      <c r="AC45" s="47" t="str">
        <f t="shared" si="72"/>
        <v>55,2784355712477-25,2189741743897i</v>
      </c>
      <c r="AD45" s="20">
        <f t="shared" si="73"/>
        <v>35.672266483173928</v>
      </c>
      <c r="AE45" s="43">
        <f t="shared" si="74"/>
        <v>-24.523288289348823</v>
      </c>
      <c r="AF45" t="str">
        <f t="shared" si="54"/>
        <v>223,849857273222</v>
      </c>
      <c r="AG45" t="str">
        <f t="shared" si="55"/>
        <v>1+0,461849095056431i</v>
      </c>
      <c r="AH45">
        <f t="shared" si="75"/>
        <v>1.1015010606460822</v>
      </c>
      <c r="AI45">
        <f t="shared" si="76"/>
        <v>0.43266382854310353</v>
      </c>
      <c r="AJ45" t="str">
        <f t="shared" si="56"/>
        <v>1+0,000116998385377682i</v>
      </c>
      <c r="AK45">
        <f t="shared" si="77"/>
        <v>1.0000000068443111</v>
      </c>
      <c r="AL45">
        <f t="shared" si="78"/>
        <v>1.169983848438331E-4</v>
      </c>
      <c r="AM45" t="str">
        <f t="shared" si="57"/>
        <v>1-0,0000769013925069772i</v>
      </c>
      <c r="AN45">
        <f t="shared" si="79"/>
        <v>1.000000002956912</v>
      </c>
      <c r="AO45">
        <f t="shared" si="80"/>
        <v>-7.6901392355383427E-5</v>
      </c>
      <c r="AP45" s="41" t="str">
        <f t="shared" si="81"/>
        <v>184,49943005285-85,201919102205i</v>
      </c>
      <c r="AQ45">
        <f t="shared" si="82"/>
        <v>46.15943812792856</v>
      </c>
      <c r="AR45" s="43">
        <f t="shared" si="83"/>
        <v>-24.787513935050992</v>
      </c>
      <c r="AS45" t="str">
        <f t="shared" si="58"/>
        <v>-0,0000166666666666667</v>
      </c>
      <c r="AT45" t="str">
        <f t="shared" si="59"/>
        <v>1,17349380533815E-07i</v>
      </c>
      <c r="AU45">
        <f t="shared" si="84"/>
        <v>1.17349380533815E-7</v>
      </c>
      <c r="AV45">
        <f t="shared" si="85"/>
        <v>1.5707963267948966</v>
      </c>
      <c r="AW45" t="str">
        <f t="shared" si="60"/>
        <v>1+0,0000769879704379562i</v>
      </c>
      <c r="AX45">
        <f t="shared" si="86"/>
        <v>1.0000000029635738</v>
      </c>
      <c r="AY45">
        <f t="shared" si="87"/>
        <v>7.6987970285849849E-5</v>
      </c>
      <c r="AZ45" t="str">
        <f t="shared" si="61"/>
        <v>1+0,02573964478309i</v>
      </c>
      <c r="BA45">
        <f t="shared" si="88"/>
        <v>1.0003312098068118</v>
      </c>
      <c r="BB45">
        <f t="shared" si="89"/>
        <v>2.5733962618616213E-2</v>
      </c>
      <c r="BC45" s="41" t="str">
        <f t="shared" si="90"/>
        <v>-3,64476525054327+142,026310828813i</v>
      </c>
      <c r="BD45">
        <f t="shared" si="91"/>
        <v>43.050235314528663</v>
      </c>
      <c r="BE45" s="43">
        <f t="shared" si="92"/>
        <v>91.470036362423471</v>
      </c>
      <c r="BF45" s="41" t="str">
        <f t="shared" si="93"/>
        <v>3380,2809438012+7942,9095132977i</v>
      </c>
      <c r="BG45" s="20">
        <f t="shared" si="94"/>
        <v>78.722501797702591</v>
      </c>
      <c r="BH45" s="43">
        <f t="shared" si="95"/>
        <v>66.946748073074659</v>
      </c>
      <c r="BI45" s="41" t="str">
        <f t="shared" si="96"/>
        <v>11428,4571342195+26514,3143944482i</v>
      </c>
      <c r="BJ45" s="20">
        <f t="shared" si="97"/>
        <v>89.209673442457216</v>
      </c>
      <c r="BK45" s="43">
        <f t="shared" si="98"/>
        <v>66.682522427372433</v>
      </c>
      <c r="BL45">
        <f t="shared" si="99"/>
        <v>78.722501797702591</v>
      </c>
      <c r="BM45" s="43">
        <f t="shared" si="100"/>
        <v>66.946748073074659</v>
      </c>
    </row>
    <row r="46" spans="1:65" x14ac:dyDescent="0.25">
      <c r="B46" s="18">
        <f>wz_esr/(2*PI())</f>
        <v>159154.94309189534</v>
      </c>
      <c r="C46" t="s">
        <v>65</v>
      </c>
      <c r="N46" s="9">
        <v>28</v>
      </c>
      <c r="O46" s="34">
        <f t="shared" si="62"/>
        <v>19.054607179632477</v>
      </c>
      <c r="P46" s="33" t="str">
        <f t="shared" si="50"/>
        <v>66,7780509511648</v>
      </c>
      <c r="Q46" s="4" t="str">
        <f t="shared" si="63"/>
        <v>1+0,466612050444629i</v>
      </c>
      <c r="R46" s="4">
        <f t="shared" si="64"/>
        <v>1.1035065951865177</v>
      </c>
      <c r="S46" s="4">
        <f t="shared" si="65"/>
        <v>0.43658230978743978</v>
      </c>
      <c r="T46" s="4" t="str">
        <f t="shared" si="51"/>
        <v>1+0,000119723627865145i</v>
      </c>
      <c r="U46" s="4">
        <f t="shared" si="66"/>
        <v>1.0000000071668735</v>
      </c>
      <c r="V46" s="4">
        <f t="shared" si="67"/>
        <v>1.1972362729311561E-4</v>
      </c>
      <c r="W46" t="str">
        <f t="shared" si="52"/>
        <v>1-0,000260443415922838i</v>
      </c>
      <c r="X46" s="4">
        <f t="shared" si="68"/>
        <v>1.0000000339153858</v>
      </c>
      <c r="Y46" s="4">
        <f t="shared" si="69"/>
        <v>-2.6044341003414554E-4</v>
      </c>
      <c r="Z46" t="str">
        <f t="shared" si="53"/>
        <v>0,999999999636922+0,0000511902427554242i</v>
      </c>
      <c r="AA46" s="4">
        <f t="shared" si="70"/>
        <v>1.0000000009471424</v>
      </c>
      <c r="AB46" s="4">
        <f t="shared" si="71"/>
        <v>5.1190242729296579E-5</v>
      </c>
      <c r="AC46" s="47" t="str">
        <f t="shared" si="72"/>
        <v>54,8333766520389-25,5987296903051i</v>
      </c>
      <c r="AD46" s="20">
        <f t="shared" si="73"/>
        <v>35.637176469940421</v>
      </c>
      <c r="AE46" s="43">
        <f t="shared" si="74"/>
        <v>-25.025319395399052</v>
      </c>
      <c r="AF46" t="str">
        <f t="shared" si="54"/>
        <v>223,849857273222</v>
      </c>
      <c r="AG46" t="str">
        <f t="shared" si="55"/>
        <v>1+0,472606942462453i</v>
      </c>
      <c r="AH46">
        <f t="shared" si="75"/>
        <v>1.1060548458660213</v>
      </c>
      <c r="AI46">
        <f t="shared" si="76"/>
        <v>0.44149400619427676</v>
      </c>
      <c r="AJ46" t="str">
        <f t="shared" si="56"/>
        <v>1+0,000119723627865145i</v>
      </c>
      <c r="AK46">
        <f t="shared" si="77"/>
        <v>1.0000000071668735</v>
      </c>
      <c r="AL46">
        <f t="shared" si="78"/>
        <v>1.1972362729311561E-4</v>
      </c>
      <c r="AM46" t="str">
        <f t="shared" si="57"/>
        <v>1-0,0000786926560490215i</v>
      </c>
      <c r="AN46">
        <f t="shared" si="79"/>
        <v>1.000000003096267</v>
      </c>
      <c r="AO46">
        <f t="shared" si="80"/>
        <v>-7.8692655886585845E-5</v>
      </c>
      <c r="AP46" s="41" t="str">
        <f t="shared" si="81"/>
        <v>182,983496427709-86,470085990604i</v>
      </c>
      <c r="AQ46">
        <f t="shared" si="82"/>
        <v>46.123603268739771</v>
      </c>
      <c r="AR46" s="43">
        <f t="shared" si="83"/>
        <v>-25.293392333763787</v>
      </c>
      <c r="AS46" t="str">
        <f t="shared" si="58"/>
        <v>-0,0000166666666666667</v>
      </c>
      <c r="AT46" t="str">
        <f t="shared" si="59"/>
        <v>1,20082798748741E-07i</v>
      </c>
      <c r="AU46">
        <f t="shared" si="84"/>
        <v>1.2008279874874101E-7</v>
      </c>
      <c r="AV46">
        <f t="shared" si="85"/>
        <v>1.5707963267948966</v>
      </c>
      <c r="AW46" t="str">
        <f t="shared" si="60"/>
        <v>1+0,0000787812506390785i</v>
      </c>
      <c r="AX46">
        <f t="shared" si="86"/>
        <v>1.0000000031032428</v>
      </c>
      <c r="AY46">
        <f t="shared" si="87"/>
        <v>7.8781250476093605E-5</v>
      </c>
      <c r="AZ46" t="str">
        <f t="shared" si="61"/>
        <v>1+0,0263391981303319i</v>
      </c>
      <c r="BA46">
        <f t="shared" si="88"/>
        <v>1.0003468165382188</v>
      </c>
      <c r="BB46">
        <f t="shared" si="89"/>
        <v>2.6333109695403051E-2</v>
      </c>
      <c r="BC46" s="41" t="str">
        <f t="shared" si="90"/>
        <v>-3,64476524952514+138,793410220346i</v>
      </c>
      <c r="BD46">
        <f t="shared" si="91"/>
        <v>42.850370825721605</v>
      </c>
      <c r="BE46" s="43">
        <f t="shared" si="92"/>
        <v>91.504262213844569</v>
      </c>
      <c r="BF46" s="41" t="str">
        <f t="shared" si="93"/>
        <v>3353,08020529079+7703,81269984039i</v>
      </c>
      <c r="BG46" s="20">
        <f t="shared" si="94"/>
        <v>78.487547295662026</v>
      </c>
      <c r="BH46" s="43">
        <f t="shared" si="95"/>
        <v>66.478942818445532</v>
      </c>
      <c r="BI46" s="41" t="str">
        <f t="shared" si="96"/>
        <v>11334,5462276662+25712,0666477862i</v>
      </c>
      <c r="BJ46" s="20">
        <f t="shared" si="97"/>
        <v>88.973974094461369</v>
      </c>
      <c r="BK46" s="43">
        <f t="shared" si="98"/>
        <v>66.210869880080708</v>
      </c>
      <c r="BL46">
        <f t="shared" si="99"/>
        <v>78.487547295662026</v>
      </c>
      <c r="BM46" s="43">
        <f t="shared" si="100"/>
        <v>66.478942818445532</v>
      </c>
    </row>
    <row r="47" spans="1:65" x14ac:dyDescent="0.25">
      <c r="B47" s="1"/>
      <c r="N47" s="9">
        <v>29</v>
      </c>
      <c r="O47" s="34">
        <f t="shared" si="62"/>
        <v>19.498445997580465</v>
      </c>
      <c r="P47" s="33" t="str">
        <f t="shared" si="50"/>
        <v>66,7780509511648</v>
      </c>
      <c r="Q47" s="4" t="str">
        <f t="shared" si="63"/>
        <v>1+0,477480841333744i</v>
      </c>
      <c r="R47" s="4">
        <f t="shared" si="64"/>
        <v>1.1081461789135854</v>
      </c>
      <c r="S47" s="4">
        <f t="shared" si="65"/>
        <v>0.44547053325491637</v>
      </c>
      <c r="T47" s="4" t="str">
        <f t="shared" si="51"/>
        <v>1+0,000122512349404832i</v>
      </c>
      <c r="U47" s="4">
        <f t="shared" si="66"/>
        <v>1.0000000075046378</v>
      </c>
      <c r="V47" s="4">
        <f t="shared" si="67"/>
        <v>1.2251234879189144E-4</v>
      </c>
      <c r="W47" t="str">
        <f t="shared" si="52"/>
        <v>1-0,000266509922399503i</v>
      </c>
      <c r="X47" s="4">
        <f t="shared" si="68"/>
        <v>1.0000000355137688</v>
      </c>
      <c r="Y47" s="4">
        <f t="shared" si="69"/>
        <v>-2.6650991608965531E-4</v>
      </c>
      <c r="Z47" t="str">
        <f t="shared" si="53"/>
        <v>0,999999999619811+0,0000523826166847763i</v>
      </c>
      <c r="AA47" s="4">
        <f t="shared" si="70"/>
        <v>1.0000000009917802</v>
      </c>
      <c r="AB47" s="4">
        <f t="shared" si="71"/>
        <v>5.2382616656780036E-5</v>
      </c>
      <c r="AC47" s="47" t="str">
        <f t="shared" si="72"/>
        <v>54,3749559037735-25,9761135788157i</v>
      </c>
      <c r="AD47" s="20">
        <f t="shared" si="73"/>
        <v>35.600734082926834</v>
      </c>
      <c r="AE47" s="43">
        <f t="shared" si="74"/>
        <v>-25.534833208669443</v>
      </c>
      <c r="AF47" t="str">
        <f t="shared" si="54"/>
        <v>223,849857273222</v>
      </c>
      <c r="AG47" t="str">
        <f t="shared" si="55"/>
        <v>1+0,483615372325063i</v>
      </c>
      <c r="AH47">
        <f t="shared" si="75"/>
        <v>1.1108032356583724</v>
      </c>
      <c r="AI47">
        <f t="shared" si="76"/>
        <v>0.45045419976575041</v>
      </c>
      <c r="AJ47" t="str">
        <f t="shared" si="56"/>
        <v>1+0,000122512349404832i</v>
      </c>
      <c r="AK47">
        <f t="shared" si="77"/>
        <v>1.0000000075046378</v>
      </c>
      <c r="AL47">
        <f t="shared" si="78"/>
        <v>1.2251234879189144E-4</v>
      </c>
      <c r="AM47" t="str">
        <f t="shared" si="57"/>
        <v>1-0,0000805256434789235i</v>
      </c>
      <c r="AN47">
        <f t="shared" si="79"/>
        <v>1.0000000032421896</v>
      </c>
      <c r="AO47">
        <f t="shared" si="80"/>
        <v>-8.0525643304870561E-5</v>
      </c>
      <c r="AP47" s="41" t="str">
        <f t="shared" si="81"/>
        <v>181,422594010056-87,7293566322232i</v>
      </c>
      <c r="AQ47">
        <f t="shared" si="82"/>
        <v>46.086393806883059</v>
      </c>
      <c r="AR47" s="43">
        <f t="shared" si="83"/>
        <v>-25.806718849500339</v>
      </c>
      <c r="AS47" t="str">
        <f t="shared" si="58"/>
        <v>-0,0000166666666666667</v>
      </c>
      <c r="AT47" t="str">
        <f t="shared" si="59"/>
        <v>1,22879886453047E-07i</v>
      </c>
      <c r="AU47">
        <f t="shared" si="84"/>
        <v>1.2287988645304699E-7</v>
      </c>
      <c r="AV47">
        <f t="shared" si="85"/>
        <v>1.5707963267948966</v>
      </c>
      <c r="AW47" t="str">
        <f t="shared" si="60"/>
        <v>1+0,0000806163017020828i</v>
      </c>
      <c r="AX47">
        <f t="shared" si="86"/>
        <v>1.000000003249494</v>
      </c>
      <c r="AY47">
        <f t="shared" si="87"/>
        <v>8.061630152744135E-5</v>
      </c>
      <c r="AZ47" t="str">
        <f t="shared" si="61"/>
        <v>1+0,026952716869063i</v>
      </c>
      <c r="BA47">
        <f t="shared" si="88"/>
        <v>1.0003631585312525</v>
      </c>
      <c r="BB47">
        <f t="shared" si="89"/>
        <v>2.6946193121402721E-2</v>
      </c>
      <c r="BC47" s="41" t="str">
        <f t="shared" si="90"/>
        <v>-3,64476524845904+135,634099715126i</v>
      </c>
      <c r="BD47">
        <f t="shared" si="91"/>
        <v>42.65051271882848</v>
      </c>
      <c r="BE47" s="43">
        <f t="shared" si="92"/>
        <v>91.539284165963338</v>
      </c>
      <c r="BF47" s="41" t="str">
        <f t="shared" si="93"/>
        <v>3325,06282969596+7469,77502712009i</v>
      </c>
      <c r="BG47" s="20">
        <f t="shared" si="94"/>
        <v>78.251246801755315</v>
      </c>
      <c r="BH47" s="43">
        <f t="shared" si="95"/>
        <v>66.004450957293926</v>
      </c>
      <c r="BI47" s="41" t="str">
        <f t="shared" si="96"/>
        <v>11237,8495394657+24926,8431168596i</v>
      </c>
      <c r="BJ47" s="20">
        <f t="shared" si="97"/>
        <v>88.736906525711561</v>
      </c>
      <c r="BK47" s="43">
        <f t="shared" si="98"/>
        <v>65.732565316462981</v>
      </c>
      <c r="BL47">
        <f t="shared" si="99"/>
        <v>78.251246801755315</v>
      </c>
      <c r="BM47" s="43">
        <f t="shared" si="100"/>
        <v>66.004450957293926</v>
      </c>
    </row>
    <row r="48" spans="1:65" x14ac:dyDescent="0.25">
      <c r="A48" t="s">
        <v>212</v>
      </c>
      <c r="B48" s="1">
        <f>(Vsl*Fsw)</f>
        <v>90000</v>
      </c>
      <c r="C48" t="s">
        <v>150</v>
      </c>
      <c r="E48" t="s">
        <v>213</v>
      </c>
      <c r="N48" s="9">
        <v>30</v>
      </c>
      <c r="O48" s="34">
        <f t="shared" si="62"/>
        <v>19.952623149688804</v>
      </c>
      <c r="P48" s="33" t="str">
        <f t="shared" si="50"/>
        <v>66,7780509511648</v>
      </c>
      <c r="Q48" s="4" t="str">
        <f t="shared" si="63"/>
        <v>1+0,488602798885139i</v>
      </c>
      <c r="R48" s="4">
        <f t="shared" si="64"/>
        <v>1.1129836903919086</v>
      </c>
      <c r="S48" s="4">
        <f t="shared" si="65"/>
        <v>0.45448834709966734</v>
      </c>
      <c r="T48" s="4" t="str">
        <f t="shared" si="51"/>
        <v>1+0,000125366028613816i</v>
      </c>
      <c r="U48" s="4">
        <f t="shared" si="66"/>
        <v>1.0000000078583204</v>
      </c>
      <c r="V48" s="4">
        <f t="shared" si="67"/>
        <v>1.253660279570384E-4</v>
      </c>
      <c r="W48" t="str">
        <f t="shared" si="52"/>
        <v>1-0,000272717735964699i</v>
      </c>
      <c r="X48" s="4">
        <f t="shared" si="68"/>
        <v>1.0000000371874811</v>
      </c>
      <c r="Y48" s="4">
        <f t="shared" si="69"/>
        <v>-2.7271772920357546E-4</v>
      </c>
      <c r="Z48" t="str">
        <f t="shared" si="53"/>
        <v>0,999999999601893+0,0000536027645708606i</v>
      </c>
      <c r="AA48" s="4">
        <f t="shared" si="70"/>
        <v>1.000000001038521</v>
      </c>
      <c r="AB48" s="4">
        <f t="shared" si="71"/>
        <v>5.3602764540862076E-5</v>
      </c>
      <c r="AC48" s="47" t="str">
        <f t="shared" si="72"/>
        <v>53,9030705137734-26,3506104695882i</v>
      </c>
      <c r="AD48" s="20">
        <f t="shared" si="73"/>
        <v>35.562899160497714</v>
      </c>
      <c r="AE48" s="43">
        <f t="shared" si="74"/>
        <v>-26.051777969451745</v>
      </c>
      <c r="AF48" t="str">
        <f t="shared" si="54"/>
        <v>223,849857273222</v>
      </c>
      <c r="AG48" t="str">
        <f t="shared" si="55"/>
        <v>1+0,494880221459486i</v>
      </c>
      <c r="AH48">
        <f t="shared" si="75"/>
        <v>1.1157537513231985</v>
      </c>
      <c r="AI48">
        <f t="shared" si="76"/>
        <v>0.45954340411774575</v>
      </c>
      <c r="AJ48" t="str">
        <f t="shared" si="56"/>
        <v>1+0,000125366028613816i</v>
      </c>
      <c r="AK48">
        <f t="shared" si="77"/>
        <v>1.0000000078583204</v>
      </c>
      <c r="AL48">
        <f t="shared" si="78"/>
        <v>1.253660279570384E-4</v>
      </c>
      <c r="AM48" t="str">
        <f t="shared" si="57"/>
        <v>1-0,000082401326670881i</v>
      </c>
      <c r="AN48">
        <f t="shared" si="79"/>
        <v>1.0000000033949892</v>
      </c>
      <c r="AO48">
        <f t="shared" si="80"/>
        <v>-8.2401326484379922E-5</v>
      </c>
      <c r="AP48" s="41" t="str">
        <f t="shared" si="81"/>
        <v>179,816420837991-88,9779725239594i</v>
      </c>
      <c r="AQ48">
        <f t="shared" si="82"/>
        <v>46.047769420508729</v>
      </c>
      <c r="AR48" s="43">
        <f t="shared" si="83"/>
        <v>-26.327435862959224</v>
      </c>
      <c r="AS48" t="str">
        <f t="shared" si="58"/>
        <v>-0,0000166666666666667</v>
      </c>
      <c r="AT48" t="str">
        <f t="shared" si="59"/>
        <v>1,25742126699657E-07i</v>
      </c>
      <c r="AU48">
        <f t="shared" si="84"/>
        <v>1.2574212669965699E-7</v>
      </c>
      <c r="AV48">
        <f t="shared" si="85"/>
        <v>1.5707963267948966</v>
      </c>
      <c r="AW48" t="str">
        <f t="shared" si="60"/>
        <v>1+0,0000824940965953325i</v>
      </c>
      <c r="AX48">
        <f t="shared" si="86"/>
        <v>1.0000000034026379</v>
      </c>
      <c r="AY48">
        <f t="shared" si="87"/>
        <v>8.2494096408200799E-5</v>
      </c>
      <c r="AZ48" t="str">
        <f t="shared" si="61"/>
        <v>1+0,0275805262950395i</v>
      </c>
      <c r="BA48">
        <f t="shared" si="88"/>
        <v>1.0003802704125624</v>
      </c>
      <c r="BB48">
        <f t="shared" si="89"/>
        <v>2.7573536116983551E-2</v>
      </c>
      <c r="BC48" s="41" t="str">
        <f t="shared" si="90"/>
        <v>-3,64476524734272+132,546704204905i</v>
      </c>
      <c r="BD48">
        <f t="shared" si="91"/>
        <v>42.450661294182758</v>
      </c>
      <c r="BE48" s="43">
        <f t="shared" si="92"/>
        <v>91.575120682195774</v>
      </c>
      <c r="BF48" s="41" t="str">
        <f t="shared" si="93"/>
        <v>3296,22253339752+7240,71613241108i</v>
      </c>
      <c r="BG48" s="20">
        <f t="shared" si="94"/>
        <v>78.013560454680473</v>
      </c>
      <c r="BH48" s="43">
        <f t="shared" si="95"/>
        <v>65.523342712743997</v>
      </c>
      <c r="BI48" s="41" t="str">
        <f t="shared" si="96"/>
        <v>11138,3483633135+24158,3777660323i</v>
      </c>
      <c r="BJ48" s="20">
        <f t="shared" si="97"/>
        <v>88.498430714691509</v>
      </c>
      <c r="BK48" s="43">
        <f t="shared" si="98"/>
        <v>65.247684819236696</v>
      </c>
      <c r="BL48">
        <f t="shared" si="99"/>
        <v>78.013560454680473</v>
      </c>
      <c r="BM48" s="43">
        <f t="shared" si="100"/>
        <v>65.523342712743997</v>
      </c>
    </row>
    <row r="49" spans="1:65" x14ac:dyDescent="0.25">
      <c r="A49" t="s">
        <v>215</v>
      </c>
      <c r="B49" s="1">
        <f>(R_cs*VIN_var)/Lm</f>
        <v>16097.560975609756</v>
      </c>
      <c r="C49" t="s">
        <v>150</v>
      </c>
      <c r="E49" t="s">
        <v>214</v>
      </c>
      <c r="J49">
        <f>(0.5-(1-(VIN_var/VOUT)))</f>
        <v>-0.29439252336448596</v>
      </c>
      <c r="N49" s="9">
        <v>31</v>
      </c>
      <c r="O49" s="34">
        <f t="shared" si="62"/>
        <v>20.4173794466953</v>
      </c>
      <c r="P49" s="33" t="str">
        <f t="shared" si="50"/>
        <v>66,7780509511648</v>
      </c>
      <c r="Q49" s="4" t="str">
        <f t="shared" si="63"/>
        <v>1+0,499983820107924i</v>
      </c>
      <c r="R49" s="4">
        <f t="shared" si="64"/>
        <v>1.1180267529758459</v>
      </c>
      <c r="S49" s="4">
        <f t="shared" si="65"/>
        <v>0.46363466500337308</v>
      </c>
      <c r="T49" s="4" t="str">
        <f t="shared" si="51"/>
        <v>1+0,000128286178550586i</v>
      </c>
      <c r="U49" s="4">
        <f t="shared" si="66"/>
        <v>1.0000000082286717</v>
      </c>
      <c r="V49" s="4">
        <f t="shared" si="67"/>
        <v>1.2828617784683608E-4</v>
      </c>
      <c r="W49" t="str">
        <f t="shared" si="52"/>
        <v>1-0,000279070148083349i</v>
      </c>
      <c r="X49" s="4">
        <f t="shared" si="68"/>
        <v>1.0000000389400729</v>
      </c>
      <c r="Y49" s="4">
        <f t="shared" si="69"/>
        <v>-2.7907014083867457E-4</v>
      </c>
      <c r="Z49" t="str">
        <f t="shared" si="53"/>
        <v>0,999999999583131+0,0000548513333522365i</v>
      </c>
      <c r="AA49" s="4">
        <f t="shared" si="70"/>
        <v>1.0000000010874655</v>
      </c>
      <c r="AB49" s="4">
        <f t="shared" si="71"/>
        <v>5.4851333320092488E-5</v>
      </c>
      <c r="AC49" s="47" t="str">
        <f t="shared" si="72"/>
        <v>53,4176409231563-26,7216880947435i</v>
      </c>
      <c r="AD49" s="20">
        <f t="shared" si="73"/>
        <v>35.523631267617212</v>
      </c>
      <c r="AE49" s="43">
        <f t="shared" si="74"/>
        <v>-26.576091575252608</v>
      </c>
      <c r="AF49" t="str">
        <f t="shared" si="54"/>
        <v>223,849857273222</v>
      </c>
      <c r="AG49" t="str">
        <f t="shared" si="55"/>
        <v>1+0,506407462637838i</v>
      </c>
      <c r="AH49">
        <f t="shared" si="75"/>
        <v>1.1209141439982337</v>
      </c>
      <c r="AI49">
        <f t="shared" si="76"/>
        <v>0.4687604303603683</v>
      </c>
      <c r="AJ49" t="str">
        <f t="shared" si="56"/>
        <v>1+0,000128286178550586i</v>
      </c>
      <c r="AK49">
        <f t="shared" si="77"/>
        <v>1.0000000082286717</v>
      </c>
      <c r="AL49">
        <f t="shared" si="78"/>
        <v>1.2828617784683608E-4</v>
      </c>
      <c r="AM49" t="str">
        <f t="shared" si="57"/>
        <v>1-0,0000843207001369495i</v>
      </c>
      <c r="AN49">
        <f t="shared" si="79"/>
        <v>1.0000000035549901</v>
      </c>
      <c r="AO49">
        <f t="shared" si="80"/>
        <v>-8.4320699937109986E-5</v>
      </c>
      <c r="AP49" s="41" t="str">
        <f t="shared" si="81"/>
        <v>178,164755931074-90,2141203164771i</v>
      </c>
      <c r="AQ49">
        <f t="shared" si="82"/>
        <v>46.007689553722876</v>
      </c>
      <c r="AR49" s="43">
        <f t="shared" si="83"/>
        <v>-26.855475226056754</v>
      </c>
      <c r="AS49" t="str">
        <f t="shared" si="58"/>
        <v>-0,0000166666666666667</v>
      </c>
      <c r="AT49" t="str">
        <f t="shared" si="59"/>
        <v>1,28671037086238E-07i</v>
      </c>
      <c r="AU49">
        <f t="shared" si="84"/>
        <v>1.2867103708623799E-7</v>
      </c>
      <c r="AV49">
        <f t="shared" si="85"/>
        <v>1.5707963267948966</v>
      </c>
      <c r="AW49" t="str">
        <f t="shared" si="60"/>
        <v>1+0,0000844156309505351i</v>
      </c>
      <c r="AX49">
        <f t="shared" si="86"/>
        <v>1.0000000035629992</v>
      </c>
      <c r="AY49">
        <f t="shared" si="87"/>
        <v>8.4415630750019879E-5</v>
      </c>
      <c r="AZ49" t="str">
        <f t="shared" si="61"/>
        <v>1+0,0282229592811289i</v>
      </c>
      <c r="BA49">
        <f t="shared" si="88"/>
        <v>1.000398188438276</v>
      </c>
      <c r="BB49">
        <f t="shared" si="89"/>
        <v>2.8215469331401587E-2</v>
      </c>
      <c r="BC49" s="41" t="str">
        <f t="shared" si="90"/>
        <v>-3,64476524617374+129,529586711717i</v>
      </c>
      <c r="BD49">
        <f t="shared" si="91"/>
        <v>42.250816866230039</v>
      </c>
      <c r="BE49" s="43">
        <f t="shared" si="92"/>
        <v>91.611790650303206</v>
      </c>
      <c r="BF49" s="41" t="str">
        <f t="shared" si="93"/>
        <v>3266,55445398223+7016,55923197815i</v>
      </c>
      <c r="BG49" s="20">
        <f t="shared" si="94"/>
        <v>77.774448133847258</v>
      </c>
      <c r="BH49" s="43">
        <f t="shared" si="95"/>
        <v>65.035699075050559</v>
      </c>
      <c r="BI49" s="41" t="str">
        <f t="shared" si="96"/>
        <v>11036,0290096438+23406,4164927896i</v>
      </c>
      <c r="BJ49" s="20">
        <f t="shared" si="97"/>
        <v>88.258506419952909</v>
      </c>
      <c r="BK49" s="43">
        <f t="shared" si="98"/>
        <v>64.756315424246438</v>
      </c>
      <c r="BL49">
        <f t="shared" si="99"/>
        <v>77.774448133847258</v>
      </c>
      <c r="BM49" s="43">
        <f t="shared" si="100"/>
        <v>65.035699075050559</v>
      </c>
    </row>
    <row r="50" spans="1:65" x14ac:dyDescent="0.25">
      <c r="B50" s="1"/>
      <c r="J50">
        <f>Lm*Fsw</f>
        <v>1.6399999999999997</v>
      </c>
      <c r="N50" s="9">
        <v>32</v>
      </c>
      <c r="O50" s="34">
        <f t="shared" si="62"/>
        <v>20.8929613085404</v>
      </c>
      <c r="P50" s="33" t="str">
        <f t="shared" si="50"/>
        <v>66,7780509511648</v>
      </c>
      <c r="Q50" s="4" t="str">
        <f t="shared" si="63"/>
        <v>1+0,511629939370203i</v>
      </c>
      <c r="R50" s="4">
        <f t="shared" si="64"/>
        <v>1.1232832211245558</v>
      </c>
      <c r="S50" s="4">
        <f t="shared" si="65"/>
        <v>0.47290821441835501</v>
      </c>
      <c r="T50" s="4" t="str">
        <f t="shared" si="51"/>
        <v>1+0,000131274347517293i</v>
      </c>
      <c r="U50" s="4">
        <f t="shared" si="66"/>
        <v>1.0000000086164771</v>
      </c>
      <c r="V50" s="4">
        <f t="shared" si="67"/>
        <v>1.312743467632114E-4</v>
      </c>
      <c r="W50" t="str">
        <f t="shared" si="52"/>
        <v>1-0,000285570526888445i</v>
      </c>
      <c r="X50" s="4">
        <f t="shared" si="68"/>
        <v>1.0000000407752621</v>
      </c>
      <c r="Y50" s="4">
        <f t="shared" si="69"/>
        <v>-2.8557051912563649E-4</v>
      </c>
      <c r="Z50" t="str">
        <f t="shared" si="53"/>
        <v>0,999999999563484+0,0000561289850365996i</v>
      </c>
      <c r="AA50" s="4">
        <f t="shared" si="70"/>
        <v>1.0000000011387153</v>
      </c>
      <c r="AB50" s="4">
        <f t="shared" si="71"/>
        <v>5.6128985002156705E-5</v>
      </c>
      <c r="AC50" s="47" t="str">
        <f t="shared" si="72"/>
        <v>52,9186124759045-27,0887982750565i</v>
      </c>
      <c r="AD50" s="20">
        <f t="shared" si="73"/>
        <v>35.48288976793809</v>
      </c>
      <c r="AE50" s="43">
        <f t="shared" si="74"/>
        <v>-27.107701256659869</v>
      </c>
      <c r="AF50" t="str">
        <f t="shared" si="54"/>
        <v>223,849857273222</v>
      </c>
      <c r="AG50" t="str">
        <f t="shared" si="55"/>
        <v>1+0,51820320775598i</v>
      </c>
      <c r="AH50">
        <f t="shared" si="75"/>
        <v>1.1262923974388654</v>
      </c>
      <c r="AI50">
        <f t="shared" si="76"/>
        <v>0.47810390039169864</v>
      </c>
      <c r="AJ50" t="str">
        <f t="shared" si="56"/>
        <v>1+0,000131274347517293i</v>
      </c>
      <c r="AK50">
        <f t="shared" si="77"/>
        <v>1.0000000086164771</v>
      </c>
      <c r="AL50">
        <f t="shared" si="78"/>
        <v>1.312743467632114E-4</v>
      </c>
      <c r="AM50" t="str">
        <f t="shared" si="57"/>
        <v>1-0,0000862847815543477i</v>
      </c>
      <c r="AN50">
        <f t="shared" si="79"/>
        <v>1.0000000037225316</v>
      </c>
      <c r="AO50">
        <f t="shared" si="80"/>
        <v>-8.628478134021581E-5</v>
      </c>
      <c r="AP50" s="41" t="str">
        <f t="shared" si="81"/>
        <v>176,467464777945-91,4359354045768i</v>
      </c>
      <c r="AQ50">
        <f t="shared" si="82"/>
        <v>45.966113491404748</v>
      </c>
      <c r="AR50" s="43">
        <f t="shared" si="83"/>
        <v>-27.390757948966538</v>
      </c>
      <c r="AS50" t="str">
        <f t="shared" si="58"/>
        <v>-0,0000166666666666667</v>
      </c>
      <c r="AT50" t="str">
        <f t="shared" si="59"/>
        <v>1,31668170559845E-07i</v>
      </c>
      <c r="AU50">
        <f t="shared" si="84"/>
        <v>1.3166817055984499E-7</v>
      </c>
      <c r="AV50">
        <f t="shared" si="85"/>
        <v>1.5707963267948966</v>
      </c>
      <c r="AW50" t="str">
        <f t="shared" si="60"/>
        <v>1+0,0000863819235906414i</v>
      </c>
      <c r="AX50">
        <f t="shared" si="86"/>
        <v>1.0000000037309182</v>
      </c>
      <c r="AY50">
        <f t="shared" si="87"/>
        <v>8.6381923375785459E-5</v>
      </c>
      <c r="AZ50" t="str">
        <f t="shared" si="61"/>
        <v>1+0,0288803564538044i</v>
      </c>
      <c r="BA50">
        <f t="shared" si="88"/>
        <v>1.0004169505705602</v>
      </c>
      <c r="BB50">
        <f t="shared" si="89"/>
        <v>2.8872331008719332E-2</v>
      </c>
      <c r="BC50" s="41" t="str">
        <f t="shared" si="90"/>
        <v>-3,64476524494969+126,581147519929i</v>
      </c>
      <c r="BD50">
        <f t="shared" si="91"/>
        <v>42.050979764189044</v>
      </c>
      <c r="BE50" s="43">
        <f t="shared" si="92"/>
        <v>91.649313391868645</v>
      </c>
      <c r="BF50" s="41" t="str">
        <f t="shared" si="93"/>
        <v>3236,05525102939+6797,2310028428i</v>
      </c>
      <c r="BG50" s="20">
        <f t="shared" si="94"/>
        <v>77.533869532127127</v>
      </c>
      <c r="BH50" s="43">
        <f t="shared" si="95"/>
        <v>64.541612135208752</v>
      </c>
      <c r="BI50" s="41" t="str">
        <f t="shared" ref="BI50:BI113" si="101">IMPRODUCT(AP50,BC50)</f>
        <v>10930,8831455824+22670,716711027i</v>
      </c>
      <c r="BJ50" s="20">
        <f t="shared" si="97"/>
        <v>88.017093255593792</v>
      </c>
      <c r="BK50" s="43">
        <f t="shared" ref="BK50:BK113" si="102">(180/PI())*IMARGUMENT(BI50)</f>
        <v>64.258555442902107</v>
      </c>
      <c r="BL50">
        <f t="shared" si="99"/>
        <v>77.533869532127127</v>
      </c>
      <c r="BM50" s="43">
        <f t="shared" si="100"/>
        <v>64.541612135208752</v>
      </c>
    </row>
    <row r="51" spans="1:65" x14ac:dyDescent="0.25">
      <c r="A51" t="s">
        <v>210</v>
      </c>
      <c r="B51" s="1">
        <f>2*PI()*Fsw</f>
        <v>12566370.614359172</v>
      </c>
      <c r="C51" t="s">
        <v>216</v>
      </c>
      <c r="N51" s="9">
        <v>33</v>
      </c>
      <c r="O51" s="34">
        <f t="shared" si="62"/>
        <v>21.379620895022335</v>
      </c>
      <c r="P51" s="33" t="str">
        <f t="shared" si="50"/>
        <v>66,7780509511648</v>
      </c>
      <c r="Q51" s="4" t="str">
        <f t="shared" si="63"/>
        <v>1+0,523547331598554i</v>
      </c>
      <c r="R51" s="4">
        <f t="shared" si="64"/>
        <v>1.1287611830781419</v>
      </c>
      <c r="S51" s="4">
        <f t="shared" si="65"/>
        <v>0.4823075312755456</v>
      </c>
      <c r="T51" s="4" t="str">
        <f t="shared" si="51"/>
        <v>1+0,000134332119880674i</v>
      </c>
      <c r="U51" s="4">
        <f t="shared" si="66"/>
        <v>1.0000000090225591</v>
      </c>
      <c r="V51" s="4">
        <f t="shared" si="67"/>
        <v>1.3433211907266099E-4</v>
      </c>
      <c r="W51" t="str">
        <f t="shared" si="52"/>
        <v>1-0,000292222318966868i</v>
      </c>
      <c r="X51" s="4">
        <f t="shared" si="68"/>
        <v>1.0000000426969409</v>
      </c>
      <c r="Y51" s="4">
        <f t="shared" si="69"/>
        <v>-2.922223106488689E-4</v>
      </c>
      <c r="Z51" t="str">
        <f t="shared" si="53"/>
        <v>0,999999999542912+0,0000574363970517835i</v>
      </c>
      <c r="AA51" s="4">
        <f t="shared" si="70"/>
        <v>1.0000000011923817</v>
      </c>
      <c r="AB51" s="4">
        <f t="shared" si="71"/>
        <v>5.7436397014877249E-5</v>
      </c>
      <c r="AC51" s="47" t="str">
        <f t="shared" si="72"/>
        <v>52,4059570445852-27,4513780610805i</v>
      </c>
      <c r="AD51" s="20">
        <f t="shared" si="73"/>
        <v>35.440633900796321</v>
      </c>
      <c r="AE51" s="43">
        <f t="shared" si="74"/>
        <v>-27.646523274205915</v>
      </c>
      <c r="AF51" t="str">
        <f t="shared" si="54"/>
        <v>223,849857273222</v>
      </c>
      <c r="AG51" t="str">
        <f t="shared" si="55"/>
        <v>1+0,530273711074101i</v>
      </c>
      <c r="AH51">
        <f t="shared" si="75"/>
        <v>1.1318967305617147</v>
      </c>
      <c r="AI51">
        <f t="shared" si="76"/>
        <v>0.48757224183215653</v>
      </c>
      <c r="AJ51" t="str">
        <f t="shared" si="56"/>
        <v>1+0,000134332119880674i</v>
      </c>
      <c r="AK51">
        <f t="shared" si="77"/>
        <v>1.0000000090225591</v>
      </c>
      <c r="AL51">
        <f t="shared" si="78"/>
        <v>1.3433211907266099E-4</v>
      </c>
      <c r="AM51" t="str">
        <f t="shared" si="57"/>
        <v>1-0,0000882946123050394i</v>
      </c>
      <c r="AN51">
        <f t="shared" si="79"/>
        <v>1.0000000038979693</v>
      </c>
      <c r="AO51">
        <f t="shared" si="80"/>
        <v>-8.8294612075592947E-5</v>
      </c>
      <c r="AP51" s="41" t="str">
        <f t="shared" si="81"/>
        <v>174,724504719092-92,6415060434774i</v>
      </c>
      <c r="AQ51">
        <f t="shared" si="82"/>
        <v>45.923000438884131</v>
      </c>
      <c r="AR51" s="43">
        <f t="shared" si="83"/>
        <v>-27.933193909864318</v>
      </c>
      <c r="AS51" t="str">
        <f t="shared" si="58"/>
        <v>-0,0000166666666666667</v>
      </c>
      <c r="AT51" t="str">
        <f t="shared" si="59"/>
        <v>1,34735116240316E-07i</v>
      </c>
      <c r="AU51">
        <f t="shared" si="84"/>
        <v>1.34735116240316E-7</v>
      </c>
      <c r="AV51">
        <f t="shared" si="85"/>
        <v>1.5707963267948966</v>
      </c>
      <c r="AW51" t="str">
        <f t="shared" si="60"/>
        <v>1+0,0000883940170700347i</v>
      </c>
      <c r="AX51">
        <f t="shared" si="86"/>
        <v>1.0000000039067511</v>
      </c>
      <c r="AY51">
        <f t="shared" si="87"/>
        <v>8.8394016839812416E-5</v>
      </c>
      <c r="AZ51" t="str">
        <f t="shared" si="61"/>
        <v>1+0,0295530663737483i</v>
      </c>
      <c r="BA51">
        <f t="shared" si="88"/>
        <v>1.0004365965577684</v>
      </c>
      <c r="BB51">
        <f t="shared" si="89"/>
        <v>2.9544467157080194E-2</v>
      </c>
      <c r="BC51" s="41" t="str">
        <f t="shared" si="90"/>
        <v>-3,64476524366797+123,699823328056i</v>
      </c>
      <c r="BD51">
        <f t="shared" si="91"/>
        <v>41.851150332743686</v>
      </c>
      <c r="BE51" s="43">
        <f t="shared" si="92"/>
        <v>91.687708671964444</v>
      </c>
      <c r="BF51" s="41" t="str">
        <f t="shared" si="93"/>
        <v>3204,72320547007+6582,6614564007i</v>
      </c>
      <c r="BG51" s="20">
        <f t="shared" si="94"/>
        <v>77.291784233540014</v>
      </c>
      <c r="BH51" s="43">
        <f t="shared" si="95"/>
        <v>64.041185397758539</v>
      </c>
      <c r="BI51" s="41" t="str">
        <f t="shared" si="101"/>
        <v>10822,9081284059+21951,0469061821i</v>
      </c>
      <c r="BJ51" s="20">
        <f t="shared" si="97"/>
        <v>87.774150771627802</v>
      </c>
      <c r="BK51" s="43">
        <f t="shared" si="102"/>
        <v>63.754514762100229</v>
      </c>
      <c r="BL51">
        <f t="shared" si="99"/>
        <v>77.291784233540014</v>
      </c>
      <c r="BM51" s="43">
        <f t="shared" si="100"/>
        <v>64.041185397758539</v>
      </c>
    </row>
    <row r="52" spans="1:65" x14ac:dyDescent="0.25">
      <c r="A52" t="s">
        <v>211</v>
      </c>
      <c r="B52" s="1">
        <f>1/(PI()*(((VIN_var/VOUT)*(1+(B48/B49)))-0.5))</f>
        <v>0.37223123302366778</v>
      </c>
      <c r="N52" s="9">
        <v>34</v>
      </c>
      <c r="O52" s="34">
        <f t="shared" si="62"/>
        <v>21.877616239495538</v>
      </c>
      <c r="P52" s="33" t="str">
        <f t="shared" si="50"/>
        <v>66,7780509511648</v>
      </c>
      <c r="Q52" s="4" t="str">
        <f t="shared" si="63"/>
        <v>1+0,53574231555209i</v>
      </c>
      <c r="R52" s="4">
        <f t="shared" si="64"/>
        <v>1.1344689632921279</v>
      </c>
      <c r="S52" s="4">
        <f t="shared" si="65"/>
        <v>0.49183095511301927</v>
      </c>
      <c r="T52" s="4" t="str">
        <f t="shared" si="51"/>
        <v>1+0,000137461116912112i</v>
      </c>
      <c r="U52" s="4">
        <f t="shared" si="66"/>
        <v>1.0000000094477792</v>
      </c>
      <c r="V52" s="4">
        <f t="shared" si="67"/>
        <v>1.3746111604631049E-4</v>
      </c>
      <c r="W52" t="str">
        <f t="shared" si="52"/>
        <v>1-0,000299029051186827i</v>
      </c>
      <c r="X52" s="4">
        <f t="shared" si="68"/>
        <v>1.0000000447091857</v>
      </c>
      <c r="Y52" s="4">
        <f t="shared" si="69"/>
        <v>-2.9902904227393037E-4</v>
      </c>
      <c r="Z52" t="str">
        <f t="shared" si="53"/>
        <v>0,99999999952137+0,0000587742626049451i</v>
      </c>
      <c r="AA52" s="4">
        <f t="shared" si="70"/>
        <v>1.0000000012485768</v>
      </c>
      <c r="AB52" s="4">
        <f t="shared" si="71"/>
        <v>5.8774262565399351E-5</v>
      </c>
      <c r="AC52" s="47" t="str">
        <f t="shared" si="72"/>
        <v>51,8796746181757-27,8088510325998i</v>
      </c>
      <c r="AD52" s="20">
        <f t="shared" si="73"/>
        <v>35.396822863019537</v>
      </c>
      <c r="AE52" s="43">
        <f t="shared" si="74"/>
        <v>-28.19246263933077</v>
      </c>
      <c r="AF52" t="str">
        <f t="shared" si="54"/>
        <v>223,849857273222</v>
      </c>
      <c r="AG52" t="str">
        <f t="shared" si="55"/>
        <v>1+0,542625372532837i</v>
      </c>
      <c r="AH52">
        <f t="shared" si="75"/>
        <v>1.1377355997402914</v>
      </c>
      <c r="AI52">
        <f t="shared" si="76"/>
        <v>0.49716368340981221</v>
      </c>
      <c r="AJ52" t="str">
        <f t="shared" si="56"/>
        <v>1+0,000137461116912112i</v>
      </c>
      <c r="AK52">
        <f t="shared" si="77"/>
        <v>1.0000000094477792</v>
      </c>
      <c r="AL52">
        <f t="shared" si="78"/>
        <v>1.3746111604631049E-4</v>
      </c>
      <c r="AM52" t="str">
        <f t="shared" si="57"/>
        <v>1-0,000090351258027893i</v>
      </c>
      <c r="AN52">
        <f t="shared" si="79"/>
        <v>1.0000000040816748</v>
      </c>
      <c r="AO52">
        <f t="shared" si="80"/>
        <v>-9.0351257782036686E-5</v>
      </c>
      <c r="AP52" s="41" t="str">
        <f t="shared" si="81"/>
        <v>172,93593017432-93,8288779999655i</v>
      </c>
      <c r="AQ52">
        <f t="shared" si="82"/>
        <v>45.878309606363388</v>
      </c>
      <c r="AR52" s="43">
        <f t="shared" si="83"/>
        <v>-28.482681590508417</v>
      </c>
      <c r="AS52" t="str">
        <f t="shared" si="58"/>
        <v>-0,0000166666666666667</v>
      </c>
      <c r="AT52" t="str">
        <f t="shared" si="59"/>
        <v>1,37873500262848E-07i</v>
      </c>
      <c r="AU52">
        <f t="shared" si="84"/>
        <v>1.37873500262848E-7</v>
      </c>
      <c r="AV52">
        <f t="shared" si="85"/>
        <v>1.5707963267948966</v>
      </c>
      <c r="AW52" t="str">
        <f t="shared" si="60"/>
        <v>1+0,000090452978227312i</v>
      </c>
      <c r="AX52">
        <f t="shared" si="86"/>
        <v>1.0000000040908705</v>
      </c>
      <c r="AY52">
        <f t="shared" si="87"/>
        <v>9.0452977980624375E-5</v>
      </c>
      <c r="AZ52" t="str">
        <f t="shared" si="61"/>
        <v>1+0,0302414457206646i</v>
      </c>
      <c r="BA52">
        <f t="shared" si="88"/>
        <v>1.0004571680183394</v>
      </c>
      <c r="BB52">
        <f t="shared" si="89"/>
        <v>3.0232231721385346E-2</v>
      </c>
      <c r="BC52" s="41" t="str">
        <f t="shared" si="90"/>
        <v>-3,64476524232582+120,884086419873i</v>
      </c>
      <c r="BD52">
        <f t="shared" si="91"/>
        <v>41.651328932766788</v>
      </c>
      <c r="BE52" s="43">
        <f t="shared" si="92"/>
        <v>91.726996709014216</v>
      </c>
      <c r="BF52" s="41" t="str">
        <f t="shared" si="93"/>
        <v>3172,55831663067+6372,78380365108i</v>
      </c>
      <c r="BG52" s="20">
        <f t="shared" si="94"/>
        <v>77.048151795786339</v>
      </c>
      <c r="BH52" s="43">
        <f t="shared" si="95"/>
        <v>63.534534069683453</v>
      </c>
      <c r="BI52" s="41" t="str">
        <f t="shared" si="101"/>
        <v>10712,1073293789+21247,1861615543i</v>
      </c>
      <c r="BJ52" s="20">
        <f t="shared" si="97"/>
        <v>87.529638539130175</v>
      </c>
      <c r="BK52" s="43">
        <f t="shared" si="102"/>
        <v>63.244315118505803</v>
      </c>
      <c r="BL52">
        <f t="shared" si="99"/>
        <v>77.048151795786339</v>
      </c>
      <c r="BM52" s="43">
        <f t="shared" si="100"/>
        <v>63.534534069683453</v>
      </c>
    </row>
    <row r="53" spans="1:65" x14ac:dyDescent="0.25">
      <c r="N53" s="9">
        <v>35</v>
      </c>
      <c r="O53" s="34">
        <f t="shared" si="62"/>
        <v>22.387211385683404</v>
      </c>
      <c r="P53" s="33" t="str">
        <f t="shared" si="50"/>
        <v>66,7780509511648</v>
      </c>
      <c r="Q53" s="4" t="str">
        <f t="shared" si="63"/>
        <v>1+0,548221357172719i</v>
      </c>
      <c r="R53" s="4">
        <f t="shared" si="64"/>
        <v>1.1404151246192318</v>
      </c>
      <c r="S53" s="4">
        <f t="shared" si="65"/>
        <v>0.50147662467995557</v>
      </c>
      <c r="T53" s="4" t="str">
        <f t="shared" si="51"/>
        <v>1+0,00014066299764725i</v>
      </c>
      <c r="U53" s="4">
        <f t="shared" si="66"/>
        <v>1.0000000098930395</v>
      </c>
      <c r="V53" s="4">
        <f t="shared" si="67"/>
        <v>1.4066299671952696E-4</v>
      </c>
      <c r="W53" t="str">
        <f t="shared" si="52"/>
        <v>1-0,000305994332567844i</v>
      </c>
      <c r="X53" s="4">
        <f t="shared" si="68"/>
        <v>1.0000000468162646</v>
      </c>
      <c r="Y53" s="4">
        <f t="shared" si="69"/>
        <v>-3.0599432301750318E-4</v>
      </c>
      <c r="Z53" t="str">
        <f t="shared" si="53"/>
        <v>0,999999999498813+0,0000601432910501092i</v>
      </c>
      <c r="AA53" s="4">
        <f t="shared" si="70"/>
        <v>1.0000000013074206</v>
      </c>
      <c r="AB53" s="4">
        <f t="shared" si="71"/>
        <v>6.0143291007735158E-5</v>
      </c>
      <c r="AC53" s="47" t="str">
        <f t="shared" si="72"/>
        <v>51,339794836543-28,1606287584478i</v>
      </c>
      <c r="AD53" s="20">
        <f t="shared" si="73"/>
        <v>35.351415895413368</v>
      </c>
      <c r="AE53" s="43">
        <f t="shared" si="74"/>
        <v>-28.745412862586431</v>
      </c>
      <c r="AF53" t="str">
        <f t="shared" si="54"/>
        <v>223,849857273222</v>
      </c>
      <c r="AG53" t="str">
        <f t="shared" si="55"/>
        <v>1+0,555264741146587i</v>
      </c>
      <c r="AH53">
        <f t="shared" si="75"/>
        <v>1.1438177008424839</v>
      </c>
      <c r="AI53">
        <f t="shared" si="76"/>
        <v>0.5068762508518414</v>
      </c>
      <c r="AJ53" t="str">
        <f t="shared" si="56"/>
        <v>1+0,00014066299764725i</v>
      </c>
      <c r="AK53">
        <f t="shared" si="77"/>
        <v>1.0000000098930395</v>
      </c>
      <c r="AL53">
        <f t="shared" si="78"/>
        <v>1.4066299671952696E-4</v>
      </c>
      <c r="AM53" t="str">
        <f t="shared" si="57"/>
        <v>1-0,0000924558091836934i</v>
      </c>
      <c r="AN53">
        <f t="shared" si="79"/>
        <v>1.0000000042740382</v>
      </c>
      <c r="AO53">
        <f t="shared" si="80"/>
        <v>-9.2455808920253611E-5</v>
      </c>
      <c r="AP53" s="41" t="str">
        <f t="shared" si="81"/>
        <v>171,101897661561-94,9960597424792i</v>
      </c>
      <c r="AQ53">
        <f t="shared" si="82"/>
        <v>45.83200029792053</v>
      </c>
      <c r="AR53" s="43">
        <f t="shared" si="83"/>
        <v>-29.039107840821771</v>
      </c>
      <c r="AS53" t="str">
        <f t="shared" si="58"/>
        <v>-0,0000166666666666667</v>
      </c>
      <c r="AT53" t="str">
        <f t="shared" si="59"/>
        <v>1,41084986640191E-07i</v>
      </c>
      <c r="AU53">
        <f t="shared" si="84"/>
        <v>1.4108498664019099E-7</v>
      </c>
      <c r="AV53">
        <f t="shared" si="85"/>
        <v>1.5707963267948966</v>
      </c>
      <c r="AW53" t="str">
        <f t="shared" si="60"/>
        <v>1+0,0000925598987509322i</v>
      </c>
      <c r="AX53">
        <f t="shared" si="86"/>
        <v>1.0000000042836674</v>
      </c>
      <c r="AY53">
        <f t="shared" si="87"/>
        <v>9.2559898486601654E-5</v>
      </c>
      <c r="AZ53" t="str">
        <f t="shared" si="61"/>
        <v>1+0,030945859482395i</v>
      </c>
      <c r="BA53">
        <f t="shared" si="88"/>
        <v>1.0004787085286244</v>
      </c>
      <c r="BB53">
        <f t="shared" si="89"/>
        <v>3.0935986759409874E-2</v>
      </c>
      <c r="BC53" s="41" t="str">
        <f t="shared" si="90"/>
        <v>-3,64476524092044+118,132443854399i</v>
      </c>
      <c r="BD53">
        <f t="shared" si="91"/>
        <v>41.451515942077648</v>
      </c>
      <c r="BE53" s="43">
        <f t="shared" si="92"/>
        <v>91.767198184851338</v>
      </c>
      <c r="BF53" s="41" t="str">
        <f t="shared" si="93"/>
        <v>3139,56239601569+6167,53431188553i</v>
      </c>
      <c r="BG53" s="20">
        <f t="shared" si="94"/>
        <v>76.802931837491016</v>
      </c>
      <c r="BH53" s="43">
        <f t="shared" si="95"/>
        <v>63.021785322264904</v>
      </c>
      <c r="BI53" s="41" t="str">
        <f t="shared" si="101"/>
        <v>10598,4904446652+20558,9236554593i</v>
      </c>
      <c r="BJ53" s="20">
        <f t="shared" si="97"/>
        <v>87.283516239998193</v>
      </c>
      <c r="BK53" s="43">
        <f t="shared" si="102"/>
        <v>62.728090344029553</v>
      </c>
      <c r="BL53">
        <f t="shared" si="99"/>
        <v>76.802931837491016</v>
      </c>
      <c r="BM53" s="43">
        <f t="shared" si="100"/>
        <v>63.021785322264904</v>
      </c>
    </row>
    <row r="54" spans="1:65" ht="15.75" x14ac:dyDescent="0.25">
      <c r="A54" s="35" t="s">
        <v>225</v>
      </c>
      <c r="N54" s="9">
        <v>36</v>
      </c>
      <c r="O54" s="34">
        <f t="shared" si="62"/>
        <v>22.908676527677727</v>
      </c>
      <c r="P54" s="33" t="str">
        <f t="shared" si="50"/>
        <v>66,7780509511648</v>
      </c>
      <c r="Q54" s="4" t="str">
        <f t="shared" si="63"/>
        <v>1+0,560991073013487i</v>
      </c>
      <c r="R54" s="4">
        <f t="shared" si="64"/>
        <v>1.1466084702289721</v>
      </c>
      <c r="S54" s="4">
        <f t="shared" si="65"/>
        <v>0.5112424740715279</v>
      </c>
      <c r="T54" s="4" t="str">
        <f t="shared" si="51"/>
        <v>1+0,000143939459765635i</v>
      </c>
      <c r="U54" s="4">
        <f t="shared" si="66"/>
        <v>1.0000000103592839</v>
      </c>
      <c r="V54" s="4">
        <f t="shared" si="67"/>
        <v>1.4393945877156186E-4</v>
      </c>
      <c r="W54" t="str">
        <f t="shared" si="52"/>
        <v>1-0,000313121856194301i</v>
      </c>
      <c r="X54" s="4">
        <f t="shared" si="68"/>
        <v>1.0000000490226473</v>
      </c>
      <c r="Y54" s="4">
        <f t="shared" si="69"/>
        <v>-3.1312184596092644E-4</v>
      </c>
      <c r="Z54" t="str">
        <f t="shared" si="53"/>
        <v>0,999999999475193+0,0000615442082642785i</v>
      </c>
      <c r="AA54" s="4">
        <f t="shared" si="70"/>
        <v>1.0000000013690375</v>
      </c>
      <c r="AB54" s="4">
        <f t="shared" si="71"/>
        <v>6.1544208218873871E-5</v>
      </c>
      <c r="AC54" s="47" t="str">
        <f t="shared" si="72"/>
        <v>50,7863784553173-28,5061124172186i</v>
      </c>
      <c r="AD54" s="20">
        <f t="shared" si="73"/>
        <v>35.304372373741529</v>
      </c>
      <c r="AE54" s="43">
        <f t="shared" si="74"/>
        <v>-29.305255732263294</v>
      </c>
      <c r="AF54" t="str">
        <f t="shared" si="54"/>
        <v>223,849857273222</v>
      </c>
      <c r="AG54" t="str">
        <f t="shared" si="55"/>
        <v>1+0,568198518475889i</v>
      </c>
      <c r="AH54">
        <f t="shared" si="75"/>
        <v>1.1501519710013086</v>
      </c>
      <c r="AI54">
        <f t="shared" si="76"/>
        <v>0.51670776333760005</v>
      </c>
      <c r="AJ54" t="str">
        <f t="shared" si="56"/>
        <v>1+0,000143939459765635i</v>
      </c>
      <c r="AK54">
        <f t="shared" si="77"/>
        <v>1.0000000103592839</v>
      </c>
      <c r="AL54">
        <f t="shared" si="78"/>
        <v>1.4393945877156186E-4</v>
      </c>
      <c r="AM54" t="str">
        <f t="shared" si="57"/>
        <v>1-0,0000946093816333199i</v>
      </c>
      <c r="AN54">
        <f t="shared" si="79"/>
        <v>1.0000000044754676</v>
      </c>
      <c r="AO54">
        <f t="shared" si="80"/>
        <v>-9.4609381351039101E-5</v>
      </c>
      <c r="AP54" s="41" t="str">
        <f t="shared" si="81"/>
        <v>169,222670551327-96,1410281688481i</v>
      </c>
      <c r="AQ54">
        <f t="shared" si="82"/>
        <v>45.784032004883628</v>
      </c>
      <c r="AR54" s="43">
        <f t="shared" si="83"/>
        <v>-29.602347675649764</v>
      </c>
      <c r="AS54" t="str">
        <f t="shared" si="58"/>
        <v>-0,0000166666666666667</v>
      </c>
      <c r="AT54" t="str">
        <f t="shared" si="59"/>
        <v>1,44371278144931E-07i</v>
      </c>
      <c r="AU54">
        <f t="shared" si="84"/>
        <v>1.4437127814493101E-7</v>
      </c>
      <c r="AV54">
        <f t="shared" si="85"/>
        <v>1.5707963267948966</v>
      </c>
      <c r="AW54" t="str">
        <f t="shared" si="60"/>
        <v>1+0,000094715895758045i</v>
      </c>
      <c r="AX54">
        <f t="shared" si="86"/>
        <v>1.0000000044855504</v>
      </c>
      <c r="AY54">
        <f t="shared" si="87"/>
        <v>9.4715895474809718E-5</v>
      </c>
      <c r="AZ54" t="str">
        <f t="shared" si="61"/>
        <v>1+0,0316666811484397i</v>
      </c>
      <c r="BA54">
        <f t="shared" si="88"/>
        <v>1.0005012637148225</v>
      </c>
      <c r="BB54">
        <f t="shared" si="89"/>
        <v>3.1656102621398362E-2</v>
      </c>
      <c r="BC54" s="41" t="str">
        <f t="shared" si="90"/>
        <v>-3,64476523944881+115,443436674325i</v>
      </c>
      <c r="BD54">
        <f t="shared" si="91"/>
        <v>41.251711756235146</v>
      </c>
      <c r="BE54" s="43">
        <f t="shared" si="92"/>
        <v>91.808334254975634</v>
      </c>
      <c r="BF54" s="41" t="str">
        <f t="shared" si="93"/>
        <v>3105,73915683693+5966,85215277482i</v>
      </c>
      <c r="BG54" s="20">
        <f t="shared" si="94"/>
        <v>76.556084129976682</v>
      </c>
      <c r="BH54" s="43">
        <f t="shared" si="95"/>
        <v>62.503078522712343</v>
      </c>
      <c r="BI54" s="41" t="str">
        <f t="shared" si="101"/>
        <v>10482,0737898627+19886,058129207i</v>
      </c>
      <c r="BJ54" s="20">
        <f t="shared" si="97"/>
        <v>87.035743761118766</v>
      </c>
      <c r="BK54" s="43">
        <f t="shared" si="102"/>
        <v>62.205986579326002</v>
      </c>
      <c r="BL54">
        <f t="shared" si="99"/>
        <v>76.556084129976682</v>
      </c>
      <c r="BM54" s="43">
        <f t="shared" si="100"/>
        <v>62.503078522712343</v>
      </c>
    </row>
    <row r="55" spans="1:65" x14ac:dyDescent="0.25">
      <c r="A55" t="s">
        <v>191</v>
      </c>
      <c r="N55" s="9">
        <v>37</v>
      </c>
      <c r="O55" s="34">
        <f t="shared" si="62"/>
        <v>23.442288153199236</v>
      </c>
      <c r="P55" s="33" t="str">
        <f t="shared" si="50"/>
        <v>66,7780509511648</v>
      </c>
      <c r="Q55" s="4" t="str">
        <f t="shared" si="63"/>
        <v>1+0,574058233746763i</v>
      </c>
      <c r="R55" s="4">
        <f t="shared" si="64"/>
        <v>1.1530580452572425</v>
      </c>
      <c r="S55" s="4">
        <f t="shared" si="65"/>
        <v>0.52112622944997899</v>
      </c>
      <c r="T55" s="4" t="str">
        <f t="shared" si="51"/>
        <v>1+0,000147292240490852i</v>
      </c>
      <c r="U55" s="4">
        <f t="shared" si="66"/>
        <v>1.000000010847502</v>
      </c>
      <c r="V55" s="4">
        <f t="shared" si="67"/>
        <v>1.4729223942568342E-4</v>
      </c>
      <c r="W55" t="str">
        <f t="shared" si="52"/>
        <v>1-0,00032041540117357i</v>
      </c>
      <c r="X55" s="4">
        <f t="shared" si="68"/>
        <v>1.0000000513330134</v>
      </c>
      <c r="Y55" s="4">
        <f t="shared" si="69"/>
        <v>-3.2041539020831168E-4</v>
      </c>
      <c r="Z55" t="str">
        <f t="shared" si="53"/>
        <v>0,999999999450459+0,0000629777570323036i</v>
      </c>
      <c r="AA55" s="4">
        <f t="shared" si="70"/>
        <v>1.0000000014335577</v>
      </c>
      <c r="AB55" s="4">
        <f t="shared" si="71"/>
        <v>6.297775698365171E-5</v>
      </c>
      <c r="AC55" s="47" t="str">
        <f t="shared" si="72"/>
        <v>50,2195187242532-28,844694577717i</v>
      </c>
      <c r="AD55" s="20">
        <f t="shared" si="73"/>
        <v>35.255651903966104</v>
      </c>
      <c r="AE55" s="43">
        <f t="shared" si="74"/>
        <v>-29.871861126604159</v>
      </c>
      <c r="AF55" t="str">
        <f t="shared" si="54"/>
        <v>223,849857273222</v>
      </c>
      <c r="AG55" t="str">
        <f t="shared" si="55"/>
        <v>1+0,581433562180685i</v>
      </c>
      <c r="AH55">
        <f t="shared" si="75"/>
        <v>1.1567475901120869</v>
      </c>
      <c r="AI55">
        <f t="shared" si="76"/>
        <v>0.52665583056830068</v>
      </c>
      <c r="AJ55" t="str">
        <f t="shared" si="56"/>
        <v>1+0,000147292240490852i</v>
      </c>
      <c r="AK55">
        <f t="shared" si="77"/>
        <v>1.000000010847502</v>
      </c>
      <c r="AL55">
        <f t="shared" si="78"/>
        <v>1.4729223942568342E-4</v>
      </c>
      <c r="AM55" t="str">
        <f t="shared" si="57"/>
        <v>1-0,0000968131172293919i</v>
      </c>
      <c r="AN55">
        <f t="shared" si="79"/>
        <v>1.0000000046863897</v>
      </c>
      <c r="AO55">
        <f t="shared" si="80"/>
        <v>-9.6813116926922554E-5</v>
      </c>
      <c r="AP55" s="41" t="str">
        <f t="shared" si="81"/>
        <v>167,298623499144-97,2617348644953i</v>
      </c>
      <c r="AQ55">
        <f t="shared" si="82"/>
        <v>45.734364503313344</v>
      </c>
      <c r="AR55" s="43">
        <f t="shared" si="83"/>
        <v>-30.172264106847919</v>
      </c>
      <c r="AS55" t="str">
        <f t="shared" si="58"/>
        <v>-0,0000166666666666667</v>
      </c>
      <c r="AT55" t="str">
        <f t="shared" si="59"/>
        <v>1,47734117212324E-07i</v>
      </c>
      <c r="AU55">
        <f t="shared" si="84"/>
        <v>1.4773411721232399E-7</v>
      </c>
      <c r="AV55">
        <f t="shared" si="85"/>
        <v>1.5707963267948966</v>
      </c>
      <c r="AW55" t="str">
        <f t="shared" si="60"/>
        <v>1+0,0000969221123868019i</v>
      </c>
      <c r="AX55">
        <f t="shared" si="86"/>
        <v>1.0000000046969479</v>
      </c>
      <c r="AY55">
        <f t="shared" si="87"/>
        <v>9.6922112083309815E-5</v>
      </c>
      <c r="AZ55" t="str">
        <f t="shared" si="61"/>
        <v>1+0,0324042929079874i</v>
      </c>
      <c r="BA55">
        <f t="shared" si="88"/>
        <v>1.000524881349218</v>
      </c>
      <c r="BB55">
        <f t="shared" si="89"/>
        <v>3.2392958133178586E-2</v>
      </c>
      <c r="BC55" s="41" t="str">
        <f t="shared" si="90"/>
        <v>-3,64476523790781+112,81563913245i</v>
      </c>
      <c r="BD55">
        <f t="shared" si="91"/>
        <v>41.051916789367048</v>
      </c>
      <c r="BE55" s="43">
        <f t="shared" si="92"/>
        <v>91.850426559011225</v>
      </c>
      <c r="BF55" s="41" t="str">
        <f t="shared" si="93"/>
        <v>3071,09429825484+5770,6792418956i</v>
      </c>
      <c r="BG55" s="20">
        <f t="shared" si="94"/>
        <v>76.307568693333153</v>
      </c>
      <c r="BH55" s="43">
        <f t="shared" si="95"/>
        <v>61.978565432407095</v>
      </c>
      <c r="BI55" s="41" t="str">
        <f t="shared" si="101"/>
        <v>10362,8805745894+19228,3973262478i</v>
      </c>
      <c r="BJ55" s="20">
        <f t="shared" si="97"/>
        <v>86.7862812926804</v>
      </c>
      <c r="BK55" s="43">
        <f t="shared" si="102"/>
        <v>61.67816245216342</v>
      </c>
      <c r="BL55">
        <f t="shared" si="99"/>
        <v>76.307568693333153</v>
      </c>
      <c r="BM55" s="43">
        <f t="shared" si="100"/>
        <v>61.978565432407095</v>
      </c>
    </row>
    <row r="56" spans="1:65" x14ac:dyDescent="0.25">
      <c r="A56" t="s">
        <v>189</v>
      </c>
      <c r="B56" s="3">
        <f>RFBT</f>
        <v>3300</v>
      </c>
      <c r="C56" s="2" t="s">
        <v>36</v>
      </c>
      <c r="E56" t="s">
        <v>192</v>
      </c>
      <c r="N56" s="9">
        <v>38</v>
      </c>
      <c r="O56" s="34">
        <f t="shared" si="62"/>
        <v>23.988329190194907</v>
      </c>
      <c r="P56" s="33" t="str">
        <f t="shared" si="50"/>
        <v>66,7780509511648</v>
      </c>
      <c r="Q56" s="4" t="str">
        <f t="shared" si="63"/>
        <v>1+0,587429767754128i</v>
      </c>
      <c r="R56" s="4">
        <f t="shared" si="64"/>
        <v>1.1597731381799066</v>
      </c>
      <c r="S56" s="4">
        <f t="shared" si="65"/>
        <v>0.53112540640648476</v>
      </c>
      <c r="T56" s="4" t="str">
        <f t="shared" si="51"/>
        <v>1+0,00015072311751162i</v>
      </c>
      <c r="U56" s="4">
        <f t="shared" si="66"/>
        <v>1.0000000113587291</v>
      </c>
      <c r="V56" s="4">
        <f t="shared" si="67"/>
        <v>1.5072311637027132E-4</v>
      </c>
      <c r="W56" t="str">
        <f t="shared" si="52"/>
        <v>1-0,00032787883463974i</v>
      </c>
      <c r="X56" s="4">
        <f t="shared" si="68"/>
        <v>1.0000000537522635</v>
      </c>
      <c r="Y56" s="4">
        <f t="shared" si="69"/>
        <v>-3.2787882289025407E-4</v>
      </c>
      <c r="Z56" t="str">
        <f t="shared" si="53"/>
        <v>0,99999999942456+0,000064444697440716i</v>
      </c>
      <c r="AA56" s="4">
        <f t="shared" si="70"/>
        <v>1.0000000015011192</v>
      </c>
      <c r="AB56" s="4">
        <f t="shared" si="71"/>
        <v>6.4444697388584565E-5</v>
      </c>
      <c r="AC56" s="47" t="str">
        <f t="shared" si="72"/>
        <v>49,6393426616915-29,1757611361764i</v>
      </c>
      <c r="AD56" s="20">
        <f t="shared" si="73"/>
        <v>35.205214421463381</v>
      </c>
      <c r="AE56" s="43">
        <f t="shared" si="74"/>
        <v>-30.445086862734858</v>
      </c>
      <c r="AF56" t="str">
        <f t="shared" si="54"/>
        <v>223,849857273222</v>
      </c>
      <c r="AG56" t="str">
        <f t="shared" si="55"/>
        <v>1+0,594976889656329i</v>
      </c>
      <c r="AH56">
        <f t="shared" si="75"/>
        <v>1.1636139820512297</v>
      </c>
      <c r="AI56">
        <f t="shared" si="76"/>
        <v>0.536717850507197</v>
      </c>
      <c r="AJ56" t="str">
        <f t="shared" si="56"/>
        <v>1+0,00015072311751162i</v>
      </c>
      <c r="AK56">
        <f t="shared" si="77"/>
        <v>1.0000000113587291</v>
      </c>
      <c r="AL56">
        <f t="shared" si="78"/>
        <v>1.5072311637027132E-4</v>
      </c>
      <c r="AM56" t="str">
        <f t="shared" si="57"/>
        <v>1-0,0000990681844216915i</v>
      </c>
      <c r="AN56">
        <f t="shared" si="79"/>
        <v>1.0000000049072526</v>
      </c>
      <c r="AO56">
        <f t="shared" si="80"/>
        <v>-9.906818409758976E-5</v>
      </c>
      <c r="AP56" s="41" t="str">
        <f t="shared" si="81"/>
        <v>165,33024649713-98,3561128775771i</v>
      </c>
      <c r="AQ56">
        <f t="shared" si="82"/>
        <v>45.682957955280862</v>
      </c>
      <c r="AR56" s="43">
        <f t="shared" si="83"/>
        <v>-30.74870801378562</v>
      </c>
      <c r="AS56" t="str">
        <f t="shared" si="58"/>
        <v>-0,0000166666666666667</v>
      </c>
      <c r="AT56" t="str">
        <f t="shared" si="59"/>
        <v>1,51175286864155E-07i</v>
      </c>
      <c r="AU56">
        <f t="shared" si="84"/>
        <v>1.5117528686415501E-7</v>
      </c>
      <c r="AV56">
        <f t="shared" si="85"/>
        <v>1.5707963267948966</v>
      </c>
      <c r="AW56" t="str">
        <f t="shared" si="60"/>
        <v>1+0,0000991797184024618i</v>
      </c>
      <c r="AX56">
        <f t="shared" si="86"/>
        <v>1.0000000049183082</v>
      </c>
      <c r="AY56">
        <f t="shared" si="87"/>
        <v>9.9179718077264175E-5</v>
      </c>
      <c r="AZ56" t="str">
        <f t="shared" si="61"/>
        <v>1+0,0331590858525564i</v>
      </c>
      <c r="BA56">
        <f t="shared" si="88"/>
        <v>1.0005496114509151</v>
      </c>
      <c r="BB56">
        <f t="shared" si="89"/>
        <v>3.3146940782824957E-2</v>
      </c>
      <c r="BC56" s="41" t="str">
        <f t="shared" si="90"/>
        <v>-3,64476523629419+110,247657935734i</v>
      </c>
      <c r="BD56">
        <f t="shared" si="91"/>
        <v>40.852131475038249</v>
      </c>
      <c r="BE56" s="43">
        <f t="shared" si="92"/>
        <v>91.893497231366808</v>
      </c>
      <c r="BF56" s="41" t="str">
        <f t="shared" si="93"/>
        <v>3035,63558327003+5578,96006985241i</v>
      </c>
      <c r="BG56" s="20">
        <f t="shared" si="94"/>
        <v>76.05734589650163</v>
      </c>
      <c r="BH56" s="43">
        <f t="shared" si="95"/>
        <v>61.448410368631954</v>
      </c>
      <c r="BI56" s="41" t="str">
        <f t="shared" si="101"/>
        <v>10240,9411534749+18585,7574032394i</v>
      </c>
      <c r="BJ56" s="20">
        <f t="shared" si="97"/>
        <v>86.535089430319118</v>
      </c>
      <c r="BK56" s="43">
        <f t="shared" si="102"/>
        <v>61.144789217581156</v>
      </c>
      <c r="BL56">
        <f t="shared" si="99"/>
        <v>76.05734589650163</v>
      </c>
      <c r="BM56" s="43">
        <f t="shared" si="100"/>
        <v>61.448410368631954</v>
      </c>
    </row>
    <row r="57" spans="1:65" x14ac:dyDescent="0.25">
      <c r="A57" t="s">
        <v>190</v>
      </c>
      <c r="B57" s="3">
        <f>RFBB</f>
        <v>27000</v>
      </c>
      <c r="C57" s="2" t="s">
        <v>36</v>
      </c>
      <c r="E57" t="s">
        <v>193</v>
      </c>
      <c r="N57" s="9">
        <v>39</v>
      </c>
      <c r="O57" s="34">
        <f t="shared" si="62"/>
        <v>24.547089156850316</v>
      </c>
      <c r="P57" s="33" t="str">
        <f t="shared" si="50"/>
        <v>66,7780509511648</v>
      </c>
      <c r="Q57" s="4" t="str">
        <f t="shared" si="63"/>
        <v>1+0,601112764799909i</v>
      </c>
      <c r="R57" s="4">
        <f t="shared" si="64"/>
        <v>1.1667632819065703</v>
      </c>
      <c r="S57" s="4">
        <f t="shared" si="65"/>
        <v>0.54123730801707615</v>
      </c>
      <c r="T57" s="4" t="str">
        <f t="shared" si="51"/>
        <v>1+0,000154233909924349i</v>
      </c>
      <c r="U57" s="4">
        <f t="shared" si="66"/>
        <v>1.0000000118940495</v>
      </c>
      <c r="V57" s="4">
        <f t="shared" si="67"/>
        <v>1.5423390870137184E-4</v>
      </c>
      <c r="W57" t="str">
        <f t="shared" si="52"/>
        <v>1-0,000335516113804026i</v>
      </c>
      <c r="X57" s="4">
        <f t="shared" si="68"/>
        <v>1.0000000562855298</v>
      </c>
      <c r="Y57" s="4">
        <f t="shared" si="69"/>
        <v>-3.3551610121422505E-4</v>
      </c>
      <c r="Z57" t="str">
        <f t="shared" si="53"/>
        <v>0,99999999939744+0,000065945807280738i</v>
      </c>
      <c r="AA57" s="4">
        <f t="shared" si="70"/>
        <v>1.0000000015718646</v>
      </c>
      <c r="AB57" s="4">
        <f t="shared" si="71"/>
        <v>6.5945807224878188E-5</v>
      </c>
      <c r="AC57" s="47" t="str">
        <f t="shared" si="72"/>
        <v>49,0460122074463-29,4986934053226i</v>
      </c>
      <c r="AD57" s="20">
        <f t="shared" si="73"/>
        <v>35.153020293877262</v>
      </c>
      <c r="AE57" s="43">
        <f t="shared" si="74"/>
        <v>-31.024778585363009</v>
      </c>
      <c r="AF57" t="str">
        <f t="shared" si="54"/>
        <v>223,849857273222</v>
      </c>
      <c r="AG57" t="str">
        <f t="shared" si="55"/>
        <v>1+0,60883568175432i</v>
      </c>
      <c r="AH57">
        <f t="shared" si="75"/>
        <v>1.1707608156140381</v>
      </c>
      <c r="AI57">
        <f t="shared" si="76"/>
        <v>0.54689100784251377</v>
      </c>
      <c r="AJ57" t="str">
        <f t="shared" si="56"/>
        <v>1+0,000154233909924349i</v>
      </c>
      <c r="AK57">
        <f t="shared" si="77"/>
        <v>1.0000000118940495</v>
      </c>
      <c r="AL57">
        <f t="shared" si="78"/>
        <v>1.5423390870137184E-4</v>
      </c>
      <c r="AM57" t="str">
        <f t="shared" si="57"/>
        <v>1-0,000101375778876694i</v>
      </c>
      <c r="AN57">
        <f t="shared" si="79"/>
        <v>1.0000000051385243</v>
      </c>
      <c r="AO57">
        <f t="shared" si="80"/>
        <v>-1.0137577852941274E-4</v>
      </c>
      <c r="AP57" s="41" t="str">
        <f t="shared" si="81"/>
        <v>163,318148485274-99,4220839907945i</v>
      </c>
      <c r="AQ57">
        <f t="shared" si="82"/>
        <v>45.62977301357315</v>
      </c>
      <c r="AR57" s="43">
        <f t="shared" si="83"/>
        <v>-31.331518055260286</v>
      </c>
      <c r="AS57" t="str">
        <f t="shared" si="58"/>
        <v>-0,0000166666666666667</v>
      </c>
      <c r="AT57" t="str">
        <f t="shared" si="59"/>
        <v>1,54696611654122E-07i</v>
      </c>
      <c r="AU57">
        <f t="shared" si="84"/>
        <v>1.54696611654122E-7</v>
      </c>
      <c r="AV57">
        <f t="shared" si="85"/>
        <v>1.5707963267948966</v>
      </c>
      <c r="AW57" t="str">
        <f t="shared" si="60"/>
        <v>1+0,000101489910817617i</v>
      </c>
      <c r="AX57">
        <f t="shared" si="86"/>
        <v>1.000000005150101</v>
      </c>
      <c r="AY57">
        <f t="shared" si="87"/>
        <v>1.0148991046916147E-4</v>
      </c>
      <c r="AZ57" t="str">
        <f t="shared" si="61"/>
        <v>1+0,0339314601833568i</v>
      </c>
      <c r="BA57">
        <f t="shared" si="88"/>
        <v>1.0005755063912842</v>
      </c>
      <c r="BB57">
        <f t="shared" si="89"/>
        <v>3.3918446910906445E-2</v>
      </c>
      <c r="BC57" s="41" t="str">
        <f t="shared" si="90"/>
        <v>-3,64476523460452+107,738131506557i</v>
      </c>
      <c r="BD57">
        <f t="shared" si="91"/>
        <v>40.652356267159277</v>
      </c>
      <c r="BE57" s="43">
        <f t="shared" si="92"/>
        <v>91.937568912100417</v>
      </c>
      <c r="BF57" s="41" t="str">
        <f t="shared" si="93"/>
        <v>2999,37290918456+5391,64152526803i</v>
      </c>
      <c r="BG57" s="20">
        <f t="shared" si="94"/>
        <v>75.805376561036539</v>
      </c>
      <c r="BH57" s="43">
        <f t="shared" si="95"/>
        <v>60.912790326737458</v>
      </c>
      <c r="BI57" s="41" t="str">
        <f t="shared" si="101"/>
        <v>10116,2932498771+17957,9623141954i</v>
      </c>
      <c r="BJ57" s="20">
        <f t="shared" si="97"/>
        <v>86.28212928073242</v>
      </c>
      <c r="BK57" s="43">
        <f t="shared" si="102"/>
        <v>60.606050856840021</v>
      </c>
      <c r="BL57">
        <f t="shared" si="99"/>
        <v>75.805376561036539</v>
      </c>
      <c r="BM57" s="43">
        <f t="shared" si="100"/>
        <v>60.912790326737458</v>
      </c>
    </row>
    <row r="58" spans="1:65" x14ac:dyDescent="0.25">
      <c r="A58" t="s">
        <v>180</v>
      </c>
      <c r="B58" s="3">
        <f>RCOMP</f>
        <v>220000</v>
      </c>
      <c r="C58" s="2" t="s">
        <v>36</v>
      </c>
      <c r="E58" t="s">
        <v>186</v>
      </c>
      <c r="N58" s="9">
        <v>40</v>
      </c>
      <c r="O58" s="34">
        <f t="shared" si="62"/>
        <v>25.118864315095799</v>
      </c>
      <c r="P58" s="33" t="str">
        <f t="shared" si="50"/>
        <v>66,7780509511648</v>
      </c>
      <c r="Q58" s="4" t="str">
        <f t="shared" si="63"/>
        <v>1+0,615114479790258i</v>
      </c>
      <c r="R58" s="4">
        <f t="shared" si="64"/>
        <v>1.1740382545929411</v>
      </c>
      <c r="S58" s="4">
        <f t="shared" si="65"/>
        <v>0.55145902364377908</v>
      </c>
      <c r="T58" s="4" t="str">
        <f t="shared" si="51"/>
        <v>1+0,000157826479197648i</v>
      </c>
      <c r="U58" s="4">
        <f t="shared" si="66"/>
        <v>1.0000000124545987</v>
      </c>
      <c r="V58" s="4">
        <f t="shared" si="67"/>
        <v>1.5782647788720435E-4</v>
      </c>
      <c r="W58" t="str">
        <f t="shared" si="52"/>
        <v>1-0,000343331288052933i</v>
      </c>
      <c r="X58" s="4">
        <f t="shared" si="68"/>
        <v>1.000000058938185</v>
      </c>
      <c r="Y58" s="4">
        <f t="shared" si="69"/>
        <v>-3.4333127456271826E-4</v>
      </c>
      <c r="Z58" t="str">
        <f t="shared" si="53"/>
        <v>0,999999999369043+0,0000674818824606766i</v>
      </c>
      <c r="AA58" s="4">
        <f t="shared" si="70"/>
        <v>1.0000000016459452</v>
      </c>
      <c r="AB58" s="4">
        <f t="shared" si="71"/>
        <v>6.7481882400821655E-5</v>
      </c>
      <c r="AC58" s="47" t="str">
        <f t="shared" si="72"/>
        <v>48,4397252363939-29,8128703483109i</v>
      </c>
      <c r="AD58" s="20">
        <f t="shared" si="73"/>
        <v>35.099030427220463</v>
      </c>
      <c r="AE58" s="43">
        <f t="shared" si="74"/>
        <v>-31.610769698177737</v>
      </c>
      <c r="AF58" t="str">
        <f t="shared" si="54"/>
        <v>223,849857273222</v>
      </c>
      <c r="AG58" t="str">
        <f t="shared" si="55"/>
        <v>1+0,623017286589673i</v>
      </c>
      <c r="AH58">
        <f t="shared" si="75"/>
        <v>1.1781980051712695</v>
      </c>
      <c r="AI58">
        <f t="shared" si="76"/>
        <v>0.55717227322282747</v>
      </c>
      <c r="AJ58" t="str">
        <f t="shared" si="56"/>
        <v>1+0,000157826479197648i</v>
      </c>
      <c r="AK58">
        <f t="shared" si="77"/>
        <v>1.0000000124545987</v>
      </c>
      <c r="AL58">
        <f t="shared" si="78"/>
        <v>1.5782647788720435E-4</v>
      </c>
      <c r="AM58" t="str">
        <f t="shared" si="57"/>
        <v>1-0,000103737124111525i</v>
      </c>
      <c r="AN58">
        <f t="shared" si="79"/>
        <v>1.0000000053806954</v>
      </c>
      <c r="AO58">
        <f t="shared" si="80"/>
        <v>-1.0373712373940642E-4</v>
      </c>
      <c r="AP58" s="41" t="str">
        <f t="shared" si="81"/>
        <v>161,263060463286-100,457566462567i</v>
      </c>
      <c r="AQ58">
        <f t="shared" si="82"/>
        <v>45.574770929406682</v>
      </c>
      <c r="AR58" s="43">
        <f t="shared" si="83"/>
        <v>-31.920520625668782</v>
      </c>
      <c r="AS58" t="str">
        <f t="shared" si="58"/>
        <v>-0,0000166666666666667</v>
      </c>
      <c r="AT58" t="str">
        <f t="shared" si="59"/>
        <v>1,5829995863524E-07i</v>
      </c>
      <c r="AU58">
        <f t="shared" si="84"/>
        <v>1.5829995863524E-7</v>
      </c>
      <c r="AV58">
        <f t="shared" si="85"/>
        <v>1.5707963267948966</v>
      </c>
      <c r="AW58" t="str">
        <f t="shared" si="60"/>
        <v>1+0,000103853914526867i</v>
      </c>
      <c r="AX58">
        <f t="shared" si="86"/>
        <v>1.0000000053928177</v>
      </c>
      <c r="AY58">
        <f t="shared" si="87"/>
        <v>1.0385391415349018E-4</v>
      </c>
      <c r="AZ58" t="str">
        <f t="shared" si="61"/>
        <v>1+0,0347218254234825i</v>
      </c>
      <c r="BA58">
        <f t="shared" si="88"/>
        <v>1.0006026210043319</v>
      </c>
      <c r="BB58">
        <f t="shared" si="89"/>
        <v>3.4707881904347204E-2</v>
      </c>
      <c r="BC58" s="41" t="str">
        <f t="shared" si="90"/>
        <v>-3,64476523283526+105,285729260787i</v>
      </c>
      <c r="BD58">
        <f t="shared" si="91"/>
        <v>40.45259164093622</v>
      </c>
      <c r="BE58" s="43">
        <f t="shared" si="92"/>
        <v>91.982664757990662</v>
      </c>
      <c r="BF58" s="41" t="str">
        <f t="shared" si="93"/>
        <v>2962,3183695495+5208,67271004243i</v>
      </c>
      <c r="BG58" s="20">
        <f t="shared" si="94"/>
        <v>75.551622068156689</v>
      </c>
      <c r="BH58" s="43">
        <f t="shared" si="95"/>
        <v>60.371895059812985</v>
      </c>
      <c r="BI58" s="41" t="str">
        <f t="shared" si="101"/>
        <v>9988,98214865815+17344,8431693215i</v>
      </c>
      <c r="BJ58" s="20">
        <f t="shared" si="97"/>
        <v>86.02736257034293</v>
      </c>
      <c r="BK58" s="43">
        <f t="shared" si="102"/>
        <v>60.062144132321947</v>
      </c>
      <c r="BL58">
        <f t="shared" si="99"/>
        <v>75.551622068156689</v>
      </c>
      <c r="BM58" s="43">
        <f t="shared" si="100"/>
        <v>60.371895059812985</v>
      </c>
    </row>
    <row r="59" spans="1:65" x14ac:dyDescent="0.25">
      <c r="A59" t="s">
        <v>184</v>
      </c>
      <c r="B59" s="3">
        <f>CCOMP</f>
        <v>1.0000000000000001E-9</v>
      </c>
      <c r="C59" s="2" t="s">
        <v>162</v>
      </c>
      <c r="E59" t="s">
        <v>187</v>
      </c>
      <c r="N59" s="9">
        <v>41</v>
      </c>
      <c r="O59" s="34">
        <f t="shared" si="62"/>
        <v>25.703957827688647</v>
      </c>
      <c r="P59" s="33" t="str">
        <f t="shared" si="50"/>
        <v>66,7780509511648</v>
      </c>
      <c r="Q59" s="4" t="str">
        <f t="shared" si="63"/>
        <v>1+0,629442336619791i</v>
      </c>
      <c r="R59" s="4">
        <f t="shared" si="64"/>
        <v>1.1816080801726867</v>
      </c>
      <c r="S59" s="4">
        <f t="shared" si="65"/>
        <v>0.56178742852941488</v>
      </c>
      <c r="T59" s="4" t="str">
        <f t="shared" si="51"/>
        <v>1+0,000161502730159297i</v>
      </c>
      <c r="U59" s="4">
        <f t="shared" si="66"/>
        <v>1.0000000130415658</v>
      </c>
      <c r="V59" s="4">
        <f t="shared" si="67"/>
        <v>1.6150272875513135E-4</v>
      </c>
      <c r="W59" t="str">
        <f t="shared" si="52"/>
        <v>1-0,00035132850109529i</v>
      </c>
      <c r="X59" s="4">
        <f t="shared" si="68"/>
        <v>1.000000061715856</v>
      </c>
      <c r="Y59" s="4">
        <f t="shared" si="69"/>
        <v>-3.5132848664026452E-4</v>
      </c>
      <c r="Z59" t="str">
        <f t="shared" si="53"/>
        <v>0,999999999339307+0,0000690537374279237i</v>
      </c>
      <c r="AA59" s="4">
        <f t="shared" si="70"/>
        <v>1.0000000017235162</v>
      </c>
      <c r="AB59" s="4">
        <f t="shared" si="71"/>
        <v>6.905373736378798E-5</v>
      </c>
      <c r="AC59" s="47" t="str">
        <f t="shared" si="72"/>
        <v>47,8207164152202-30,1176709484221i</v>
      </c>
      <c r="AD59" s="20">
        <f t="shared" si="73"/>
        <v>35.043206374779402</v>
      </c>
      <c r="AE59" s="43">
        <f t="shared" si="74"/>
        <v>-32.20288134072316</v>
      </c>
      <c r="AF59" t="str">
        <f t="shared" si="54"/>
        <v>223,849857273222</v>
      </c>
      <c r="AG59" t="str">
        <f t="shared" si="55"/>
        <v>1+0,637529223436981i</v>
      </c>
      <c r="AH59">
        <f t="shared" si="75"/>
        <v>1.1859357110468343</v>
      </c>
      <c r="AI59">
        <f t="shared" si="76"/>
        <v>0.56755840331149154</v>
      </c>
      <c r="AJ59" t="str">
        <f t="shared" si="56"/>
        <v>1+0,000161502730159297i</v>
      </c>
      <c r="AK59">
        <f t="shared" si="77"/>
        <v>1.0000000130415658</v>
      </c>
      <c r="AL59">
        <f t="shared" si="78"/>
        <v>1.6150272875513135E-4</v>
      </c>
      <c r="AM59" t="str">
        <f t="shared" si="57"/>
        <v>1-0,000106153472142682i</v>
      </c>
      <c r="AN59">
        <f t="shared" si="79"/>
        <v>1.0000000056342797</v>
      </c>
      <c r="AO59">
        <f t="shared" si="80"/>
        <v>-1.0615347174394977E-4</v>
      </c>
      <c r="AP59" s="41" t="str">
        <f t="shared" si="81"/>
        <v>159,165838044972-101,460483203i</v>
      </c>
      <c r="AQ59">
        <f t="shared" si="82"/>
        <v>45.517913662676726</v>
      </c>
      <c r="AR59" s="43">
        <f t="shared" si="83"/>
        <v>-32.515529858106319</v>
      </c>
      <c r="AS59" t="str">
        <f t="shared" si="58"/>
        <v>-0,0000166666666666667</v>
      </c>
      <c r="AT59" t="str">
        <f t="shared" si="59"/>
        <v>1,61987238349775E-07i</v>
      </c>
      <c r="AU59">
        <f t="shared" si="84"/>
        <v>1.61987238349775E-7</v>
      </c>
      <c r="AV59">
        <f t="shared" si="85"/>
        <v>1.5707963267948966</v>
      </c>
      <c r="AW59" t="str">
        <f t="shared" si="60"/>
        <v>1+0,000106272982956267i</v>
      </c>
      <c r="AX59">
        <f t="shared" si="86"/>
        <v>1.0000000056469733</v>
      </c>
      <c r="AY59">
        <f t="shared" si="87"/>
        <v>1.0627298255618653E-4</v>
      </c>
      <c r="AZ59" t="str">
        <f t="shared" si="61"/>
        <v>1+0,0355306006350453i</v>
      </c>
      <c r="BA59">
        <f t="shared" si="88"/>
        <v>1.0006310127022284</v>
      </c>
      <c r="BB59">
        <f t="shared" si="89"/>
        <v>3.5515660393925896E-2</v>
      </c>
      <c r="BC59" s="41" t="str">
        <f t="shared" si="90"/>
        <v>-3,64476523098256+102,889150902292i</v>
      </c>
      <c r="BD59">
        <f t="shared" si="91"/>
        <v>40.252838093865542</v>
      </c>
      <c r="BE59" s="43">
        <f t="shared" si="92"/>
        <v>92.028808453815131</v>
      </c>
      <c r="BF59" s="41" t="str">
        <f t="shared" si="93"/>
        <v>2924,48630652691+5030,00474741229i</v>
      </c>
      <c r="BG59" s="20">
        <f t="shared" si="94"/>
        <v>75.296044468644951</v>
      </c>
      <c r="BH59" s="43">
        <f t="shared" si="95"/>
        <v>59.825927113091971</v>
      </c>
      <c r="BI59" s="41" t="str">
        <f t="shared" si="101"/>
        <v>9859,06085442641+16746,2375705959i</v>
      </c>
      <c r="BJ59" s="20">
        <f t="shared" si="97"/>
        <v>85.770751756542282</v>
      </c>
      <c r="BK59" s="43">
        <f t="shared" si="102"/>
        <v>59.513278595708869</v>
      </c>
      <c r="BL59">
        <f t="shared" si="99"/>
        <v>75.296044468644951</v>
      </c>
      <c r="BM59" s="43">
        <f t="shared" si="100"/>
        <v>59.825927113091971</v>
      </c>
    </row>
    <row r="60" spans="1:65" x14ac:dyDescent="0.25">
      <c r="A60" t="s">
        <v>185</v>
      </c>
      <c r="B60" s="3">
        <f>CHF</f>
        <v>3.0000000000000001E-12</v>
      </c>
      <c r="C60" s="2" t="s">
        <v>162</v>
      </c>
      <c r="E60" t="s">
        <v>188</v>
      </c>
      <c r="N60" s="9">
        <v>42</v>
      </c>
      <c r="O60" s="34">
        <f t="shared" si="62"/>
        <v>26.302679918953825</v>
      </c>
      <c r="P60" s="33" t="str">
        <f t="shared" si="50"/>
        <v>66,7780509511648</v>
      </c>
      <c r="Q60" s="4" t="str">
        <f t="shared" si="63"/>
        <v>1+0,644103932107855i</v>
      </c>
      <c r="R60" s="4">
        <f t="shared" si="64"/>
        <v>1.1894830286123466</v>
      </c>
      <c r="S60" s="4">
        <f t="shared" si="65"/>
        <v>0.57221918423098994</v>
      </c>
      <c r="T60" s="4" t="str">
        <f t="shared" si="51"/>
        <v>1+0,000165264612006218i</v>
      </c>
      <c r="U60" s="4">
        <f t="shared" si="66"/>
        <v>1.000000013656196</v>
      </c>
      <c r="V60" s="4">
        <f t="shared" si="67"/>
        <v>1.6526461050162742E-4</v>
      </c>
      <c r="W60" t="str">
        <f t="shared" si="52"/>
        <v>1-0,000359511993159311i</v>
      </c>
      <c r="X60" s="4">
        <f t="shared" si="68"/>
        <v>1.0000000646244345</v>
      </c>
      <c r="Y60" s="4">
        <f t="shared" si="69"/>
        <v>-3.5951197767047222E-4</v>
      </c>
      <c r="Z60" t="str">
        <f t="shared" si="53"/>
        <v>0,999999999308169+0,0000706622056007895i</v>
      </c>
      <c r="AA60" s="4">
        <f t="shared" si="70"/>
        <v>1.0000000018047426</v>
      </c>
      <c r="AB60" s="4">
        <f t="shared" si="71"/>
        <v>7.0662205532066866E-5</v>
      </c>
      <c r="AC60" s="47" t="str">
        <f t="shared" si="72"/>
        <v>47,1892578852442-30,4124767032267i</v>
      </c>
      <c r="AD60" s="20">
        <f t="shared" si="73"/>
        <v>34.985510448327915</v>
      </c>
      <c r="AE60" s="43">
        <f t="shared" si="74"/>
        <v>-32.800922413323079</v>
      </c>
      <c r="AF60" t="str">
        <f t="shared" si="54"/>
        <v>223,849857273222</v>
      </c>
      <c r="AG60" t="str">
        <f t="shared" si="55"/>
        <v>1+0,652379186717253i</v>
      </c>
      <c r="AH60">
        <f t="shared" si="75"/>
        <v>1.1939843396216989</v>
      </c>
      <c r="AI60">
        <f t="shared" si="76"/>
        <v>0.57804594170275547</v>
      </c>
      <c r="AJ60" t="str">
        <f t="shared" si="56"/>
        <v>1+0,000165264612006218i</v>
      </c>
      <c r="AK60">
        <f t="shared" si="77"/>
        <v>1.000000013656196</v>
      </c>
      <c r="AL60">
        <f t="shared" si="78"/>
        <v>1.6526461050162742E-4</v>
      </c>
      <c r="AM60" t="str">
        <f t="shared" si="57"/>
        <v>1-0,000108626104149876i</v>
      </c>
      <c r="AN60">
        <f t="shared" si="79"/>
        <v>1.0000000058998153</v>
      </c>
      <c r="AO60">
        <f t="shared" si="80"/>
        <v>-1.0862610372262671E-4</v>
      </c>
      <c r="AP60" s="41" t="str">
        <f t="shared" si="81"/>
        <v>157,027463399157-102,428770342715i</v>
      </c>
      <c r="AQ60">
        <f t="shared" si="82"/>
        <v>45.459163994219111</v>
      </c>
      <c r="AR60" s="43">
        <f t="shared" si="83"/>
        <v>-33.116347676836639</v>
      </c>
      <c r="AS60" t="str">
        <f t="shared" si="58"/>
        <v>-0,0000166666666666667</v>
      </c>
      <c r="AT60" t="str">
        <f t="shared" si="59"/>
        <v>1,65760405842237E-07i</v>
      </c>
      <c r="AU60">
        <f t="shared" si="84"/>
        <v>1.65760405842237E-7</v>
      </c>
      <c r="AV60">
        <f t="shared" si="85"/>
        <v>1.5707963267948966</v>
      </c>
      <c r="AW60" t="str">
        <f t="shared" si="60"/>
        <v>1+0,00010874839872792i</v>
      </c>
      <c r="AX60">
        <f t="shared" si="86"/>
        <v>1.0000000059131071</v>
      </c>
      <c r="AY60">
        <f t="shared" si="87"/>
        <v>1.0874839829922605E-4</v>
      </c>
      <c r="AZ60" t="str">
        <f t="shared" si="61"/>
        <v>1+0,0363582146413679i</v>
      </c>
      <c r="BA60">
        <f t="shared" si="88"/>
        <v>1.0006607415962254</v>
      </c>
      <c r="BB60">
        <f t="shared" si="89"/>
        <v>3.6342206455438258E-2</v>
      </c>
      <c r="BC60" s="41" t="str">
        <f t="shared" si="90"/>
        <v>-3,64476522904256+100,547125733504i</v>
      </c>
      <c r="BD60">
        <f t="shared" si="91"/>
        <v>40.053096146774259</v>
      </c>
      <c r="BE60" s="43">
        <f t="shared" si="92"/>
        <v>92.07602422383836</v>
      </c>
      <c r="BF60" s="41" t="str">
        <f t="shared" si="93"/>
        <v>2885,89335262214+4855,59058347538i</v>
      </c>
      <c r="BG60" s="20">
        <f t="shared" si="94"/>
        <v>75.038606595102166</v>
      </c>
      <c r="BH60" s="43">
        <f t="shared" si="95"/>
        <v>59.275101810515245</v>
      </c>
      <c r="BI60" s="41" t="str">
        <f t="shared" si="101"/>
        <v>9726,59021177517+16161,988926607i</v>
      </c>
      <c r="BJ60" s="20">
        <f t="shared" si="97"/>
        <v>85.512260140993391</v>
      </c>
      <c r="BK60" s="43">
        <f t="shared" si="102"/>
        <v>58.959676547001791</v>
      </c>
      <c r="BL60">
        <f t="shared" si="99"/>
        <v>75.038606595102166</v>
      </c>
      <c r="BM60" s="43">
        <f t="shared" si="100"/>
        <v>59.275101810515245</v>
      </c>
    </row>
    <row r="61" spans="1:65" x14ac:dyDescent="0.25">
      <c r="N61" s="9">
        <v>43</v>
      </c>
      <c r="O61" s="34">
        <f t="shared" si="62"/>
        <v>26.915348039269158</v>
      </c>
      <c r="P61" s="33" t="str">
        <f t="shared" si="50"/>
        <v>66,7780509511648</v>
      </c>
      <c r="Q61" s="4" t="str">
        <f t="shared" si="63"/>
        <v>1+0,659107040026448i</v>
      </c>
      <c r="R61" s="4">
        <f t="shared" si="64"/>
        <v>1.1976736158955936</v>
      </c>
      <c r="S61" s="4">
        <f t="shared" si="65"/>
        <v>0.58275073993226656</v>
      </c>
      <c r="T61" s="4" t="str">
        <f t="shared" si="51"/>
        <v>1+0,000169114119337961i</v>
      </c>
      <c r="U61" s="4">
        <f t="shared" si="66"/>
        <v>1.0000000142997927</v>
      </c>
      <c r="V61" s="4">
        <f t="shared" si="67"/>
        <v>1.6911411772576313E-4</v>
      </c>
      <c r="W61" t="str">
        <f t="shared" si="52"/>
        <v>1-0,00036788610324081i</v>
      </c>
      <c r="X61" s="4">
        <f t="shared" si="68"/>
        <v>1.0000000676700902</v>
      </c>
      <c r="Y61" s="4">
        <f t="shared" si="69"/>
        <v>-3.6788608664422028E-4</v>
      </c>
      <c r="Z61" t="str">
        <f t="shared" si="53"/>
        <v>0,999999999275564+0,0000723081398103899i</v>
      </c>
      <c r="AA61" s="4">
        <f t="shared" si="70"/>
        <v>1.0000000018897974</v>
      </c>
      <c r="AB61" s="4">
        <f t="shared" si="71"/>
        <v>7.2308139736752266E-5</v>
      </c>
      <c r="AC61" s="47" t="str">
        <f t="shared" si="72"/>
        <v>46,5456597549782-30,6966742297174i</v>
      </c>
      <c r="AD61" s="20">
        <f t="shared" si="73"/>
        <v>34.925905831104323</v>
      </c>
      <c r="AE61" s="43">
        <f t="shared" si="74"/>
        <v>-33.404689652380611</v>
      </c>
      <c r="AF61" t="str">
        <f t="shared" si="54"/>
        <v>223,849857273222</v>
      </c>
      <c r="AG61" t="str">
        <f t="shared" si="55"/>
        <v>1+0,667575050077584i</v>
      </c>
      <c r="AH61">
        <f t="shared" si="75"/>
        <v>1.2023545431718918</v>
      </c>
      <c r="AI61">
        <f t="shared" si="76"/>
        <v>0.58863122073747709</v>
      </c>
      <c r="AJ61" t="str">
        <f t="shared" si="56"/>
        <v>1+0,000169114119337961i</v>
      </c>
      <c r="AK61">
        <f t="shared" si="77"/>
        <v>1.0000000142997927</v>
      </c>
      <c r="AL61">
        <f t="shared" si="78"/>
        <v>1.6911411772576313E-4</v>
      </c>
      <c r="AM61" t="str">
        <f t="shared" si="57"/>
        <v>1-0,000111156331155328i</v>
      </c>
      <c r="AN61">
        <f t="shared" si="79"/>
        <v>1.0000000061778649</v>
      </c>
      <c r="AO61">
        <f t="shared" si="80"/>
        <v>-1.1115633069752213E-4</v>
      </c>
      <c r="AP61" s="41" t="str">
        <f t="shared" si="81"/>
        <v>154,849046524216-103,360386145257i</v>
      </c>
      <c r="AQ61">
        <f t="shared" si="82"/>
        <v>45.398485639512415</v>
      </c>
      <c r="AR61" s="43">
        <f t="shared" si="83"/>
        <v>-33.722763901304326</v>
      </c>
      <c r="AS61" t="str">
        <f t="shared" si="58"/>
        <v>-0,0000166666666666667</v>
      </c>
      <c r="AT61" t="str">
        <f t="shared" si="59"/>
        <v>1,69621461695975E-07i</v>
      </c>
      <c r="AU61">
        <f t="shared" si="84"/>
        <v>1.6962146169597501E-7</v>
      </c>
      <c r="AV61">
        <f t="shared" si="85"/>
        <v>1.5707963267948966</v>
      </c>
      <c r="AW61" t="str">
        <f t="shared" si="60"/>
        <v>1+0,000111281474340034i</v>
      </c>
      <c r="AX61">
        <f t="shared" si="86"/>
        <v>1.0000000061917833</v>
      </c>
      <c r="AY61">
        <f t="shared" si="87"/>
        <v>1.1128147388068016E-4</v>
      </c>
      <c r="AZ61" t="str">
        <f t="shared" si="61"/>
        <v>1+0,0372051062543514i</v>
      </c>
      <c r="BA61">
        <f t="shared" si="88"/>
        <v>1.0006918706232191</v>
      </c>
      <c r="BB61">
        <f t="shared" si="89"/>
        <v>3.7187953814539806E-2</v>
      </c>
      <c r="BC61" s="41" t="str">
        <f t="shared" si="90"/>
        <v>-3,64476522701116+98,258411981679i</v>
      </c>
      <c r="BD61">
        <f t="shared" si="91"/>
        <v>39.853366344908451</v>
      </c>
      <c r="BE61" s="43">
        <f t="shared" si="92"/>
        <v>92.124336843509212</v>
      </c>
      <c r="BF61" s="41" t="str">
        <f t="shared" si="93"/>
        <v>2846,55846078772+4685,38478298107i</v>
      </c>
      <c r="BG61" s="20">
        <f t="shared" si="94"/>
        <v>74.779272176012782</v>
      </c>
      <c r="BH61" s="43">
        <f t="shared" si="95"/>
        <v>58.719647191128644</v>
      </c>
      <c r="BI61" s="41" t="str">
        <f t="shared" si="101"/>
        <v>9591,63898423879+15591,9457496193i</v>
      </c>
      <c r="BJ61" s="20">
        <f t="shared" si="97"/>
        <v>85.251851984420881</v>
      </c>
      <c r="BK61" s="43">
        <f t="shared" si="102"/>
        <v>58.401572942204936</v>
      </c>
      <c r="BL61">
        <f t="shared" si="99"/>
        <v>74.779272176012782</v>
      </c>
      <c r="BM61" s="43">
        <f t="shared" si="100"/>
        <v>58.719647191128644</v>
      </c>
    </row>
    <row r="62" spans="1:65" x14ac:dyDescent="0.25">
      <c r="A62" t="s">
        <v>227</v>
      </c>
      <c r="B62" s="1">
        <f>(-gm_ea)/Kfb</f>
        <v>-1.6666666666666667E-5</v>
      </c>
      <c r="C62" t="s">
        <v>150</v>
      </c>
      <c r="N62" s="9">
        <v>44</v>
      </c>
      <c r="O62" s="34">
        <f t="shared" si="62"/>
        <v>27.542287033381665</v>
      </c>
      <c r="P62" s="33" t="str">
        <f t="shared" si="50"/>
        <v>66,7780509511648</v>
      </c>
      <c r="Q62" s="4" t="str">
        <f t="shared" si="63"/>
        <v>1+0,674459615221976i</v>
      </c>
      <c r="R62" s="4">
        <f t="shared" si="64"/>
        <v>1.2061906037460977</v>
      </c>
      <c r="S62" s="4">
        <f t="shared" si="65"/>
        <v>0.59337833467115975</v>
      </c>
      <c r="T62" s="4" t="str">
        <f t="shared" si="51"/>
        <v>1+0,000173053293214267i</v>
      </c>
      <c r="U62" s="4">
        <f t="shared" si="66"/>
        <v>1.0000000149737209</v>
      </c>
      <c r="V62" s="4">
        <f t="shared" si="67"/>
        <v>1.7305329148676585E-4</v>
      </c>
      <c r="W62" t="str">
        <f t="shared" si="52"/>
        <v>1-0,000376455271403796i</v>
      </c>
      <c r="X62" s="4">
        <f t="shared" si="68"/>
        <v>1.0000000708592831</v>
      </c>
      <c r="Y62" s="4">
        <f t="shared" si="69"/>
        <v>-3.7645525362022978E-4</v>
      </c>
      <c r="Z62" t="str">
        <f t="shared" si="53"/>
        <v>0,999999999241422+0,0000739924127528291i</v>
      </c>
      <c r="AA62" s="4">
        <f t="shared" si="70"/>
        <v>1.0000000019788604</v>
      </c>
      <c r="AB62" s="4">
        <f t="shared" si="71"/>
        <v>7.3992412673924986E-5</v>
      </c>
      <c r="AC62" s="47" t="str">
        <f t="shared" si="72"/>
        <v>45,8902703871199-30,9696579647395i</v>
      </c>
      <c r="AD62" s="20">
        <f t="shared" si="73"/>
        <v>34.864356691959266</v>
      </c>
      <c r="AE62" s="43">
        <f t="shared" si="74"/>
        <v>-34.013967758095859</v>
      </c>
      <c r="AF62" t="str">
        <f t="shared" si="54"/>
        <v>223,849857273222</v>
      </c>
      <c r="AG62" t="str">
        <f t="shared" si="55"/>
        <v>1+0,683124870565866i</v>
      </c>
      <c r="AH62">
        <f t="shared" si="75"/>
        <v>1.2110572194515135</v>
      </c>
      <c r="AI62">
        <f t="shared" si="76"/>
        <v>0.59931036425096207</v>
      </c>
      <c r="AJ62" t="str">
        <f t="shared" si="56"/>
        <v>1+0,000173053293214267i</v>
      </c>
      <c r="AK62">
        <f t="shared" si="77"/>
        <v>1.0000000149737209</v>
      </c>
      <c r="AL62">
        <f t="shared" si="78"/>
        <v>1.7305329148676585E-4</v>
      </c>
      <c r="AM62" t="str">
        <f t="shared" si="57"/>
        <v>1-0,000113745494718886i</v>
      </c>
      <c r="AN62">
        <f t="shared" si="79"/>
        <v>1.0000000064690187</v>
      </c>
      <c r="AO62">
        <f t="shared" si="80"/>
        <v>-1.1374549422833818E-4</v>
      </c>
      <c r="AP62" s="41" t="str">
        <f t="shared" si="81"/>
        <v>152,631825807289-104,253320206608i</v>
      </c>
      <c r="AQ62">
        <f t="shared" si="82"/>
        <v>45.335843363202798</v>
      </c>
      <c r="AR62" s="43">
        <f t="shared" si="83"/>
        <v>-34.334556403553123</v>
      </c>
      <c r="AS62" t="str">
        <f t="shared" si="58"/>
        <v>-0,0000166666666666667</v>
      </c>
      <c r="AT62" t="str">
        <f t="shared" si="59"/>
        <v>1,73572453093909E-07i</v>
      </c>
      <c r="AU62">
        <f t="shared" si="84"/>
        <v>1.73572453093909E-7</v>
      </c>
      <c r="AV62">
        <f t="shared" si="85"/>
        <v>1.5707963267948966</v>
      </c>
      <c r="AW62" t="str">
        <f t="shared" si="60"/>
        <v>1+0,000113873552862828i</v>
      </c>
      <c r="AX62">
        <f t="shared" si="86"/>
        <v>1.000000006483593</v>
      </c>
      <c r="AY62">
        <f t="shared" si="87"/>
        <v>1.1387355237062149E-4</v>
      </c>
      <c r="AZ62" t="str">
        <f t="shared" si="61"/>
        <v>1+0,0380717245071387i</v>
      </c>
      <c r="BA62">
        <f t="shared" si="88"/>
        <v>1.0007244656782142</v>
      </c>
      <c r="BB62">
        <f t="shared" si="89"/>
        <v>3.8053346055284314E-2</v>
      </c>
      <c r="BC62" s="41" t="str">
        <f t="shared" si="90"/>
        <v>-3,64476522488401+96,0217961404907i</v>
      </c>
      <c r="BD62">
        <f t="shared" si="91"/>
        <v>39.653649259071713</v>
      </c>
      <c r="BE62" s="43">
        <f t="shared" si="92"/>
        <v>92.173771651369591</v>
      </c>
      <c r="BF62" s="41" t="str">
        <f t="shared" si="93"/>
        <v>2806,50292196344+4519,34332032046i</v>
      </c>
      <c r="BG62" s="20">
        <f t="shared" si="94"/>
        <v>74.518005951030972</v>
      </c>
      <c r="BH62" s="43">
        <f t="shared" si="95"/>
        <v>58.159803893273761</v>
      </c>
      <c r="BI62" s="41" t="str">
        <f t="shared" si="101"/>
        <v>9454,28388893525+15035,9609382861i</v>
      </c>
      <c r="BJ62" s="20">
        <f t="shared" si="97"/>
        <v>84.989492622274483</v>
      </c>
      <c r="BK62" s="43">
        <f t="shared" si="102"/>
        <v>57.839215247816419</v>
      </c>
      <c r="BL62">
        <f t="shared" si="99"/>
        <v>74.518005951030972</v>
      </c>
      <c r="BM62" s="43">
        <f t="shared" si="100"/>
        <v>58.159803893273761</v>
      </c>
    </row>
    <row r="63" spans="1:65" x14ac:dyDescent="0.25">
      <c r="A63" t="s">
        <v>226</v>
      </c>
      <c r="B63" s="1">
        <f>1/(RCOMP*CCOMP)</f>
        <v>4545.454545454545</v>
      </c>
      <c r="E63" t="s">
        <v>240</v>
      </c>
      <c r="N63" s="9">
        <v>45</v>
      </c>
      <c r="O63" s="34">
        <f t="shared" si="62"/>
        <v>28.183829312644548</v>
      </c>
      <c r="P63" s="33" t="str">
        <f t="shared" si="50"/>
        <v>66,7780509511648</v>
      </c>
      <c r="Q63" s="4" t="str">
        <f t="shared" si="63"/>
        <v>1+0,690169797833022i</v>
      </c>
      <c r="R63" s="4">
        <f t="shared" si="64"/>
        <v>1.2150449991012162</v>
      </c>
      <c r="S63" s="4">
        <f t="shared" si="65"/>
        <v>0.60409800051179285</v>
      </c>
      <c r="T63" s="4" t="str">
        <f t="shared" si="51"/>
        <v>1+0,000177084222237266i</v>
      </c>
      <c r="U63" s="4">
        <f t="shared" si="66"/>
        <v>1.0000000156794107</v>
      </c>
      <c r="V63" s="4">
        <f t="shared" si="67"/>
        <v>1.7708422038621521E-4</v>
      </c>
      <c r="W63" t="str">
        <f t="shared" si="52"/>
        <v>1-0,000385224041134654i</v>
      </c>
      <c r="X63" s="4">
        <f t="shared" si="68"/>
        <v>1.0000000741987782</v>
      </c>
      <c r="Y63" s="4">
        <f t="shared" si="69"/>
        <v>-3.8522402207921951E-4</v>
      </c>
      <c r="Z63" t="str">
        <f t="shared" si="53"/>
        <v>0,999999999205672+0,0000757159174519152i</v>
      </c>
      <c r="AA63" s="4">
        <f t="shared" si="70"/>
        <v>1.0000000020721218</v>
      </c>
      <c r="AB63" s="4">
        <f t="shared" si="71"/>
        <v>7.5715917367367877E-5</v>
      </c>
      <c r="AC63" s="47" t="str">
        <f t="shared" si="72"/>
        <v>45,2234764660116-31,2308329429337i</v>
      </c>
      <c r="AD63" s="20">
        <f t="shared" si="73"/>
        <v>34.800828300037097</v>
      </c>
      <c r="AE63" s="43">
        <f t="shared" si="74"/>
        <v>-34.628529576310399</v>
      </c>
      <c r="AF63" t="str">
        <f t="shared" si="54"/>
        <v>223,849857273222</v>
      </c>
      <c r="AG63" t="str">
        <f t="shared" si="55"/>
        <v>1+0,699036892902748i</v>
      </c>
      <c r="AH63">
        <f t="shared" si="75"/>
        <v>1.2201035110346696</v>
      </c>
      <c r="AI63">
        <f t="shared" si="76"/>
        <v>0.61007929127926053</v>
      </c>
      <c r="AJ63" t="str">
        <f t="shared" si="56"/>
        <v>1+0,000177084222237266i</v>
      </c>
      <c r="AK63">
        <f t="shared" si="77"/>
        <v>1.0000000156794107</v>
      </c>
      <c r="AL63">
        <f t="shared" si="78"/>
        <v>1.7708422038621521E-4</v>
      </c>
      <c r="AM63" t="str">
        <f t="shared" si="57"/>
        <v>1-0,000116394967649344i</v>
      </c>
      <c r="AN63">
        <f t="shared" si="79"/>
        <v>1.0000000067738941</v>
      </c>
      <c r="AO63">
        <f t="shared" si="80"/>
        <v>-1.1639496712371255E-4</v>
      </c>
      <c r="AP63" s="41" t="str">
        <f t="shared" si="81"/>
        <v>150,377167824326-105,105602878454i</v>
      </c>
      <c r="AQ63">
        <f t="shared" si="82"/>
        <v>45.271203093792153</v>
      </c>
      <c r="AR63" s="43">
        <f t="shared" si="83"/>
        <v>-34.951491320560194</v>
      </c>
      <c r="AS63" t="str">
        <f t="shared" si="58"/>
        <v>-0,0000166666666666667</v>
      </c>
      <c r="AT63" t="str">
        <f t="shared" si="59"/>
        <v>1,77615474903977E-07i</v>
      </c>
      <c r="AU63">
        <f t="shared" si="84"/>
        <v>1.7761547490397701E-7</v>
      </c>
      <c r="AV63">
        <f t="shared" si="85"/>
        <v>1.5707963267948966</v>
      </c>
      <c r="AW63" t="str">
        <f t="shared" si="60"/>
        <v>1+0,000116526008650644i</v>
      </c>
      <c r="AX63">
        <f t="shared" si="86"/>
        <v>1.0000000067891552</v>
      </c>
      <c r="AY63">
        <f t="shared" si="87"/>
        <v>1.1652600812323523E-4</v>
      </c>
      <c r="AZ63" t="str">
        <f t="shared" si="61"/>
        <v>1+0,0389585288921985i</v>
      </c>
      <c r="BA63">
        <f t="shared" si="88"/>
        <v>1.0007585957529639</v>
      </c>
      <c r="BB63">
        <f t="shared" si="89"/>
        <v>3.8938836832369622E-2</v>
      </c>
      <c r="BC63" s="41" t="str">
        <f t="shared" si="90"/>
        <v>-3,64476522265661+93,8360923266145i</v>
      </c>
      <c r="BD63">
        <f t="shared" si="91"/>
        <v>39.45394548681633</v>
      </c>
      <c r="BE63" s="43">
        <f t="shared" si="92"/>
        <v>92.22435456117438</v>
      </c>
      <c r="BF63" s="41" t="str">
        <f t="shared" si="93"/>
        <v>2765,75036919925+4357,42336678015i</v>
      </c>
      <c r="BG63" s="20">
        <f t="shared" si="94"/>
        <v>74.254773786853434</v>
      </c>
      <c r="BH63" s="43">
        <f t="shared" si="95"/>
        <v>57.595824984864016</v>
      </c>
      <c r="BI63" s="41" t="str">
        <f t="shared" si="101"/>
        <v>9314,60958417939+14493,891049856i</v>
      </c>
      <c r="BJ63" s="20">
        <f t="shared" si="97"/>
        <v>84.72514858060849</v>
      </c>
      <c r="BK63" s="43">
        <f t="shared" si="102"/>
        <v>57.272863240614171</v>
      </c>
      <c r="BL63">
        <f t="shared" si="99"/>
        <v>74.254773786853434</v>
      </c>
      <c r="BM63" s="43">
        <f t="shared" si="100"/>
        <v>57.595824984864016</v>
      </c>
    </row>
    <row r="64" spans="1:65" x14ac:dyDescent="0.25">
      <c r="A64" t="s">
        <v>231</v>
      </c>
      <c r="B64" s="1">
        <f>(CCOMP+CHF)</f>
        <v>1.0030000000000002E-9</v>
      </c>
      <c r="E64" t="s">
        <v>241</v>
      </c>
      <c r="N64" s="9">
        <v>46</v>
      </c>
      <c r="O64" s="34">
        <f t="shared" si="62"/>
        <v>28.840315031266066</v>
      </c>
      <c r="P64" s="33" t="str">
        <f t="shared" si="50"/>
        <v>66,7780509511648</v>
      </c>
      <c r="Q64" s="4" t="str">
        <f t="shared" si="63"/>
        <v>1+0,706245917606356i</v>
      </c>
      <c r="R64" s="4">
        <f t="shared" si="64"/>
        <v>1.2242480533517885</v>
      </c>
      <c r="S64" s="4">
        <f t="shared" si="65"/>
        <v>0.61490556668456675</v>
      </c>
      <c r="T64" s="4" t="str">
        <f t="shared" si="51"/>
        <v>1+0,000181209043658882i</v>
      </c>
      <c r="U64" s="4">
        <f t="shared" si="66"/>
        <v>1.0000000164183587</v>
      </c>
      <c r="V64" s="4">
        <f t="shared" si="67"/>
        <v>1.8120904167544531E-4</v>
      </c>
      <c r="W64" t="str">
        <f t="shared" si="52"/>
        <v>1-0,000394197061751164i</v>
      </c>
      <c r="X64" s="4">
        <f t="shared" si="68"/>
        <v>1.0000000776956588</v>
      </c>
      <c r="Y64" s="4">
        <f t="shared" si="69"/>
        <v>-3.941970413328982E-4</v>
      </c>
      <c r="Z64" t="str">
        <f t="shared" si="53"/>
        <v>0,999999999168236+0,0000774795677326528i</v>
      </c>
      <c r="AA64" s="4">
        <f t="shared" si="70"/>
        <v>1.0000000021697777</v>
      </c>
      <c r="AB64" s="4">
        <f t="shared" si="71"/>
        <v>7.7479567642058745E-5</v>
      </c>
      <c r="AC64" s="47" t="str">
        <f t="shared" si="72"/>
        <v>44,5457028332469-31,479617632406i</v>
      </c>
      <c r="AD64" s="20">
        <f t="shared" si="73"/>
        <v>34.735287139315318</v>
      </c>
      <c r="AE64" s="43">
        <f t="shared" si="74"/>
        <v>-35.248136335817598</v>
      </c>
      <c r="AF64" t="str">
        <f t="shared" si="54"/>
        <v>223,849857273222</v>
      </c>
      <c r="AG64" t="str">
        <f t="shared" si="55"/>
        <v>1+0,715319553853094i</v>
      </c>
      <c r="AH64">
        <f t="shared" si="75"/>
        <v>1.229504804433309</v>
      </c>
      <c r="AI64">
        <f t="shared" si="76"/>
        <v>0.62093372074338948</v>
      </c>
      <c r="AJ64" t="str">
        <f t="shared" si="56"/>
        <v>1+0,000181209043658882i</v>
      </c>
      <c r="AK64">
        <f t="shared" si="77"/>
        <v>1.0000000164183587</v>
      </c>
      <c r="AL64">
        <f t="shared" si="78"/>
        <v>1.8120904167544531E-4</v>
      </c>
      <c r="AM64" t="str">
        <f t="shared" si="57"/>
        <v>1-0,000119106154732319i</v>
      </c>
      <c r="AN64">
        <f t="shared" si="79"/>
        <v>1.0000000070931381</v>
      </c>
      <c r="AO64">
        <f t="shared" si="80"/>
        <v>-1.1910615416909475E-4</v>
      </c>
      <c r="AP64" s="41" t="str">
        <f t="shared" si="81"/>
        <v>148,08656634317-105,915314845411i</v>
      </c>
      <c r="AQ64">
        <f t="shared" si="82"/>
        <v>45.204532037794827</v>
      </c>
      <c r="AR64" s="43">
        <f t="shared" si="83"/>
        <v>-35.573323322601517</v>
      </c>
      <c r="AS64" t="str">
        <f t="shared" si="58"/>
        <v>-0,0000166666666666667</v>
      </c>
      <c r="AT64" t="str">
        <f t="shared" si="59"/>
        <v>1,81752670789858E-07i</v>
      </c>
      <c r="AU64">
        <f t="shared" si="84"/>
        <v>1.8175267078985801E-7</v>
      </c>
      <c r="AV64">
        <f t="shared" si="85"/>
        <v>1.5707963267948966</v>
      </c>
      <c r="AW64" t="str">
        <f t="shared" si="60"/>
        <v>1+0,00011924024807065i</v>
      </c>
      <c r="AX64">
        <f t="shared" si="86"/>
        <v>1.0000000071091184</v>
      </c>
      <c r="AY64">
        <f t="shared" si="87"/>
        <v>1.1924024750552132E-4</v>
      </c>
      <c r="AZ64" t="str">
        <f t="shared" si="61"/>
        <v>1+0,039865989604954i</v>
      </c>
      <c r="BA64">
        <f t="shared" si="88"/>
        <v>1.0007943330810694</v>
      </c>
      <c r="BB64">
        <f t="shared" si="89"/>
        <v>3.9844890087093882E-2</v>
      </c>
      <c r="BC64" s="41" t="str">
        <f t="shared" si="90"/>
        <v>-3,64476522032422+91,7001416509573i</v>
      </c>
      <c r="BD64">
        <f t="shared" si="91"/>
        <v>39.254255653689377</v>
      </c>
      <c r="BE64" s="43">
        <f t="shared" si="92"/>
        <v>92.276112074222965</v>
      </c>
      <c r="BF64" s="41" t="str">
        <f t="shared" si="93"/>
        <v>2724,32676760809+4199,58307524589i</v>
      </c>
      <c r="BG64" s="20">
        <f t="shared" si="94"/>
        <v>73.989542793004702</v>
      </c>
      <c r="BH64" s="43">
        <f t="shared" si="95"/>
        <v>57.027975738405345</v>
      </c>
      <c r="BI64" s="41" t="str">
        <f t="shared" si="101"/>
        <v>9172,70860772511+13965,5955661208i</v>
      </c>
      <c r="BJ64" s="20">
        <f t="shared" si="97"/>
        <v>84.458787691484204</v>
      </c>
      <c r="BK64" s="43">
        <f t="shared" si="102"/>
        <v>56.702788751621419</v>
      </c>
      <c r="BL64">
        <f t="shared" si="99"/>
        <v>73.989542793004702</v>
      </c>
      <c r="BM64" s="43">
        <f t="shared" si="100"/>
        <v>57.027975738405345</v>
      </c>
    </row>
    <row r="65" spans="1:65" x14ac:dyDescent="0.25">
      <c r="A65" t="s">
        <v>232</v>
      </c>
      <c r="B65" s="1">
        <f>(CCOMP+CHF)/(RCOMP*CHF*CCOMP)</f>
        <v>1519696.9696969697</v>
      </c>
      <c r="E65" t="s">
        <v>242</v>
      </c>
      <c r="N65" s="9">
        <v>47</v>
      </c>
      <c r="O65" s="34">
        <f t="shared" si="62"/>
        <v>29.512092266663863</v>
      </c>
      <c r="P65" s="33" t="str">
        <f t="shared" si="50"/>
        <v>66,7780509511648</v>
      </c>
      <c r="Q65" s="4" t="str">
        <f t="shared" si="63"/>
        <v>1+0,722696498313474i</v>
      </c>
      <c r="R65" s="4">
        <f t="shared" si="64"/>
        <v>1.2338112613664041</v>
      </c>
      <c r="S65" s="4">
        <f t="shared" si="65"/>
        <v>0.62579666471046436</v>
      </c>
      <c r="T65" s="4" t="str">
        <f t="shared" si="51"/>
        <v>1+0,000185429944514031i</v>
      </c>
      <c r="U65" s="4">
        <f t="shared" si="66"/>
        <v>1.0000000171921319</v>
      </c>
      <c r="V65" s="4">
        <f t="shared" si="67"/>
        <v>1.8542994238874032E-4</v>
      </c>
      <c r="W65" t="str">
        <f t="shared" si="52"/>
        <v>1-0,00040337909086763i</v>
      </c>
      <c r="X65" s="4">
        <f t="shared" si="68"/>
        <v>1.0000000813573422</v>
      </c>
      <c r="Y65" s="4">
        <f t="shared" si="69"/>
        <v>-4.0337906898906407E-4</v>
      </c>
      <c r="Z65" t="str">
        <f t="shared" si="53"/>
        <v>0,999999999129036+0,0000792842987057656i</v>
      </c>
      <c r="AA65" s="4">
        <f t="shared" si="70"/>
        <v>1.0000000022720359</v>
      </c>
      <c r="AB65" s="4">
        <f t="shared" si="71"/>
        <v>7.9284298608692333E-5</v>
      </c>
      <c r="AC65" s="47" t="str">
        <f t="shared" si="72"/>
        <v>43,8574120810417-31,7154468064916i</v>
      </c>
      <c r="AD65" s="20">
        <f t="shared" si="73"/>
        <v>34.667701022291332</v>
      </c>
      <c r="AE65" s="43">
        <f t="shared" si="74"/>
        <v>-35.872537942067758</v>
      </c>
      <c r="AF65" t="str">
        <f t="shared" si="54"/>
        <v>223,849857273222</v>
      </c>
      <c r="AG65" t="str">
        <f t="shared" si="55"/>
        <v>1+0,731981486699266i</v>
      </c>
      <c r="AH65">
        <f t="shared" si="75"/>
        <v>1.2392727290110388</v>
      </c>
      <c r="AI65">
        <f t="shared" si="76"/>
        <v>0.63186917712348245</v>
      </c>
      <c r="AJ65" t="str">
        <f t="shared" si="56"/>
        <v>1+0,000185429944514031i</v>
      </c>
      <c r="AK65">
        <f t="shared" si="77"/>
        <v>1.0000000171921319</v>
      </c>
      <c r="AL65">
        <f t="shared" si="78"/>
        <v>1.8542994238874032E-4</v>
      </c>
      <c r="AM65" t="str">
        <f t="shared" si="57"/>
        <v>1-0,000121880493475089i</v>
      </c>
      <c r="AN65">
        <f t="shared" si="79"/>
        <v>1.0000000074274273</v>
      </c>
      <c r="AO65">
        <f t="shared" si="80"/>
        <v>-1.2188049287158334E-4</v>
      </c>
      <c r="AP65" s="41" t="str">
        <f t="shared" si="81"/>
        <v>145,761640498895-106,68059678056i</v>
      </c>
      <c r="AQ65">
        <f t="shared" si="82"/>
        <v>45.135798792634773</v>
      </c>
      <c r="AR65" s="43">
        <f t="shared" si="83"/>
        <v>-36.199795938332038</v>
      </c>
      <c r="AS65" t="str">
        <f t="shared" si="58"/>
        <v>-0,0000166666666666667</v>
      </c>
      <c r="AT65" t="str">
        <f t="shared" si="59"/>
        <v>1,85986234347573E-07i</v>
      </c>
      <c r="AU65">
        <f t="shared" si="84"/>
        <v>1.8598623434757299E-7</v>
      </c>
      <c r="AV65">
        <f t="shared" si="85"/>
        <v>1.5707963267948966</v>
      </c>
      <c r="AW65" t="str">
        <f t="shared" si="60"/>
        <v>1+0,000122017710248515i</v>
      </c>
      <c r="AX65">
        <f t="shared" si="86"/>
        <v>1.0000000074441608</v>
      </c>
      <c r="AY65">
        <f t="shared" si="87"/>
        <v>1.220177096429687E-4</v>
      </c>
      <c r="AZ65" t="str">
        <f t="shared" si="61"/>
        <v>1+0,0407945877930868i</v>
      </c>
      <c r="BA65">
        <f t="shared" si="88"/>
        <v>1.0008317532898363</v>
      </c>
      <c r="BB65">
        <f t="shared" si="89"/>
        <v>4.0771980267023181E-2</v>
      </c>
      <c r="BC65" s="41" t="str">
        <f t="shared" si="90"/>
        <v>-3,64476521788191+89,6128116041983i</v>
      </c>
      <c r="BD65">
        <f t="shared" si="91"/>
        <v>39.054580414535891</v>
      </c>
      <c r="BE65" s="43">
        <f t="shared" si="92"/>
        <v>92.329071291902707</v>
      </c>
      <c r="BF65" s="41" t="str">
        <f t="shared" si="93"/>
        <v>2682,26038951381+4045,78136365596i</v>
      </c>
      <c r="BG65" s="20">
        <f t="shared" si="94"/>
        <v>73.722281436827217</v>
      </c>
      <c r="BH65" s="43">
        <f t="shared" si="95"/>
        <v>56.456533349834913</v>
      </c>
      <c r="BI65" s="41" t="str">
        <f t="shared" si="101"/>
        <v>9028,68126372799+13450,936157715i</v>
      </c>
      <c r="BJ65" s="20">
        <f t="shared" si="97"/>
        <v>84.19037920717065</v>
      </c>
      <c r="BK65" s="43">
        <f t="shared" si="102"/>
        <v>56.129275353570605</v>
      </c>
      <c r="BL65">
        <f t="shared" si="99"/>
        <v>73.722281436827217</v>
      </c>
      <c r="BM65" s="43">
        <f t="shared" si="100"/>
        <v>56.456533349834913</v>
      </c>
    </row>
    <row r="66" spans="1:65" x14ac:dyDescent="0.25">
      <c r="N66" s="9">
        <v>48</v>
      </c>
      <c r="O66" s="34">
        <f t="shared" si="62"/>
        <v>30.199517204020164</v>
      </c>
      <c r="P66" s="33" t="str">
        <f t="shared" si="50"/>
        <v>66,7780509511648</v>
      </c>
      <c r="Q66" s="4" t="str">
        <f t="shared" si="63"/>
        <v>1+0,739530262270018i</v>
      </c>
      <c r="R66" s="4">
        <f t="shared" si="64"/>
        <v>1.2437463603215735</v>
      </c>
      <c r="S66" s="4">
        <f t="shared" si="65"/>
        <v>0.63676673451806842</v>
      </c>
      <c r="T66" s="4" t="str">
        <f t="shared" si="51"/>
        <v>1+0,000189749162780217i</v>
      </c>
      <c r="U66" s="4">
        <f t="shared" si="66"/>
        <v>1.0000000180023723</v>
      </c>
      <c r="V66" s="4">
        <f t="shared" si="67"/>
        <v>1.8974916050292699E-4</v>
      </c>
      <c r="W66" t="str">
        <f t="shared" si="52"/>
        <v>1-0,000412774996917427i</v>
      </c>
      <c r="X66" s="4">
        <f t="shared" si="68"/>
        <v>1.0000000851915953</v>
      </c>
      <c r="Y66" s="4">
        <f t="shared" si="69"/>
        <v>-4.1277497347412138E-4</v>
      </c>
      <c r="Z66" t="str">
        <f t="shared" si="53"/>
        <v>0,999999999087989+0,000081131067263504i</v>
      </c>
      <c r="AA66" s="4">
        <f t="shared" si="70"/>
        <v>1.0000000023791138</v>
      </c>
      <c r="AB66" s="4">
        <f t="shared" si="71"/>
        <v>8.1131067159488114E-5</v>
      </c>
      <c r="AC66" s="47" t="str">
        <f t="shared" si="72"/>
        <v>43,1591038952099-31,9377744283365i</v>
      </c>
      <c r="AD66" s="20">
        <f t="shared" si="73"/>
        <v>34.598039202078994</v>
      </c>
      <c r="AE66" s="43">
        <f t="shared" si="74"/>
        <v>-36.501473327753999</v>
      </c>
      <c r="AF66" t="str">
        <f t="shared" si="54"/>
        <v>223,849857273222</v>
      </c>
      <c r="AG66" t="str">
        <f t="shared" si="55"/>
        <v>1+0,749031525818607i</v>
      </c>
      <c r="AH66">
        <f t="shared" si="75"/>
        <v>1.2494191557160275</v>
      </c>
      <c r="AI66">
        <f t="shared" si="76"/>
        <v>0.64288099712681501</v>
      </c>
      <c r="AJ66" t="str">
        <f t="shared" si="56"/>
        <v>1+0,000189749162780217i</v>
      </c>
      <c r="AK66">
        <f t="shared" si="77"/>
        <v>1.0000000180023723</v>
      </c>
      <c r="AL66">
        <f t="shared" si="78"/>
        <v>1.8974916050292699E-4</v>
      </c>
      <c r="AM66" t="str">
        <f t="shared" si="57"/>
        <v>1-0,000124719454868779i</v>
      </c>
      <c r="AN66">
        <f t="shared" si="79"/>
        <v>1.0000000077774711</v>
      </c>
      <c r="AO66">
        <f t="shared" si="80"/>
        <v>-1.2471945422211104E-4</v>
      </c>
      <c r="AP66" s="41" t="str">
        <f t="shared" si="81"/>
        <v>143,404132118575-107,399658998635i</v>
      </c>
      <c r="AQ66">
        <f t="shared" si="82"/>
        <v>45.06497345753467</v>
      </c>
      <c r="AR66" s="43">
        <f t="shared" si="83"/>
        <v>-36.830641936815681</v>
      </c>
      <c r="AS66" t="str">
        <f t="shared" si="58"/>
        <v>-0,0000166666666666667</v>
      </c>
      <c r="AT66" t="str">
        <f t="shared" si="59"/>
        <v>1,90318410268557E-07i</v>
      </c>
      <c r="AU66">
        <f t="shared" si="84"/>
        <v>1.9031841026855701E-7</v>
      </c>
      <c r="AV66">
        <f t="shared" si="85"/>
        <v>1.5707963267948966</v>
      </c>
      <c r="AW66" t="str">
        <f t="shared" si="60"/>
        <v>1+0,000124859867831449i</v>
      </c>
      <c r="AX66">
        <f t="shared" si="86"/>
        <v>1.0000000077949933</v>
      </c>
      <c r="AY66">
        <f t="shared" si="87"/>
        <v>1.2485986718259443E-4</v>
      </c>
      <c r="AZ66" t="str">
        <f t="shared" si="61"/>
        <v>1+0,0417448158116477i</v>
      </c>
      <c r="BA66">
        <f t="shared" si="88"/>
        <v>1.0008709355592</v>
      </c>
      <c r="BB66">
        <f t="shared" si="89"/>
        <v>4.1720592549363687E-2</v>
      </c>
      <c r="BC66" s="41" t="str">
        <f t="shared" si="90"/>
        <v>-3,64476521532451+87,5729954563179i</v>
      </c>
      <c r="BD66">
        <f t="shared" si="91"/>
        <v>38.854920454862096</v>
      </c>
      <c r="BE66" s="43">
        <f t="shared" si="92"/>
        <v>92.383259928443351</v>
      </c>
      <c r="BF66" s="41" t="str">
        <f t="shared" si="93"/>
        <v>2639,58177429578+3895,97769860525i</v>
      </c>
      <c r="BG66" s="20">
        <f t="shared" si="94"/>
        <v>73.45295965694109</v>
      </c>
      <c r="BH66" s="43">
        <f t="shared" si="95"/>
        <v>55.881786600689367</v>
      </c>
      <c r="BI66" s="41" t="str">
        <f t="shared" si="101"/>
        <v>8882,63545701797+12949,7759516931i</v>
      </c>
      <c r="BJ66" s="20">
        <f t="shared" si="97"/>
        <v>83.919893912396759</v>
      </c>
      <c r="BK66" s="43">
        <f t="shared" si="102"/>
        <v>55.552617991627649</v>
      </c>
      <c r="BL66">
        <f t="shared" si="99"/>
        <v>73.45295965694109</v>
      </c>
      <c r="BM66" s="43">
        <f t="shared" si="100"/>
        <v>55.881786600689367</v>
      </c>
    </row>
    <row r="67" spans="1:65" x14ac:dyDescent="0.25">
      <c r="N67" s="9">
        <v>49</v>
      </c>
      <c r="O67" s="34">
        <f t="shared" si="62"/>
        <v>30.902954325135919</v>
      </c>
      <c r="P67" s="33" t="str">
        <f t="shared" si="50"/>
        <v>66,7780509511648</v>
      </c>
      <c r="Q67" s="4" t="str">
        <f t="shared" si="63"/>
        <v>1+0,756756134960457i</v>
      </c>
      <c r="R67" s="4">
        <f t="shared" si="64"/>
        <v>1.2540653283622387</v>
      </c>
      <c r="S67" s="4">
        <f t="shared" si="65"/>
        <v>0.64781103155348529</v>
      </c>
      <c r="T67" s="4" t="str">
        <f t="shared" si="51"/>
        <v>1+0,000194168988564136i</v>
      </c>
      <c r="U67" s="4">
        <f t="shared" si="66"/>
        <v>1.0000000188507978</v>
      </c>
      <c r="V67" s="4">
        <f t="shared" si="67"/>
        <v>1.9416898612397579E-4</v>
      </c>
      <c r="W67" t="str">
        <f t="shared" si="52"/>
        <v>1-0,000422389761734313i</v>
      </c>
      <c r="X67" s="4">
        <f t="shared" si="68"/>
        <v>1.0000000892065515</v>
      </c>
      <c r="Y67" s="4">
        <f t="shared" si="69"/>
        <v>-4.2238973661435855E-4</v>
      </c>
      <c r="Z67" t="str">
        <f t="shared" si="53"/>
        <v>0,999999999045007+0,0000830208525870021i</v>
      </c>
      <c r="AA67" s="4">
        <f t="shared" si="70"/>
        <v>1.0000000024912379</v>
      </c>
      <c r="AB67" s="4">
        <f t="shared" si="71"/>
        <v>8.3020852475547077E-5</v>
      </c>
      <c r="AC67" s="47" t="str">
        <f t="shared" si="72"/>
        <v>42,4513141420656-32,1460765236213i</v>
      </c>
      <c r="AD67" s="20">
        <f t="shared" si="73"/>
        <v>34.52627248215591</v>
      </c>
      <c r="AE67" s="43">
        <f t="shared" si="74"/>
        <v>-37.134670860289773</v>
      </c>
      <c r="AF67" t="str">
        <f t="shared" si="54"/>
        <v>223,849857273222</v>
      </c>
      <c r="AG67" t="str">
        <f t="shared" si="55"/>
        <v>1+0,766478711367541i</v>
      </c>
      <c r="AH67">
        <f t="shared" si="75"/>
        <v>1.2599561956590579</v>
      </c>
      <c r="AI67">
        <f t="shared" si="76"/>
        <v>0.6539643373451216</v>
      </c>
      <c r="AJ67" t="str">
        <f t="shared" si="56"/>
        <v>1+0,000194168988564136i</v>
      </c>
      <c r="AK67">
        <f t="shared" si="77"/>
        <v>1.0000000188507978</v>
      </c>
      <c r="AL67">
        <f t="shared" si="78"/>
        <v>1.9416898612397579E-4</v>
      </c>
      <c r="AM67" t="str">
        <f t="shared" si="57"/>
        <v>1-0,000127624544168297i</v>
      </c>
      <c r="AN67">
        <f t="shared" si="79"/>
        <v>1.0000000081440121</v>
      </c>
      <c r="AO67">
        <f t="shared" si="80"/>
        <v>-1.2762454347537978E-4</v>
      </c>
      <c r="AP67" s="41" t="str">
        <f t="shared" si="81"/>
        <v>141,015902181406-108,070791021955i</v>
      </c>
      <c r="AQ67">
        <f t="shared" si="82"/>
        <v>44.992027741628334</v>
      </c>
      <c r="AR67" s="43">
        <f t="shared" si="83"/>
        <v>-37.465583766231276</v>
      </c>
      <c r="AS67" t="str">
        <f t="shared" si="58"/>
        <v>-0,0000166666666666667</v>
      </c>
      <c r="AT67" t="str">
        <f t="shared" si="59"/>
        <v>1,94751495529828E-07i</v>
      </c>
      <c r="AU67">
        <f t="shared" si="84"/>
        <v>1.9475149552982799E-7</v>
      </c>
      <c r="AV67">
        <f t="shared" si="85"/>
        <v>1.5707963267948966</v>
      </c>
      <c r="AW67" t="str">
        <f t="shared" si="60"/>
        <v>1+0,000127768227769023i</v>
      </c>
      <c r="AX67">
        <f t="shared" si="86"/>
        <v>1.0000000081623599</v>
      </c>
      <c r="AY67">
        <f t="shared" si="87"/>
        <v>1.2776822707376282E-4</v>
      </c>
      <c r="AZ67" t="str">
        <f t="shared" si="61"/>
        <v>1+0,0427171774841099i</v>
      </c>
      <c r="BA67">
        <f t="shared" si="88"/>
        <v>1.0009119627880412</v>
      </c>
      <c r="BB67">
        <f t="shared" si="89"/>
        <v>4.2691223068025426E-2</v>
      </c>
      <c r="BC67" s="41" t="str">
        <f t="shared" si="90"/>
        <v>-3,64476521264657+85,5796116697938i</v>
      </c>
      <c r="BD67">
        <f t="shared" si="91"/>
        <v>38.655276492261017</v>
      </c>
      <c r="BE67" s="43">
        <f t="shared" si="92"/>
        <v>92.438706323882187</v>
      </c>
      <c r="BF67" s="41" t="str">
        <f t="shared" si="93"/>
        <v>2596,32367258285+3750,13188058677i</v>
      </c>
      <c r="BG67" s="20">
        <f t="shared" si="94"/>
        <v>73.181548974416927</v>
      </c>
      <c r="BH67" s="43">
        <f t="shared" si="95"/>
        <v>55.30403546359247</v>
      </c>
      <c r="BI67" s="41" t="str">
        <f t="shared" si="101"/>
        <v>8734,68647380559+12461,9788075704i</v>
      </c>
      <c r="BJ67" s="20">
        <f t="shared" si="97"/>
        <v>83.647304233889358</v>
      </c>
      <c r="BK67" s="43">
        <f t="shared" si="102"/>
        <v>54.973122557650974</v>
      </c>
      <c r="BL67">
        <f t="shared" si="99"/>
        <v>73.181548974416927</v>
      </c>
      <c r="BM67" s="43">
        <f t="shared" si="100"/>
        <v>55.30403546359247</v>
      </c>
    </row>
    <row r="68" spans="1:65" x14ac:dyDescent="0.25">
      <c r="N68" s="9">
        <v>50</v>
      </c>
      <c r="O68" s="34">
        <f t="shared" si="62"/>
        <v>31.622776601683803</v>
      </c>
      <c r="P68" s="33" t="str">
        <f t="shared" si="50"/>
        <v>66,7780509511648</v>
      </c>
      <c r="Q68" s="4" t="str">
        <f t="shared" si="63"/>
        <v>1+0,774383249770503i</v>
      </c>
      <c r="R68" s="4">
        <f t="shared" si="64"/>
        <v>1.2647803831199806</v>
      </c>
      <c r="S68" s="4">
        <f t="shared" si="65"/>
        <v>0.65892463487468345</v>
      </c>
      <c r="T68" s="4" t="str">
        <f t="shared" si="51"/>
        <v>1+0,000198691765315922i</v>
      </c>
      <c r="U68" s="4">
        <f t="shared" si="66"/>
        <v>1.0000000197392087</v>
      </c>
      <c r="V68" s="4">
        <f t="shared" si="67"/>
        <v>1.9869176270124323E-4</v>
      </c>
      <c r="W68" t="str">
        <f t="shared" si="52"/>
        <v>1-0,000432228483193859i</v>
      </c>
      <c r="X68" s="4">
        <f t="shared" si="68"/>
        <v>1.0000000934107265</v>
      </c>
      <c r="Y68" s="4">
        <f t="shared" si="69"/>
        <v>-4.32228456277343E-4</v>
      </c>
      <c r="Z68" t="str">
        <f t="shared" si="53"/>
        <v>0,999999999+0,0000849546566654526i</v>
      </c>
      <c r="AA68" s="4">
        <f t="shared" si="70"/>
        <v>1.0000000026086466</v>
      </c>
      <c r="AB68" s="4">
        <f t="shared" si="71"/>
        <v>8.4954656546026353E-5</v>
      </c>
      <c r="AC68" s="47" t="str">
        <f t="shared" si="72"/>
        <v>41,7346136962851-32,3398540156432i</v>
      </c>
      <c r="AD68" s="20">
        <f t="shared" si="73"/>
        <v>34.452373322989622</v>
      </c>
      <c r="AE68" s="43">
        <f t="shared" si="74"/>
        <v>-37.77184880569154</v>
      </c>
      <c r="AF68" t="str">
        <f t="shared" si="54"/>
        <v>223,849857273222</v>
      </c>
      <c r="AG68" t="str">
        <f t="shared" si="55"/>
        <v>1+0,784332294074787i</v>
      </c>
      <c r="AH68">
        <f t="shared" si="75"/>
        <v>1.2708961985656493</v>
      </c>
      <c r="AI68">
        <f t="shared" si="76"/>
        <v>0.66511418288773638</v>
      </c>
      <c r="AJ68" t="str">
        <f t="shared" si="56"/>
        <v>1+0,000198691765315922i</v>
      </c>
      <c r="AK68">
        <f t="shared" si="77"/>
        <v>1.0000000197392087</v>
      </c>
      <c r="AL68">
        <f t="shared" si="78"/>
        <v>1.9869176270124323E-4</v>
      </c>
      <c r="AM68" t="str">
        <f t="shared" si="57"/>
        <v>1-0,000130597301690444i</v>
      </c>
      <c r="AN68">
        <f t="shared" si="79"/>
        <v>1.0000000085278276</v>
      </c>
      <c r="AO68">
        <f t="shared" si="80"/>
        <v>-1.3059730094796984E-4</v>
      </c>
      <c r="AP68" s="41" t="str">
        <f t="shared" si="81"/>
        <v>138,598926409575-108,692370971161i</v>
      </c>
      <c r="AQ68">
        <f t="shared" si="82"/>
        <v>44.916935068521902</v>
      </c>
      <c r="AR68" s="43">
        <f t="shared" si="83"/>
        <v>-38.104334048493008</v>
      </c>
      <c r="AS68" t="str">
        <f t="shared" si="58"/>
        <v>-0,0000166666666666667</v>
      </c>
      <c r="AT68" t="str">
        <f t="shared" si="59"/>
        <v>1,9928784061187E-07i</v>
      </c>
      <c r="AU68">
        <f t="shared" si="84"/>
        <v>1.9928784061187001E-7</v>
      </c>
      <c r="AV68">
        <f t="shared" si="85"/>
        <v>1.5707963267948966</v>
      </c>
      <c r="AW68" t="str">
        <f t="shared" si="60"/>
        <v>1+0,000130744332112172i</v>
      </c>
      <c r="AX68">
        <f t="shared" si="86"/>
        <v>1.0000000085470402</v>
      </c>
      <c r="AY68">
        <f t="shared" si="87"/>
        <v>1.3074433136718732E-4</v>
      </c>
      <c r="AZ68" t="str">
        <f t="shared" si="61"/>
        <v>1+0,0437121883695028i</v>
      </c>
      <c r="BA68">
        <f t="shared" si="88"/>
        <v>1.0009549217682339</v>
      </c>
      <c r="BB68">
        <f t="shared" si="89"/>
        <v>4.3684379144357396E-2</v>
      </c>
      <c r="BC68" s="41" t="str">
        <f t="shared" si="90"/>
        <v>-3,64476520984242+83,6316033261568i</v>
      </c>
      <c r="BD68">
        <f t="shared" si="91"/>
        <v>38.455649277903674</v>
      </c>
      <c r="BE68" s="43">
        <f t="shared" si="92"/>
        <v>92.49543945723839</v>
      </c>
      <c r="BF68" s="41" t="str">
        <f t="shared" si="93"/>
        <v>2552,52097461566+3608,20383242571i</v>
      </c>
      <c r="BG68" s="20">
        <f t="shared" si="94"/>
        <v>72.908022600893304</v>
      </c>
      <c r="BH68" s="43">
        <f t="shared" si="95"/>
        <v>54.723590651546864</v>
      </c>
      <c r="BI68" s="41" t="str">
        <f t="shared" si="101"/>
        <v>8584,95670854049+11987,4086072077i</v>
      </c>
      <c r="BJ68" s="20">
        <f t="shared" si="97"/>
        <v>83.372584346425555</v>
      </c>
      <c r="BK68" s="43">
        <f t="shared" si="102"/>
        <v>54.391105408745268</v>
      </c>
      <c r="BL68">
        <f t="shared" si="99"/>
        <v>72.908022600893304</v>
      </c>
      <c r="BM68" s="43">
        <f t="shared" si="100"/>
        <v>54.723590651546864</v>
      </c>
    </row>
    <row r="69" spans="1:65" x14ac:dyDescent="0.25">
      <c r="A69" s="49" t="s">
        <v>457</v>
      </c>
      <c r="N69" s="9">
        <v>51</v>
      </c>
      <c r="O69" s="34">
        <f t="shared" si="62"/>
        <v>32.359365692962832</v>
      </c>
      <c r="P69" s="33" t="str">
        <f t="shared" si="50"/>
        <v>66,7780509511648</v>
      </c>
      <c r="Q69" s="4" t="str">
        <f t="shared" si="63"/>
        <v>1+0,792420952829752i</v>
      </c>
      <c r="R69" s="4">
        <f t="shared" si="64"/>
        <v>1.2759039801190417</v>
      </c>
      <c r="S69" s="4">
        <f t="shared" si="65"/>
        <v>0.67010245621270259</v>
      </c>
      <c r="T69" s="4" t="str">
        <f t="shared" si="51"/>
        <v>1+0,000203319891071675i</v>
      </c>
      <c r="U69" s="4">
        <f t="shared" si="66"/>
        <v>1.0000000206694888</v>
      </c>
      <c r="V69" s="4">
        <f t="shared" si="67"/>
        <v>2.0331988826999622E-4</v>
      </c>
      <c r="W69" t="str">
        <f t="shared" si="52"/>
        <v>1-0,000442296377916415i</v>
      </c>
      <c r="X69" s="4">
        <f t="shared" si="68"/>
        <v>1.0000000978130381</v>
      </c>
      <c r="Y69" s="4">
        <f t="shared" si="69"/>
        <v>-4.4229634907484868E-4</v>
      </c>
      <c r="Z69" t="str">
        <f t="shared" si="53"/>
        <v>0,999999998952872+0,0000869335048273751i</v>
      </c>
      <c r="AA69" s="4">
        <f t="shared" si="70"/>
        <v>1.000000002731589</v>
      </c>
      <c r="AB69" s="4">
        <f t="shared" si="71"/>
        <v>8.6933504699407527E-5</v>
      </c>
      <c r="AC69" s="47" t="str">
        <f t="shared" si="72"/>
        <v>41,0096070096751-32,5186354961962i</v>
      </c>
      <c r="AD69" s="20">
        <f t="shared" si="73"/>
        <v>34.376315944766745</v>
      </c>
      <c r="AE69" s="43">
        <f t="shared" si="74"/>
        <v>-38.412715847862522</v>
      </c>
      <c r="AF69" t="str">
        <f t="shared" si="54"/>
        <v>223,849857273222</v>
      </c>
      <c r="AG69" t="str">
        <f t="shared" si="55"/>
        <v>1+0,802601740146216i</v>
      </c>
      <c r="AH69">
        <f t="shared" si="75"/>
        <v>1.2822517511338145</v>
      </c>
      <c r="AI69">
        <f t="shared" si="76"/>
        <v>0.6763253569679103</v>
      </c>
      <c r="AJ69" t="str">
        <f t="shared" si="56"/>
        <v>1+0,000203319891071675i</v>
      </c>
      <c r="AK69">
        <f t="shared" si="77"/>
        <v>1.0000000206694888</v>
      </c>
      <c r="AL69">
        <f t="shared" si="78"/>
        <v>2.0331988826999622E-4</v>
      </c>
      <c r="AM69" t="str">
        <f t="shared" si="57"/>
        <v>1-0,000133639303630606i</v>
      </c>
      <c r="AN69">
        <f t="shared" si="79"/>
        <v>1.0000000089297316</v>
      </c>
      <c r="AO69">
        <f t="shared" si="80"/>
        <v>-1.3363930283503058E-4</v>
      </c>
      <c r="AP69" s="41" t="str">
        <f t="shared" si="81"/>
        <v>136,155289995337-109,262874690817i</v>
      </c>
      <c r="AQ69">
        <f t="shared" si="82"/>
        <v>44.839670676529089</v>
      </c>
      <c r="AR69" s="43">
        <f t="shared" si="83"/>
        <v>-38.746596128480718</v>
      </c>
      <c r="AS69" t="str">
        <f t="shared" si="58"/>
        <v>-0,0000166666666666667</v>
      </c>
      <c r="AT69" t="str">
        <f t="shared" si="59"/>
        <v>2,0392985074489E-07i</v>
      </c>
      <c r="AU69">
        <f t="shared" si="84"/>
        <v>2.0392985074489E-7</v>
      </c>
      <c r="AV69">
        <f t="shared" si="85"/>
        <v>1.5707963267948966</v>
      </c>
      <c r="AW69" t="str">
        <f t="shared" si="60"/>
        <v>1+0,000133789758830813i</v>
      </c>
      <c r="AX69">
        <f t="shared" si="86"/>
        <v>1.0000000089498498</v>
      </c>
      <c r="AY69">
        <f t="shared" si="87"/>
        <v>1.3378975803254753E-4</v>
      </c>
      <c r="AZ69" t="str">
        <f t="shared" si="61"/>
        <v>1+0,0447303760357685i</v>
      </c>
      <c r="BA69">
        <f t="shared" si="88"/>
        <v>1.0009999033667791</v>
      </c>
      <c r="BB69">
        <f t="shared" si="89"/>
        <v>4.4700579521526347E-2</v>
      </c>
      <c r="BC69" s="41" t="str">
        <f t="shared" si="90"/>
        <v>-3,64476520690614+81,727937565599i</v>
      </c>
      <c r="BD69">
        <f t="shared" si="91"/>
        <v>38.256039598098425</v>
      </c>
      <c r="BE69" s="43">
        <f t="shared" si="92"/>
        <v>92.55348895989502</v>
      </c>
      <c r="BF69" s="41" t="str">
        <f t="shared" si="93"/>
        <v>2508,21062277384+3470,15339250908i</v>
      </c>
      <c r="BG69" s="20">
        <f t="shared" si="94"/>
        <v>72.632355542865184</v>
      </c>
      <c r="BH69" s="43">
        <f t="shared" si="95"/>
        <v>54.140773112032498</v>
      </c>
      <c r="BI69" s="41" t="str">
        <f t="shared" si="101"/>
        <v>8433,57533725774+11525,9285640446i</v>
      </c>
      <c r="BJ69" s="20">
        <f t="shared" si="97"/>
        <v>83.095710274627535</v>
      </c>
      <c r="BK69" s="43">
        <f t="shared" si="102"/>
        <v>53.806892831414388</v>
      </c>
      <c r="BL69">
        <f t="shared" si="99"/>
        <v>72.632355542865184</v>
      </c>
      <c r="BM69" s="43">
        <f t="shared" si="100"/>
        <v>54.140773112032498</v>
      </c>
    </row>
    <row r="70" spans="1:65" x14ac:dyDescent="0.25">
      <c r="A70" t="s">
        <v>480</v>
      </c>
      <c r="B70">
        <f>SQRT((2*IOUT*Lm*Fsw*(VOUT-VIN_var)/(VIN_var^2)))</f>
        <v>2.6291437188208016</v>
      </c>
      <c r="E70" s="31"/>
      <c r="N70" s="9">
        <v>52</v>
      </c>
      <c r="O70" s="34">
        <f t="shared" si="62"/>
        <v>33.113112148259127</v>
      </c>
      <c r="P70" s="33" t="str">
        <f t="shared" si="50"/>
        <v>66,7780509511648</v>
      </c>
      <c r="Q70" s="4" t="str">
        <f t="shared" si="63"/>
        <v>1+0,810878807967126i</v>
      </c>
      <c r="R70" s="4">
        <f t="shared" si="64"/>
        <v>1.2874488111028675</v>
      </c>
      <c r="S70" s="4">
        <f t="shared" si="65"/>
        <v>0.68133924997296558</v>
      </c>
      <c r="T70" s="4" t="str">
        <f t="shared" si="51"/>
        <v>1+0,000208055819724932i</v>
      </c>
      <c r="U70" s="4">
        <f t="shared" si="66"/>
        <v>1.0000000216436118</v>
      </c>
      <c r="V70" s="4">
        <f t="shared" si="67"/>
        <v>2.0805581672287909E-4</v>
      </c>
      <c r="W70" t="str">
        <f t="shared" si="52"/>
        <v>1-0,000452598784033029i</v>
      </c>
      <c r="X70" s="4">
        <f t="shared" si="68"/>
        <v>1.0000001024228244</v>
      </c>
      <c r="Y70" s="4">
        <f t="shared" si="69"/>
        <v>-4.5259875312873404E-4</v>
      </c>
      <c r="Z70" t="str">
        <f t="shared" si="53"/>
        <v>0,999999998903522+0,0000889584462842583i</v>
      </c>
      <c r="AA70" s="4">
        <f t="shared" si="70"/>
        <v>1.0000000028603244</v>
      </c>
      <c r="AB70" s="4">
        <f t="shared" si="71"/>
        <v>8.8958446147138599E-5</v>
      </c>
      <c r="AC70" s="47" t="str">
        <f t="shared" si="72"/>
        <v>40,2769304238493-32,6819799052687i</v>
      </c>
      <c r="AD70" s="20">
        <f t="shared" si="73"/>
        <v>34.298076425452727</v>
      </c>
      <c r="AE70" s="43">
        <f t="shared" si="74"/>
        <v>-39.056971661741976</v>
      </c>
      <c r="AF70" t="str">
        <f t="shared" si="54"/>
        <v>223,849857273222</v>
      </c>
      <c r="AG70" t="str">
        <f t="shared" si="55"/>
        <v>1+0,821296736283964i</v>
      </c>
      <c r="AH70">
        <f t="shared" si="75"/>
        <v>1.2940356753315154</v>
      </c>
      <c r="AI70">
        <f t="shared" si="76"/>
        <v>0.68759253141037935</v>
      </c>
      <c r="AJ70" t="str">
        <f t="shared" si="56"/>
        <v>1+0,000208055819724932i</v>
      </c>
      <c r="AK70">
        <f t="shared" si="77"/>
        <v>1.0000000216436118</v>
      </c>
      <c r="AL70">
        <f t="shared" si="78"/>
        <v>2.0805581672287909E-4</v>
      </c>
      <c r="AM70" t="str">
        <f t="shared" si="57"/>
        <v>1-0,00013675216289848i</v>
      </c>
      <c r="AN70">
        <f t="shared" si="79"/>
        <v>1.000000009350577</v>
      </c>
      <c r="AO70">
        <f t="shared" si="80"/>
        <v>-1.3675216204600557E-4</v>
      </c>
      <c r="AP70" s="41" t="str">
        <f t="shared" si="81"/>
        <v>133,687181480176-109,780884519267i</v>
      </c>
      <c r="AQ70">
        <f t="shared" si="82"/>
        <v>44.760211713813653</v>
      </c>
      <c r="AR70" s="43">
        <f t="shared" si="83"/>
        <v>-39.39206467605441</v>
      </c>
      <c r="AS70" t="str">
        <f t="shared" si="58"/>
        <v>-0,0000166666666666667</v>
      </c>
      <c r="AT70" t="str">
        <f t="shared" si="59"/>
        <v>2,08679987184106E-07i</v>
      </c>
      <c r="AU70">
        <f t="shared" si="84"/>
        <v>2.0867998718410599E-7</v>
      </c>
      <c r="AV70">
        <f t="shared" si="85"/>
        <v>1.5707963267948966</v>
      </c>
      <c r="AW70" t="str">
        <f t="shared" si="60"/>
        <v>1+0,000136906122650504i</v>
      </c>
      <c r="AX70">
        <f t="shared" si="86"/>
        <v>1.0000000093716432</v>
      </c>
      <c r="AY70">
        <f t="shared" si="87"/>
        <v>1.3690612179514711E-4</v>
      </c>
      <c r="AZ70" t="str">
        <f t="shared" si="61"/>
        <v>1+0,045772280339485i</v>
      </c>
      <c r="BA70">
        <f t="shared" si="88"/>
        <v>1.001047002716394</v>
      </c>
      <c r="BB70">
        <f t="shared" si="89"/>
        <v>4.574035460250174E-2</v>
      </c>
      <c r="BC70" s="41" t="str">
        <f t="shared" si="90"/>
        <v>-3,64476520383147+79,8676050393353i</v>
      </c>
      <c r="BD70">
        <f t="shared" si="91"/>
        <v>38.056448275921319</v>
      </c>
      <c r="BE70" s="43">
        <f t="shared" si="92"/>
        <v>92.612885129186765</v>
      </c>
      <c r="BF70" s="41" t="str">
        <f t="shared" si="93"/>
        <v>2463,43150845151+3335,94011443983i</v>
      </c>
      <c r="BG70" s="20">
        <f t="shared" si="94"/>
        <v>72.354524701374061</v>
      </c>
      <c r="BH70" s="43">
        <f t="shared" si="95"/>
        <v>53.555913467444775</v>
      </c>
      <c r="BI70" s="41" t="str">
        <f t="shared" si="101"/>
        <v>8280,67793839645+11077,4005572223i</v>
      </c>
      <c r="BJ70" s="20">
        <f t="shared" si="97"/>
        <v>82.816659989734973</v>
      </c>
      <c r="BK70" s="43">
        <f t="shared" si="102"/>
        <v>53.220820453132347</v>
      </c>
      <c r="BL70">
        <f t="shared" si="99"/>
        <v>72.354524701374061</v>
      </c>
      <c r="BM70" s="43">
        <f t="shared" si="100"/>
        <v>53.555913467444775</v>
      </c>
    </row>
    <row r="71" spans="1:65" x14ac:dyDescent="0.25">
      <c r="A71" t="s">
        <v>459</v>
      </c>
      <c r="B71">
        <f>(Fsw*Gcomp)/((R_cs*Acs*(VIN_var/Lm))+((R_sl+Rsl_int)*Isl))</f>
        <v>12.424235477965315</v>
      </c>
      <c r="C71" t="s">
        <v>150</v>
      </c>
      <c r="E71" s="158"/>
      <c r="N71" s="9">
        <v>53</v>
      </c>
      <c r="O71" s="34">
        <f t="shared" si="62"/>
        <v>33.884415613920268</v>
      </c>
      <c r="P71" s="33" t="str">
        <f t="shared" si="50"/>
        <v>66,7780509511648</v>
      </c>
      <c r="Q71" s="4" t="str">
        <f t="shared" si="63"/>
        <v>1+0,829766601781728i</v>
      </c>
      <c r="R71" s="4">
        <f t="shared" si="64"/>
        <v>1.2994278023162336</v>
      </c>
      <c r="S71" s="4">
        <f t="shared" si="65"/>
        <v>0.6926296241405987</v>
      </c>
      <c r="T71" s="4" t="str">
        <f t="shared" si="51"/>
        <v>1+0,00021290206232775i</v>
      </c>
      <c r="U71" s="4">
        <f t="shared" si="66"/>
        <v>1.0000000226636439</v>
      </c>
      <c r="V71" s="4">
        <f t="shared" si="67"/>
        <v>2.1290205911099239E-4</v>
      </c>
      <c r="W71" t="str">
        <f t="shared" si="52"/>
        <v>1-0,000463141164015788i</v>
      </c>
      <c r="X71" s="4">
        <f t="shared" si="68"/>
        <v>1.0000001072498632</v>
      </c>
      <c r="Y71" s="4">
        <f t="shared" si="69"/>
        <v>-4.6314113090123953E-4</v>
      </c>
      <c r="Z71" t="str">
        <f t="shared" si="53"/>
        <v>0,999999998851846+0,0000910305546868651i</v>
      </c>
      <c r="AA71" s="4">
        <f t="shared" si="70"/>
        <v>1.0000000029951268</v>
      </c>
      <c r="AB71" s="4">
        <f t="shared" si="71"/>
        <v>9.1030554539938763E-5</v>
      </c>
      <c r="AC71" s="47" t="str">
        <f t="shared" si="72"/>
        <v>39,537250232979-32,829479092558i</v>
      </c>
      <c r="AD71" s="20">
        <f t="shared" si="73"/>
        <v>34.217632793424109</v>
      </c>
      <c r="AE71" s="43">
        <f t="shared" si="74"/>
        <v>-39.704307538253559</v>
      </c>
      <c r="AF71" t="str">
        <f t="shared" si="54"/>
        <v>223,849857273222</v>
      </c>
      <c r="AG71" t="str">
        <f t="shared" si="55"/>
        <v>1+0,840427194822432i</v>
      </c>
      <c r="AH71">
        <f t="shared" si="75"/>
        <v>1.3062610266700534</v>
      </c>
      <c r="AI71">
        <f t="shared" si="76"/>
        <v>0.69891023803893126</v>
      </c>
      <c r="AJ71" t="str">
        <f t="shared" si="56"/>
        <v>1+0,00021290206232775i</v>
      </c>
      <c r="AK71">
        <f t="shared" si="77"/>
        <v>1.0000000226636439</v>
      </c>
      <c r="AL71">
        <f t="shared" si="78"/>
        <v>2.1290205911099239E-4</v>
      </c>
      <c r="AM71" t="str">
        <f t="shared" si="57"/>
        <v>1-0,00013993752997325i</v>
      </c>
      <c r="AN71">
        <f t="shared" si="79"/>
        <v>1.000000009791256</v>
      </c>
      <c r="AO71">
        <f t="shared" si="80"/>
        <v>-1.3993752905980719E-4</v>
      </c>
      <c r="AP71" s="41" t="str">
        <f t="shared" si="81"/>
        <v>131,19688581269-110,245097612844i</v>
      </c>
      <c r="AQ71">
        <f t="shared" si="82"/>
        <v>44.678537327694208</v>
      </c>
      <c r="AR71" s="43">
        <f t="shared" si="83"/>
        <v>-40.040426338488295</v>
      </c>
      <c r="AS71" t="str">
        <f t="shared" si="58"/>
        <v>-0,0000166666666666667</v>
      </c>
      <c r="AT71" t="str">
        <f t="shared" si="59"/>
        <v>2,13540768514734E-07i</v>
      </c>
      <c r="AU71">
        <f t="shared" si="84"/>
        <v>2.1354076851473401E-7</v>
      </c>
      <c r="AV71">
        <f t="shared" si="85"/>
        <v>1.5707963267948966</v>
      </c>
      <c r="AW71" t="str">
        <f t="shared" si="60"/>
        <v>1+0,000140095075908589i</v>
      </c>
      <c r="AX71">
        <f t="shared" si="86"/>
        <v>1.000000009813315</v>
      </c>
      <c r="AY71">
        <f t="shared" si="87"/>
        <v>1.4009507499205759E-4</v>
      </c>
      <c r="AZ71" t="str">
        <f t="shared" si="61"/>
        <v>1+0,046838453712105i</v>
      </c>
      <c r="BA71">
        <f t="shared" si="88"/>
        <v>1.0010963194149407</v>
      </c>
      <c r="BB71">
        <f t="shared" si="89"/>
        <v>4.6804246691601582E-2</v>
      </c>
      <c r="BC71" s="41" t="str">
        <f t="shared" si="90"/>
        <v>-3,64476520061187+78,049619374436i</v>
      </c>
      <c r="BD71">
        <f t="shared" si="91"/>
        <v>37.856876172921304</v>
      </c>
      <c r="BE71" s="43">
        <f t="shared" si="92"/>
        <v>92.673658942190286</v>
      </c>
      <c r="BF71" s="41" t="str">
        <f t="shared" si="93"/>
        <v>2418,22435365811+3205,52307474661i</v>
      </c>
      <c r="BG71" s="20">
        <f t="shared" si="94"/>
        <v>72.074508966345405</v>
      </c>
      <c r="BH71" s="43">
        <f t="shared" si="95"/>
        <v>52.969351403936741</v>
      </c>
      <c r="BI71" s="41" t="str">
        <f t="shared" si="101"/>
        <v>8126,40606274128+10641,6844961092i</v>
      </c>
      <c r="BJ71" s="20">
        <f t="shared" si="97"/>
        <v>82.535413500615533</v>
      </c>
      <c r="BK71" s="43">
        <f t="shared" si="102"/>
        <v>52.633232603702119</v>
      </c>
      <c r="BL71">
        <f t="shared" si="99"/>
        <v>72.074508966345405</v>
      </c>
      <c r="BM71" s="43">
        <f t="shared" si="100"/>
        <v>52.969351403936741</v>
      </c>
    </row>
    <row r="72" spans="1:65" x14ac:dyDescent="0.25">
      <c r="A72" t="s">
        <v>458</v>
      </c>
      <c r="B72">
        <f>(B71*2*VOUT/DC_VIN_var_DCM)*(((VOUT/VIN_var)-1)/((2*VOUT/VIN_var)-1))</f>
        <v>223.84985727322243</v>
      </c>
      <c r="C72" t="s">
        <v>150</v>
      </c>
      <c r="N72" s="9">
        <v>54</v>
      </c>
      <c r="O72" s="34">
        <f t="shared" si="62"/>
        <v>34.67368504525318</v>
      </c>
      <c r="P72" s="33" t="str">
        <f t="shared" si="50"/>
        <v>66,7780509511648</v>
      </c>
      <c r="Q72" s="4" t="str">
        <f t="shared" si="63"/>
        <v>1+0,849094348831858i</v>
      </c>
      <c r="R72" s="4">
        <f t="shared" si="64"/>
        <v>1.3118541127801508</v>
      </c>
      <c r="S72" s="4">
        <f t="shared" si="65"/>
        <v>0.70396805204445789</v>
      </c>
      <c r="T72" s="4" t="str">
        <f t="shared" si="51"/>
        <v>1+0,000217861188422107i</v>
      </c>
      <c r="U72" s="4">
        <f t="shared" si="66"/>
        <v>1.0000000237317483</v>
      </c>
      <c r="V72" s="4">
        <f t="shared" si="67"/>
        <v>2.1786118497528912E-4</v>
      </c>
      <c r="W72" t="str">
        <f t="shared" si="52"/>
        <v>1-0,000473929107574107i</v>
      </c>
      <c r="X72" s="4">
        <f t="shared" si="68"/>
        <v>1.0000001123043933</v>
      </c>
      <c r="Y72" s="4">
        <f t="shared" si="69"/>
        <v>-4.7392907209122925E-4</v>
      </c>
      <c r="Z72" t="str">
        <f t="shared" si="53"/>
        <v>0,999999998797736+0,000093150928694499i</v>
      </c>
      <c r="AA72" s="4">
        <f t="shared" si="70"/>
        <v>1.0000000031362837</v>
      </c>
      <c r="AB72" s="4">
        <f t="shared" si="71"/>
        <v>9.3150928537064499E-5</v>
      </c>
      <c r="AC72" s="47" t="str">
        <f t="shared" si="72"/>
        <v>38,7912605059882-32,9607602341891i</v>
      </c>
      <c r="AD72" s="20">
        <f t="shared" si="73"/>
        <v>34.134965113938264</v>
      </c>
      <c r="AE72" s="43">
        <f t="shared" si="74"/>
        <v>-40.354407058456836</v>
      </c>
      <c r="AF72" t="str">
        <f t="shared" si="54"/>
        <v>223,849857273222</v>
      </c>
      <c r="AG72" t="str">
        <f t="shared" si="55"/>
        <v>1+0,860003258983967i</v>
      </c>
      <c r="AH72">
        <f t="shared" si="75"/>
        <v>1.3189410924916414</v>
      </c>
      <c r="AI72">
        <f t="shared" si="76"/>
        <v>0.71027288089362828</v>
      </c>
      <c r="AJ72" t="str">
        <f t="shared" si="56"/>
        <v>1+0,000217861188422107i</v>
      </c>
      <c r="AK72">
        <f t="shared" si="77"/>
        <v>1.0000000237317483</v>
      </c>
      <c r="AL72">
        <f t="shared" si="78"/>
        <v>2.1786118497528912E-4</v>
      </c>
      <c r="AM72" t="str">
        <f t="shared" si="57"/>
        <v>1-0,000143197093778705i</v>
      </c>
      <c r="AN72">
        <f t="shared" si="79"/>
        <v>1.0000000102527038</v>
      </c>
      <c r="AO72">
        <f t="shared" si="80"/>
        <v>-1.4319709279993342E-4</v>
      </c>
      <c r="AP72" s="41" t="str">
        <f t="shared" si="81"/>
        <v>128,686776622525-110,654333736584i</v>
      </c>
      <c r="AQ72">
        <f t="shared" si="82"/>
        <v>44.5946287473922</v>
      </c>
      <c r="AR72" s="43">
        <f t="shared" si="83"/>
        <v>-40.691360440440299</v>
      </c>
      <c r="AS72" t="str">
        <f t="shared" si="58"/>
        <v>-0,0000166666666666667</v>
      </c>
      <c r="AT72" t="str">
        <f t="shared" si="59"/>
        <v>2,18514771987374E-07i</v>
      </c>
      <c r="AU72">
        <f t="shared" si="84"/>
        <v>2.1851477198737401E-7</v>
      </c>
      <c r="AV72">
        <f t="shared" si="85"/>
        <v>1.5707963267948966</v>
      </c>
      <c r="AW72" t="str">
        <f t="shared" si="60"/>
        <v>1+0,0001433583094303i</v>
      </c>
      <c r="AX72">
        <f t="shared" si="86"/>
        <v>1.0000000102758024</v>
      </c>
      <c r="AY72">
        <f t="shared" si="87"/>
        <v>1.433583084482189E-4</v>
      </c>
      <c r="AZ72" t="str">
        <f t="shared" si="61"/>
        <v>1+0,0479294614528635i</v>
      </c>
      <c r="BA72">
        <f t="shared" si="88"/>
        <v>1.0011479577341011</v>
      </c>
      <c r="BB72">
        <f t="shared" si="89"/>
        <v>4.7892810239544774E-2</v>
      </c>
      <c r="BC72" s="41" t="str">
        <f t="shared" si="90"/>
        <v>-3,64476519724056+76,273016650838i</v>
      </c>
      <c r="BD72">
        <f t="shared" si="91"/>
        <v>37.657324190902841</v>
      </c>
      <c r="BE72" s="43">
        <f t="shared" si="92"/>
        <v>92.735842069714636</v>
      </c>
      <c r="BF72" s="41" t="str">
        <f t="shared" si="93"/>
        <v>2372,63157791727+3078,8606902564i</v>
      </c>
      <c r="BG72" s="20">
        <f t="shared" si="94"/>
        <v>71.79228930484112</v>
      </c>
      <c r="BH72" s="43">
        <f t="shared" si="95"/>
        <v>52.381435011257793</v>
      </c>
      <c r="BI72" s="41" t="str">
        <f t="shared" si="101"/>
        <v>7970,90675479901+10218,6377205995i</v>
      </c>
      <c r="BJ72" s="20">
        <f t="shared" si="97"/>
        <v>82.251952938295062</v>
      </c>
      <c r="BK72" s="43">
        <f t="shared" si="102"/>
        <v>52.044481629274422</v>
      </c>
      <c r="BL72">
        <f t="shared" si="99"/>
        <v>71.79228930484112</v>
      </c>
      <c r="BM72" s="43">
        <f t="shared" si="100"/>
        <v>52.381435011257793</v>
      </c>
    </row>
    <row r="73" spans="1:65" x14ac:dyDescent="0.25">
      <c r="A73" t="s">
        <v>483</v>
      </c>
      <c r="B73">
        <f>(IOUT_VAR*((2*VOUT)-VIN_var))/(Cout*VOUT*(VOUT-VIN_var))</f>
        <v>253.32600329851564</v>
      </c>
      <c r="C73" t="s">
        <v>385</v>
      </c>
      <c r="N73" s="9">
        <v>55</v>
      </c>
      <c r="O73" s="34">
        <f t="shared" si="62"/>
        <v>35.481338923357555</v>
      </c>
      <c r="P73" s="33" t="str">
        <f t="shared" si="50"/>
        <v>66,7780509511648</v>
      </c>
      <c r="Q73" s="4" t="str">
        <f t="shared" si="63"/>
        <v>1+0,86887229694483i</v>
      </c>
      <c r="R73" s="4">
        <f t="shared" si="64"/>
        <v>1.3247411325984353</v>
      </c>
      <c r="S73" s="4">
        <f t="shared" si="65"/>
        <v>0.71534888492541016</v>
      </c>
      <c r="T73" s="4" t="str">
        <f t="shared" si="51"/>
        <v>1+0,000222935827402299i</v>
      </c>
      <c r="U73" s="4">
        <f t="shared" si="66"/>
        <v>1.0000000248501912</v>
      </c>
      <c r="V73" s="4">
        <f t="shared" si="67"/>
        <v>2.2293582370896709E-4</v>
      </c>
      <c r="W73" t="str">
        <f t="shared" si="52"/>
        <v>1-0,000484968334618455i</v>
      </c>
      <c r="X73" s="4">
        <f t="shared" si="68"/>
        <v>1.0000001175971358</v>
      </c>
      <c r="Y73" s="4">
        <f t="shared" si="69"/>
        <v>-4.8496829659786672E-4</v>
      </c>
      <c r="Z73" t="str">
        <f t="shared" si="53"/>
        <v>0,999999998741075+0,0000953206925575251i</v>
      </c>
      <c r="AA73" s="4">
        <f t="shared" si="70"/>
        <v>1.0000000032840921</v>
      </c>
      <c r="AB73" s="4">
        <f t="shared" si="71"/>
        <v>9.5320692388830991E-5</v>
      </c>
      <c r="AC73" s="47" t="str">
        <f t="shared" si="72"/>
        <v>38,039680680764-33,0754880788348i</v>
      </c>
      <c r="AD73" s="20">
        <f t="shared" si="73"/>
        <v>34.050055568738784</v>
      </c>
      <c r="AE73" s="43">
        <f t="shared" si="74"/>
        <v>-41.006946813781681</v>
      </c>
      <c r="AF73" t="str">
        <f t="shared" si="54"/>
        <v>223,849857273222</v>
      </c>
      <c r="AG73" t="str">
        <f t="shared" si="55"/>
        <v>1+0,880035308256904i</v>
      </c>
      <c r="AH73">
        <f t="shared" si="75"/>
        <v>1.3320893903108846</v>
      </c>
      <c r="AI73">
        <f t="shared" si="76"/>
        <v>0.72167474921836372</v>
      </c>
      <c r="AJ73" t="str">
        <f t="shared" si="56"/>
        <v>1+0,000222935827402299i</v>
      </c>
      <c r="AK73">
        <f t="shared" si="77"/>
        <v>1.0000000248501912</v>
      </c>
      <c r="AL73">
        <f t="shared" si="78"/>
        <v>2.2293582370896709E-4</v>
      </c>
      <c r="AM73" t="str">
        <f t="shared" si="57"/>
        <v>1-0,000146532582578719i</v>
      </c>
      <c r="AN73">
        <f t="shared" si="79"/>
        <v>1.0000000107358988</v>
      </c>
      <c r="AO73">
        <f t="shared" si="80"/>
        <v>-1.4653258152994635E-4</v>
      </c>
      <c r="AP73" s="41" t="str">
        <f t="shared" si="81"/>
        <v>126,159307758316-111,007542437118i</v>
      </c>
      <c r="AQ73">
        <f t="shared" si="82"/>
        <v>44.508469359543383</v>
      </c>
      <c r="AR73" s="43">
        <f t="shared" si="83"/>
        <v>-41.344539728056304</v>
      </c>
      <c r="AS73" t="str">
        <f t="shared" si="58"/>
        <v>-0,0000166666666666667</v>
      </c>
      <c r="AT73" t="str">
        <f t="shared" si="59"/>
        <v>2,23604634884506E-07i</v>
      </c>
      <c r="AU73">
        <f t="shared" si="84"/>
        <v>2.2360463488450599E-7</v>
      </c>
      <c r="AV73">
        <f t="shared" si="85"/>
        <v>1.5707963267948966</v>
      </c>
      <c r="AW73" t="str">
        <f t="shared" si="60"/>
        <v>1+0,000146697553425242i</v>
      </c>
      <c r="AX73">
        <f t="shared" si="86"/>
        <v>1.0000000107600859</v>
      </c>
      <c r="AY73">
        <f t="shared" si="87"/>
        <v>1.4669755237292314E-4</v>
      </c>
      <c r="AZ73" t="str">
        <f t="shared" si="61"/>
        <v>1+0,0490458820285057i</v>
      </c>
      <c r="BA73">
        <f t="shared" si="88"/>
        <v>1.0012020268377178</v>
      </c>
      <c r="BB73">
        <f t="shared" si="89"/>
        <v>4.9006612091939468E-2</v>
      </c>
      <c r="BC73" s="41" t="str">
        <f t="shared" si="90"/>
        <v>-3,64476519371036+74,5368548902612i</v>
      </c>
      <c r="BD73">
        <f t="shared" si="91"/>
        <v>37.457793273789676</v>
      </c>
      <c r="BE73" s="43">
        <f t="shared" si="92"/>
        <v>92.799466890487039</v>
      </c>
      <c r="BF73" s="41" t="str">
        <f t="shared" si="93"/>
        <v>2326,69715123157+2955,9105466887i</v>
      </c>
      <c r="BG73" s="20">
        <f t="shared" si="94"/>
        <v>71.50784884252846</v>
      </c>
      <c r="BH73" s="43">
        <f t="shared" si="95"/>
        <v>51.792520076705372</v>
      </c>
      <c r="BI73" s="41" t="str">
        <f t="shared" si="101"/>
        <v>7814,33202857987+9808,11444235154i</v>
      </c>
      <c r="BJ73" s="20">
        <f t="shared" si="97"/>
        <v>81.966262633333059</v>
      </c>
      <c r="BK73" s="43">
        <f t="shared" si="102"/>
        <v>51.454927162430756</v>
      </c>
      <c r="BL73">
        <f t="shared" si="99"/>
        <v>71.50784884252846</v>
      </c>
      <c r="BM73" s="43">
        <f t="shared" si="100"/>
        <v>51.792520076705372</v>
      </c>
    </row>
    <row r="74" spans="1:65" x14ac:dyDescent="0.25">
      <c r="B74">
        <f>B73/(2*PI())</f>
        <v>40.318085638672549</v>
      </c>
      <c r="C74" t="s">
        <v>65</v>
      </c>
      <c r="N74" s="9">
        <v>56</v>
      </c>
      <c r="O74" s="34">
        <f t="shared" si="62"/>
        <v>36.307805477010156</v>
      </c>
      <c r="P74" s="33" t="str">
        <f t="shared" si="50"/>
        <v>66,7780509511648</v>
      </c>
      <c r="Q74" s="4" t="str">
        <f t="shared" si="63"/>
        <v>1+0,88911093265053i</v>
      </c>
      <c r="R74" s="4">
        <f t="shared" si="64"/>
        <v>1.3381024813364242</v>
      </c>
      <c r="S74" s="4">
        <f t="shared" si="65"/>
        <v>0.72676636524587246</v>
      </c>
      <c r="T74" s="4" t="str">
        <f t="shared" si="51"/>
        <v>1+0,000228128669909085i</v>
      </c>
      <c r="U74" s="4">
        <f t="shared" si="66"/>
        <v>1.0000000260213446</v>
      </c>
      <c r="V74" s="4">
        <f t="shared" si="67"/>
        <v>2.2812866595160855E-4</v>
      </c>
      <c r="W74" t="str">
        <f t="shared" si="52"/>
        <v>1-0,000496264698293135i</v>
      </c>
      <c r="X74" s="4">
        <f t="shared" si="68"/>
        <v>1.0000001231393179</v>
      </c>
      <c r="Y74" s="4">
        <f t="shared" si="69"/>
        <v>-4.9626465755334083E-4</v>
      </c>
      <c r="Z74" t="str">
        <f t="shared" si="53"/>
        <v>0,999999998681743+0,0000975409967134639i</v>
      </c>
      <c r="AA74" s="4">
        <f t="shared" si="70"/>
        <v>1.0000000034388659</v>
      </c>
      <c r="AB74" s="4">
        <f t="shared" si="71"/>
        <v>9.7540996532704979E-5</v>
      </c>
      <c r="AC74" s="47" t="str">
        <f t="shared" si="72"/>
        <v>37,2832529460606-33,1733669986771i</v>
      </c>
      <c r="AD74" s="20">
        <f t="shared" si="73"/>
        <v>33.962888528135984</v>
      </c>
      <c r="AE74" s="43">
        <f t="shared" si="74"/>
        <v>-41.661597168736968</v>
      </c>
      <c r="AF74" t="str">
        <f t="shared" si="54"/>
        <v>223,849857273222</v>
      </c>
      <c r="AG74" t="str">
        <f t="shared" si="55"/>
        <v>1+0,900533963898926i</v>
      </c>
      <c r="AH74">
        <f t="shared" si="75"/>
        <v>1.3457196662513007</v>
      </c>
      <c r="AI74">
        <f t="shared" si="76"/>
        <v>0.73311003115113305</v>
      </c>
      <c r="AJ74" t="str">
        <f t="shared" si="56"/>
        <v>1+0,000228128669909085i</v>
      </c>
      <c r="AK74">
        <f t="shared" si="77"/>
        <v>1.0000000260213446</v>
      </c>
      <c r="AL74">
        <f t="shared" si="78"/>
        <v>2.2812866595160855E-4</v>
      </c>
      <c r="AM74" t="str">
        <f t="shared" si="57"/>
        <v>1-0,000149945764893604i</v>
      </c>
      <c r="AN74">
        <f t="shared" si="79"/>
        <v>1.0000000112418661</v>
      </c>
      <c r="AO74">
        <f t="shared" si="80"/>
        <v>-1.4994576376982388E-4</v>
      </c>
      <c r="AP74" s="41" t="str">
        <f t="shared" si="81"/>
        <v>123,61700414779-111,303809518391i</v>
      </c>
      <c r="AQ74">
        <f t="shared" si="82"/>
        <v>44.42004477584139</v>
      </c>
      <c r="AR74" s="43">
        <f t="shared" si="83"/>
        <v>-41.999631153339294</v>
      </c>
      <c r="AS74" t="str">
        <f t="shared" si="58"/>
        <v>-0,0000166666666666667</v>
      </c>
      <c r="AT74" t="str">
        <f t="shared" si="59"/>
        <v>2,28813055918812E-07i</v>
      </c>
      <c r="AU74">
        <f t="shared" si="84"/>
        <v>2.2881305591881199E-7</v>
      </c>
      <c r="AV74">
        <f t="shared" si="85"/>
        <v>1.5707963267948966</v>
      </c>
      <c r="AW74" t="str">
        <f t="shared" si="60"/>
        <v>1+0,000150114578404782i</v>
      </c>
      <c r="AX74">
        <f t="shared" si="86"/>
        <v>1.0000000112671932</v>
      </c>
      <c r="AY74">
        <f t="shared" si="87"/>
        <v>1.5011457727720203E-4</v>
      </c>
      <c r="AZ74" t="str">
        <f t="shared" si="61"/>
        <v>1+0,0501883073799987i</v>
      </c>
      <c r="BA74">
        <f t="shared" si="88"/>
        <v>1.0012586410102382</v>
      </c>
      <c r="BB74">
        <f t="shared" si="89"/>
        <v>5.0146231741133411E-2</v>
      </c>
      <c r="BC74" s="41" t="str">
        <f t="shared" si="90"/>
        <v>-3,64476519001381+72,8402135567587i</v>
      </c>
      <c r="BD74">
        <f t="shared" si="91"/>
        <v>37.258284409573143</v>
      </c>
      <c r="BE74" s="43">
        <f t="shared" si="92"/>
        <v>92.864566505530533</v>
      </c>
      <c r="BF74" s="41" t="str">
        <f t="shared" si="93"/>
        <v>2280,46643407209+2836,62923995404i</v>
      </c>
      <c r="BG74" s="20">
        <f t="shared" si="94"/>
        <v>71.221172937709142</v>
      </c>
      <c r="BH74" s="43">
        <f t="shared" si="95"/>
        <v>51.202969336793593</v>
      </c>
      <c r="BI74" s="41" t="str">
        <f t="shared" si="101"/>
        <v>7656,83830138873+9409,96523182031i</v>
      </c>
      <c r="BJ74" s="20">
        <f t="shared" si="97"/>
        <v>81.678329185414526</v>
      </c>
      <c r="BK74" s="43">
        <f t="shared" si="102"/>
        <v>50.864935352191267</v>
      </c>
      <c r="BL74">
        <f t="shared" si="99"/>
        <v>71.221172937709142</v>
      </c>
      <c r="BM74" s="43">
        <f t="shared" si="100"/>
        <v>51.202969336793593</v>
      </c>
    </row>
    <row r="75" spans="1:65" x14ac:dyDescent="0.25">
      <c r="A75" t="s">
        <v>461</v>
      </c>
      <c r="B75">
        <f>1/(Cout*Resr)</f>
        <v>1000000</v>
      </c>
      <c r="C75" t="s">
        <v>385</v>
      </c>
      <c r="N75" s="9">
        <v>57</v>
      </c>
      <c r="O75" s="34">
        <f t="shared" si="62"/>
        <v>37.15352290971726</v>
      </c>
      <c r="P75" s="33" t="str">
        <f t="shared" si="50"/>
        <v>66,7780509511648</v>
      </c>
      <c r="Q75" s="4" t="str">
        <f t="shared" si="63"/>
        <v>1+0,909820986741493i</v>
      </c>
      <c r="R75" s="4">
        <f t="shared" si="64"/>
        <v>1.3519520065132726</v>
      </c>
      <c r="S75" s="4">
        <f t="shared" si="65"/>
        <v>0.73821464066927933</v>
      </c>
      <c r="T75" s="4" t="str">
        <f t="shared" si="51"/>
        <v>1+0,000233442469256296i</v>
      </c>
      <c r="U75" s="4">
        <f t="shared" si="66"/>
        <v>1.0000000272476928</v>
      </c>
      <c r="V75" s="4">
        <f t="shared" si="67"/>
        <v>2.3344246501578363E-4</v>
      </c>
      <c r="W75" t="str">
        <f t="shared" si="52"/>
        <v>1-0,000507824188079687i</v>
      </c>
      <c r="X75" s="4">
        <f t="shared" si="68"/>
        <v>1.0000001289426947</v>
      </c>
      <c r="Y75" s="4">
        <f t="shared" si="69"/>
        <v>-5.0782414442621137E-4</v>
      </c>
      <c r="Z75" t="str">
        <f t="shared" si="53"/>
        <v>0,999999998619616+0,0000998130183969677i</v>
      </c>
      <c r="AA75" s="4">
        <f t="shared" si="70"/>
        <v>1.0000000036009353</v>
      </c>
      <c r="AB75" s="4">
        <f t="shared" si="71"/>
        <v>9.9813018203280979E-5</v>
      </c>
      <c r="AC75" s="47" t="str">
        <f t="shared" si="72"/>
        <v>36,522739429769-33,2541428223075i</v>
      </c>
      <c r="AD75" s="20">
        <f t="shared" si="73"/>
        <v>33.873450614955011</v>
      </c>
      <c r="AE75" s="43">
        <f t="shared" si="74"/>
        <v>-42.318023062005743</v>
      </c>
      <c r="AF75" t="str">
        <f t="shared" si="54"/>
        <v>223,849857273222</v>
      </c>
      <c r="AG75" t="str">
        <f t="shared" si="55"/>
        <v>1+0,92151009456858i</v>
      </c>
      <c r="AH75">
        <f t="shared" si="75"/>
        <v>1.3598458936187561</v>
      </c>
      <c r="AI75">
        <f t="shared" si="76"/>
        <v>0.74457282804142866</v>
      </c>
      <c r="AJ75" t="str">
        <f t="shared" si="56"/>
        <v>1+0,000233442469256296i</v>
      </c>
      <c r="AK75">
        <f t="shared" si="77"/>
        <v>1.0000000272476928</v>
      </c>
      <c r="AL75">
        <f t="shared" si="78"/>
        <v>2.3344246501578363E-4</v>
      </c>
      <c r="AM75" t="str">
        <f t="shared" si="57"/>
        <v>1-0,000153438450437803i</v>
      </c>
      <c r="AN75">
        <f t="shared" si="79"/>
        <v>1.000000011771679</v>
      </c>
      <c r="AO75">
        <f t="shared" si="80"/>
        <v>-1.5343844923365087E-4</v>
      </c>
      <c r="AP75" s="41" t="str">
        <f t="shared" si="81"/>
        <v>121,062452047826-111,542362747102i</v>
      </c>
      <c r="AQ75">
        <f t="shared" si="82"/>
        <v>44.329342892235758</v>
      </c>
      <c r="AR75" s="43">
        <f t="shared" si="83"/>
        <v>-42.656296694445317</v>
      </c>
      <c r="AS75" t="str">
        <f t="shared" si="58"/>
        <v>-0,0000166666666666667</v>
      </c>
      <c r="AT75" t="str">
        <f t="shared" si="59"/>
        <v>2,34142796664065E-07i</v>
      </c>
      <c r="AU75">
        <f t="shared" si="84"/>
        <v>2.34142796664065E-7</v>
      </c>
      <c r="AV75">
        <f t="shared" si="85"/>
        <v>1.5707963267948966</v>
      </c>
      <c r="AW75" t="str">
        <f t="shared" si="60"/>
        <v>1+0,000153611196120793i</v>
      </c>
      <c r="AX75">
        <f t="shared" si="86"/>
        <v>1.0000000117981998</v>
      </c>
      <c r="AY75">
        <f t="shared" si="87"/>
        <v>1.536111949125693E-4</v>
      </c>
      <c r="AZ75" t="str">
        <f t="shared" si="61"/>
        <v>1+0,0513573432363851i</v>
      </c>
      <c r="BA75">
        <f t="shared" si="88"/>
        <v>1.0013179198957243</v>
      </c>
      <c r="BB75">
        <f t="shared" si="89"/>
        <v>5.1312261581330586E-2</v>
      </c>
      <c r="BC75" s="41" t="str">
        <f t="shared" si="90"/>
        <v>-3,64476518614301+71,1821930686381i</v>
      </c>
      <c r="BD75">
        <f t="shared" si="91"/>
        <v>37.058798632349117</v>
      </c>
      <c r="BE75" s="43">
        <f t="shared" si="92"/>
        <v>92.931174752727074</v>
      </c>
      <c r="BF75" s="41" t="str">
        <f t="shared" si="93"/>
        <v>2233,98600553336+2720,97223153915i</v>
      </c>
      <c r="BG75" s="20">
        <f t="shared" si="94"/>
        <v>70.932249247304114</v>
      </c>
      <c r="BH75" s="43">
        <f t="shared" si="95"/>
        <v>50.613151690721359</v>
      </c>
      <c r="BI75" s="41" t="str">
        <f t="shared" si="101"/>
        <v>7498,58578982326+9024,03655555187i</v>
      </c>
      <c r="BJ75" s="20">
        <f t="shared" si="97"/>
        <v>81.388141524584881</v>
      </c>
      <c r="BK75" s="43">
        <f t="shared" si="102"/>
        <v>50.274878058281764</v>
      </c>
      <c r="BL75">
        <f t="shared" si="99"/>
        <v>70.932249247304114</v>
      </c>
      <c r="BM75" s="43">
        <f t="shared" si="100"/>
        <v>50.613151690721359</v>
      </c>
    </row>
    <row r="76" spans="1:65" x14ac:dyDescent="0.25">
      <c r="B76">
        <f>B75/(2*PI())</f>
        <v>159154.94309189534</v>
      </c>
      <c r="C76" t="s">
        <v>65</v>
      </c>
      <c r="N76" s="9">
        <v>58</v>
      </c>
      <c r="O76" s="34">
        <f t="shared" si="62"/>
        <v>38.018939632056139</v>
      </c>
      <c r="P76" s="33" t="str">
        <f t="shared" si="50"/>
        <v>66,7780509511648</v>
      </c>
      <c r="Q76" s="4" t="str">
        <f t="shared" si="63"/>
        <v>1+0,93101343996253i</v>
      </c>
      <c r="R76" s="4">
        <f t="shared" si="64"/>
        <v>1.3663037822500761</v>
      </c>
      <c r="S76" s="4">
        <f t="shared" si="65"/>
        <v>0.74968777863071279</v>
      </c>
      <c r="T76" s="4" t="str">
        <f t="shared" si="51"/>
        <v>1+0,000238880042890683i</v>
      </c>
      <c r="U76" s="4">
        <f t="shared" si="66"/>
        <v>1.0000000285318371</v>
      </c>
      <c r="V76" s="4">
        <f t="shared" si="67"/>
        <v>2.3888003834689211E-4</v>
      </c>
      <c r="W76" t="str">
        <f t="shared" si="52"/>
        <v>1-0,000519652932972608i</v>
      </c>
      <c r="X76" s="4">
        <f t="shared" si="68"/>
        <v>1.0000001350195762</v>
      </c>
      <c r="Y76" s="4">
        <f t="shared" si="69"/>
        <v>-5.1965288619706658E-4</v>
      </c>
      <c r="Z76" t="str">
        <f t="shared" si="53"/>
        <v>0,99999999855456+0,000102137962264007i</v>
      </c>
      <c r="AA76" s="4">
        <f t="shared" si="70"/>
        <v>1.0000000037706416</v>
      </c>
      <c r="AB76" s="4">
        <f t="shared" si="71"/>
        <v>1.0213796205646799E-4</v>
      </c>
      <c r="AC76" s="47" t="str">
        <f t="shared" si="72"/>
        <v>35,7589192149917-33,3176044287261i</v>
      </c>
      <c r="AD76" s="20">
        <f t="shared" si="73"/>
        <v>33.781730759802542</v>
      </c>
      <c r="AE76" s="43">
        <f t="shared" si="74"/>
        <v>-42.975884841415386</v>
      </c>
      <c r="AF76" t="str">
        <f t="shared" si="54"/>
        <v>223,849857273222</v>
      </c>
      <c r="AG76" t="str">
        <f t="shared" si="55"/>
        <v>1+0,942974822088003i</v>
      </c>
      <c r="AH76">
        <f t="shared" si="75"/>
        <v>1.3744822716542768</v>
      </c>
      <c r="AI76">
        <f t="shared" si="76"/>
        <v>0.75605716931212552</v>
      </c>
      <c r="AJ76" t="str">
        <f t="shared" si="56"/>
        <v>1+0,000238880042890683i</v>
      </c>
      <c r="AK76">
        <f t="shared" si="77"/>
        <v>1.0000000285318371</v>
      </c>
      <c r="AL76">
        <f t="shared" si="78"/>
        <v>2.3888003834689211E-4</v>
      </c>
      <c r="AM76" t="str">
        <f t="shared" si="57"/>
        <v>1-0,000157012491079421i</v>
      </c>
      <c r="AN76">
        <f t="shared" si="79"/>
        <v>1.0000000123264612</v>
      </c>
      <c r="AO76">
        <f t="shared" si="80"/>
        <v>-1.5701248978914877E-4</v>
      </c>
      <c r="AP76" s="41" t="str">
        <f t="shared" si="81"/>
        <v>118,498288761118-111,722576722459i</v>
      </c>
      <c r="AQ76">
        <f t="shared" si="82"/>
        <v>44.236353939174158</v>
      </c>
      <c r="AR76" s="43">
        <f t="shared" si="83"/>
        <v>-43.314194207181046</v>
      </c>
      <c r="AS76" t="str">
        <f t="shared" si="58"/>
        <v>-0,0000166666666666667</v>
      </c>
      <c r="AT76" t="str">
        <f t="shared" si="59"/>
        <v>2,39596683019355E-07i</v>
      </c>
      <c r="AU76">
        <f t="shared" si="84"/>
        <v>2.3959668301935501E-7</v>
      </c>
      <c r="AV76">
        <f t="shared" si="85"/>
        <v>1.5707963267948966</v>
      </c>
      <c r="AW76" t="str">
        <f t="shared" si="60"/>
        <v>1+0,000157189260526272i</v>
      </c>
      <c r="AX76">
        <f t="shared" si="86"/>
        <v>1.0000000123542319</v>
      </c>
      <c r="AY76">
        <f t="shared" si="87"/>
        <v>1.5718925923163699E-4</v>
      </c>
      <c r="AZ76" t="str">
        <f t="shared" si="61"/>
        <v>1+0,0525536094359502i</v>
      </c>
      <c r="BA76">
        <f t="shared" si="88"/>
        <v>1.0013799887479009</v>
      </c>
      <c r="BB76">
        <f t="shared" si="89"/>
        <v>5.2505307166874592E-2</v>
      </c>
      <c r="BC76" s="41" t="str">
        <f t="shared" si="90"/>
        <v>-3,64476518208979+69,5619143214905i</v>
      </c>
      <c r="BD76">
        <f t="shared" si="91"/>
        <v>36.859337024446781</v>
      </c>
      <c r="BE76" s="43">
        <f t="shared" si="92"/>
        <v>92.999326221561134</v>
      </c>
      <c r="BF76" s="41" t="str">
        <f t="shared" si="93"/>
        <v>2187,30348096439+2608,89371923481i</v>
      </c>
      <c r="BG76" s="20">
        <f t="shared" si="94"/>
        <v>70.641067784249302</v>
      </c>
      <c r="BH76" s="43">
        <f t="shared" si="95"/>
        <v>50.023441380145762</v>
      </c>
      <c r="BI76" s="41" t="str">
        <f t="shared" si="101"/>
        <v>7339,7378727301+8650,17036773551i</v>
      </c>
      <c r="BJ76" s="20">
        <f t="shared" si="97"/>
        <v>81.095690963620939</v>
      </c>
      <c r="BK76" s="43">
        <f t="shared" si="102"/>
        <v>49.685132014380095</v>
      </c>
      <c r="BL76">
        <f t="shared" si="99"/>
        <v>70.641067784249302</v>
      </c>
      <c r="BM76" s="43">
        <f t="shared" si="100"/>
        <v>50.023441380145762</v>
      </c>
    </row>
    <row r="77" spans="1:65" x14ac:dyDescent="0.25">
      <c r="A77" t="s">
        <v>462</v>
      </c>
      <c r="B77">
        <f>2*Fsw/(DC_VIN_var_DCM)</f>
        <v>1521407.8908527838</v>
      </c>
      <c r="C77" t="s">
        <v>385</v>
      </c>
      <c r="N77" s="9">
        <v>59</v>
      </c>
      <c r="O77" s="34">
        <f t="shared" si="62"/>
        <v>38.904514499428053</v>
      </c>
      <c r="P77" s="33" t="str">
        <f t="shared" si="50"/>
        <v>66,7780509511648</v>
      </c>
      <c r="Q77" s="4" t="str">
        <f t="shared" si="63"/>
        <v>1+0,952699528832856i</v>
      </c>
      <c r="R77" s="4">
        <f t="shared" si="64"/>
        <v>1.3811721081162716</v>
      </c>
      <c r="S77" s="4">
        <f t="shared" si="65"/>
        <v>0.76117978141306841</v>
      </c>
      <c r="T77" s="4" t="str">
        <f t="shared" si="51"/>
        <v>1+0,000244444273885762i</v>
      </c>
      <c r="U77" s="4">
        <f t="shared" si="66"/>
        <v>1.0000000298765011</v>
      </c>
      <c r="V77" s="4">
        <f t="shared" si="67"/>
        <v>2.4444426901700238E-4</v>
      </c>
      <c r="W77" t="str">
        <f t="shared" si="52"/>
        <v>1-0,00053175720472901i</v>
      </c>
      <c r="X77" s="4">
        <f t="shared" si="68"/>
        <v>1.0000001413828523</v>
      </c>
      <c r="Y77" s="4">
        <f t="shared" si="69"/>
        <v>-5.3175715460811472E-4</v>
      </c>
      <c r="Z77" t="str">
        <f t="shared" si="53"/>
        <v>0,999999998486439+0,000104517061030595i</v>
      </c>
      <c r="AA77" s="4">
        <f t="shared" si="70"/>
        <v>1.000000003948347</v>
      </c>
      <c r="AB77" s="4">
        <f t="shared" si="71"/>
        <v>1.0451706080821291E-4</v>
      </c>
      <c r="AC77" s="47" t="str">
        <f t="shared" si="72"/>
        <v>34,9925852078915-33,3635850840349i</v>
      </c>
      <c r="AD77" s="20">
        <f t="shared" si="73"/>
        <v>33.687720247172393</v>
      </c>
      <c r="AE77" s="43">
        <f t="shared" si="74"/>
        <v>-43.634839127874884</v>
      </c>
      <c r="AF77" t="str">
        <f t="shared" si="54"/>
        <v>223,849857273222</v>
      </c>
      <c r="AG77" t="str">
        <f t="shared" si="55"/>
        <v>1+0,964939527339845i</v>
      </c>
      <c r="AH77">
        <f t="shared" si="75"/>
        <v>1.3896432245086663</v>
      </c>
      <c r="AI77">
        <f t="shared" si="76"/>
        <v>0.76755702777685353</v>
      </c>
      <c r="AJ77" t="str">
        <f t="shared" si="56"/>
        <v>1+0,000244444273885762i</v>
      </c>
      <c r="AK77">
        <f t="shared" si="77"/>
        <v>1.0000000298765011</v>
      </c>
      <c r="AL77">
        <f t="shared" si="78"/>
        <v>2.4444426901700238E-4</v>
      </c>
      <c r="AM77" t="str">
        <f t="shared" si="57"/>
        <v>1-0,000160669781822116i</v>
      </c>
      <c r="AN77">
        <f t="shared" si="79"/>
        <v>1.0000000129073894</v>
      </c>
      <c r="AO77">
        <f t="shared" si="80"/>
        <v>-1.606697804395644E-4</v>
      </c>
      <c r="AP77" s="41" t="str">
        <f t="shared" si="81"/>
        <v>115,927191903985-111,843976853575i</v>
      </c>
      <c r="AQ77">
        <f t="shared" si="82"/>
        <v>44.141070522448878</v>
      </c>
      <c r="AR77" s="43">
        <f t="shared" si="83"/>
        <v>-43.972978302592992</v>
      </c>
      <c r="AS77" t="str">
        <f t="shared" si="58"/>
        <v>-0,0000166666666666667</v>
      </c>
      <c r="AT77" t="str">
        <f t="shared" si="59"/>
        <v>2,45177606707419E-07i</v>
      </c>
      <c r="AU77">
        <f t="shared" si="84"/>
        <v>2.4517760670741902E-7</v>
      </c>
      <c r="AV77">
        <f t="shared" si="85"/>
        <v>1.5707963267948966</v>
      </c>
      <c r="AW77" t="str">
        <f t="shared" si="60"/>
        <v>1+0,000160850668758328i</v>
      </c>
      <c r="AX77">
        <f t="shared" si="86"/>
        <v>1.0000000129364688</v>
      </c>
      <c r="AY77">
        <f t="shared" si="87"/>
        <v>1.6085066737110158E-4</v>
      </c>
      <c r="AZ77" t="str">
        <f t="shared" si="61"/>
        <v>1+0,0537777402548676i</v>
      </c>
      <c r="BA77">
        <f t="shared" si="88"/>
        <v>1.0014449786917503</v>
      </c>
      <c r="BB77">
        <f t="shared" si="89"/>
        <v>5.372598747357335E-2</v>
      </c>
      <c r="BC77" s="41" t="str">
        <f t="shared" si="90"/>
        <v>-3,64476517784556+67,9785182220766i</v>
      </c>
      <c r="BD77">
        <f t="shared" si="91"/>
        <v>36.659900718653546</v>
      </c>
      <c r="BE77" s="43">
        <f t="shared" si="92"/>
        <v>93.069056268036249</v>
      </c>
      <c r="BF77" s="41" t="str">
        <f t="shared" si="93"/>
        <v>2140,46732054035+2500,3465243146i</v>
      </c>
      <c r="BG77" s="20">
        <f t="shared" si="94"/>
        <v>70.347620965825939</v>
      </c>
      <c r="BH77" s="43">
        <f t="shared" si="95"/>
        <v>49.434217140161437</v>
      </c>
      <c r="BI77" s="41" t="str">
        <f t="shared" si="101"/>
        <v>7180,4604263532+8288,20375946689i</v>
      </c>
      <c r="BJ77" s="20">
        <f t="shared" si="97"/>
        <v>80.800971241102417</v>
      </c>
      <c r="BK77" s="43">
        <f t="shared" si="102"/>
        <v>49.09607796544325</v>
      </c>
      <c r="BL77">
        <f t="shared" si="99"/>
        <v>70.347620965825939</v>
      </c>
      <c r="BM77" s="43">
        <f t="shared" si="100"/>
        <v>49.434217140161437</v>
      </c>
    </row>
    <row r="78" spans="1:65" x14ac:dyDescent="0.25">
      <c r="B78">
        <f>B77/(2*PI())</f>
        <v>242139.58628823532</v>
      </c>
      <c r="C78" t="s">
        <v>65</v>
      </c>
      <c r="N78" s="9">
        <v>60</v>
      </c>
      <c r="O78" s="34">
        <f t="shared" si="62"/>
        <v>39.810717055349755</v>
      </c>
      <c r="P78" s="33" t="str">
        <f t="shared" si="50"/>
        <v>66,7780509511648</v>
      </c>
      <c r="Q78" s="4" t="str">
        <f t="shared" si="63"/>
        <v>1+0,974890751603836i</v>
      </c>
      <c r="R78" s="4">
        <f t="shared" si="64"/>
        <v>1.3965715082167087</v>
      </c>
      <c r="S78" s="4">
        <f t="shared" si="65"/>
        <v>0.77268460163731134</v>
      </c>
      <c r="T78" s="4" t="str">
        <f t="shared" si="51"/>
        <v>1+0,000250138112470457i</v>
      </c>
      <c r="U78" s="4">
        <f t="shared" si="66"/>
        <v>1.0000000312845372</v>
      </c>
      <c r="V78" s="4">
        <f t="shared" si="67"/>
        <v>2.5013810725348708E-4</v>
      </c>
      <c r="W78" t="str">
        <f t="shared" si="52"/>
        <v>1-0,000544143421193997i</v>
      </c>
      <c r="X78" s="4">
        <f t="shared" si="68"/>
        <v>1.0000001480460206</v>
      </c>
      <c r="Y78" s="4">
        <f t="shared" si="69"/>
        <v>-5.4414336748849045E-4</v>
      </c>
      <c r="Z78" t="str">
        <f t="shared" si="53"/>
        <v>0,999999998415107+0,000106951576126387i</v>
      </c>
      <c r="AA78" s="4">
        <f t="shared" si="70"/>
        <v>1.0000000041344266</v>
      </c>
      <c r="AB78" s="4">
        <f t="shared" si="71"/>
        <v>1.069515758881003E-4</v>
      </c>
      <c r="AC78" s="47" t="str">
        <f t="shared" si="72"/>
        <v>34,2245408834788-33,3919635051962i</v>
      </c>
      <c r="AD78" s="20">
        <f t="shared" si="73"/>
        <v>33.59141275198467</v>
      </c>
      <c r="AE78" s="43">
        <f t="shared" si="74"/>
        <v>-44.294539703042027</v>
      </c>
      <c r="AF78" t="str">
        <f t="shared" si="54"/>
        <v>223,849857273222</v>
      </c>
      <c r="AG78" t="str">
        <f t="shared" si="55"/>
        <v>1+0,987415856301564i</v>
      </c>
      <c r="AH78">
        <f t="shared" si="75"/>
        <v>1.4053434004810892</v>
      </c>
      <c r="AI78">
        <f t="shared" si="76"/>
        <v>0.77906633531859237</v>
      </c>
      <c r="AJ78" t="str">
        <f t="shared" si="56"/>
        <v>1+0,000250138112470457i</v>
      </c>
      <c r="AK78">
        <f t="shared" si="77"/>
        <v>1.0000000312845372</v>
      </c>
      <c r="AL78">
        <f t="shared" si="78"/>
        <v>2.5013810725348708E-4</v>
      </c>
      <c r="AM78" t="str">
        <f t="shared" si="57"/>
        <v>1-0,000164412261809849i</v>
      </c>
      <c r="AN78">
        <f t="shared" si="79"/>
        <v>1.0000000135156959</v>
      </c>
      <c r="AO78">
        <f t="shared" si="80"/>
        <v>-1.6441226032841828E-4</v>
      </c>
      <c r="AP78" s="41" t="str">
        <f t="shared" si="81"/>
        <v>113,351868316561-111,906242397744i</v>
      </c>
      <c r="AQ78">
        <f t="shared" si="82"/>
        <v>44.043487654287119</v>
      </c>
      <c r="AR78" s="43">
        <f t="shared" si="83"/>
        <v>-44.632301245255086</v>
      </c>
      <c r="AS78" t="str">
        <f t="shared" si="58"/>
        <v>-0,0000166666666666667</v>
      </c>
      <c r="AT78" t="str">
        <f t="shared" si="59"/>
        <v>2,50888526807869E-07i</v>
      </c>
      <c r="AU78">
        <f t="shared" si="84"/>
        <v>2.5088852680786899E-7</v>
      </c>
      <c r="AV78">
        <f t="shared" si="85"/>
        <v>1.5707963267948966</v>
      </c>
      <c r="AW78" t="str">
        <f t="shared" si="60"/>
        <v>1+0,000164597362144069i</v>
      </c>
      <c r="AX78">
        <f t="shared" si="86"/>
        <v>1.0000000135461458</v>
      </c>
      <c r="AY78">
        <f t="shared" si="87"/>
        <v>1.6459736065762911E-4</v>
      </c>
      <c r="AZ78" t="str">
        <f t="shared" si="61"/>
        <v>1+0,0550303847435005i</v>
      </c>
      <c r="BA78">
        <f t="shared" si="88"/>
        <v>1.0015130269971617</v>
      </c>
      <c r="BB78">
        <f t="shared" si="89"/>
        <v>5.4974935162932476E-2</v>
      </c>
      <c r="BC78" s="41" t="str">
        <f t="shared" si="90"/>
        <v>-3,64476517340129+66,4311652328261i</v>
      </c>
      <c r="BD78">
        <f t="shared" si="91"/>
        <v>36.46049090054052</v>
      </c>
      <c r="BE78" s="43">
        <f t="shared" si="92"/>
        <v>93.140401029756688</v>
      </c>
      <c r="BF78" s="41" t="str">
        <f t="shared" si="93"/>
        <v>2093,52663037444+2395,28199610322i</v>
      </c>
      <c r="BG78" s="20">
        <f t="shared" si="94"/>
        <v>70.051903652525198</v>
      </c>
      <c r="BH78" s="43">
        <f t="shared" si="95"/>
        <v>48.845861326714633</v>
      </c>
      <c r="BI78" s="41" t="str">
        <f t="shared" si="101"/>
        <v>7020,92113732905+7937,96866856451i</v>
      </c>
      <c r="BJ78" s="20">
        <f t="shared" si="97"/>
        <v>80.50397855482764</v>
      </c>
      <c r="BK78" s="43">
        <f t="shared" si="102"/>
        <v>48.508099784501624</v>
      </c>
      <c r="BL78">
        <f t="shared" si="99"/>
        <v>70.051903652525198</v>
      </c>
      <c r="BM78" s="43">
        <f t="shared" si="100"/>
        <v>48.845861326714633</v>
      </c>
    </row>
    <row r="79" spans="1:65" x14ac:dyDescent="0.25">
      <c r="N79" s="9">
        <v>61</v>
      </c>
      <c r="O79" s="34">
        <f t="shared" si="62"/>
        <v>40.738027780411279</v>
      </c>
      <c r="P79" s="33" t="str">
        <f t="shared" si="50"/>
        <v>66,7780509511648</v>
      </c>
      <c r="Q79" s="4" t="str">
        <f t="shared" si="63"/>
        <v>1+0,997598874355524i</v>
      </c>
      <c r="R79" s="4">
        <f t="shared" si="64"/>
        <v>1.4125167305612378</v>
      </c>
      <c r="S79" s="4">
        <f t="shared" si="65"/>
        <v>0.78419615807050047</v>
      </c>
      <c r="T79" s="4" t="str">
        <f t="shared" si="51"/>
        <v>1+0,000255964577593354i</v>
      </c>
      <c r="U79" s="4">
        <f t="shared" si="66"/>
        <v>1.000000032758932</v>
      </c>
      <c r="V79" s="4">
        <f t="shared" si="67"/>
        <v>2.5596457200327002E-4</v>
      </c>
      <c r="W79" t="str">
        <f t="shared" si="52"/>
        <v>1-0,000556818149703492i</v>
      </c>
      <c r="X79" s="4">
        <f t="shared" si="68"/>
        <v>1.0000001550232138</v>
      </c>
      <c r="Y79" s="4">
        <f t="shared" si="69"/>
        <v>-5.5681809215700549E-4</v>
      </c>
      <c r="Z79" t="str">
        <f t="shared" si="53"/>
        <v>0,999999998340413+0,000109442798363514i</v>
      </c>
      <c r="AA79" s="4">
        <f t="shared" si="70"/>
        <v>1.0000000043292758</v>
      </c>
      <c r="AB79" s="4">
        <f t="shared" si="71"/>
        <v>1.0944279810818523E-4</v>
      </c>
      <c r="AC79" s="47" t="str">
        <f t="shared" si="72"/>
        <v>33,4555969373445-33,4026646382906i</v>
      </c>
      <c r="AD79" s="20">
        <f t="shared" si="73"/>
        <v>33.492804366234544</v>
      </c>
      <c r="AE79" s="43">
        <f t="shared" si="74"/>
        <v>-44.954638415199803</v>
      </c>
      <c r="AF79" t="str">
        <f t="shared" si="54"/>
        <v>223,849857273222</v>
      </c>
      <c r="AG79" t="str">
        <f t="shared" si="55"/>
        <v>1+1,01041572622029i</v>
      </c>
      <c r="AH79">
        <f t="shared" si="75"/>
        <v>1.4215976715629763</v>
      </c>
      <c r="AI79">
        <f t="shared" si="76"/>
        <v>0.79057899883092808</v>
      </c>
      <c r="AJ79" t="str">
        <f t="shared" si="56"/>
        <v>1+0,000255964577593354i</v>
      </c>
      <c r="AK79">
        <f t="shared" si="77"/>
        <v>1.000000032758932</v>
      </c>
      <c r="AL79">
        <f t="shared" si="78"/>
        <v>2.5596457200327002E-4</v>
      </c>
      <c r="AM79" t="str">
        <f t="shared" si="57"/>
        <v>1-0,000168241915355047i</v>
      </c>
      <c r="AN79">
        <f t="shared" si="79"/>
        <v>1.000000014152671</v>
      </c>
      <c r="AO79">
        <f t="shared" si="80"/>
        <v>-1.6824191376766539E-4</v>
      </c>
      <c r="AP79" s="41" t="str">
        <f t="shared" si="81"/>
        <v>110,775042712034-111,909208523542i</v>
      </c>
      <c r="AQ79">
        <f t="shared" si="82"/>
        <v>43.94360277440812</v>
      </c>
      <c r="AR79" s="43">
        <f t="shared" si="83"/>
        <v>-45.291813866605708</v>
      </c>
      <c r="AS79" t="str">
        <f t="shared" si="58"/>
        <v>-0,0000166666666666667</v>
      </c>
      <c r="AT79" t="str">
        <f t="shared" si="59"/>
        <v>2,56732471326134E-07i</v>
      </c>
      <c r="AU79">
        <f t="shared" si="84"/>
        <v>2.5673247132613401E-7</v>
      </c>
      <c r="AV79">
        <f t="shared" si="85"/>
        <v>1.5707963267948966</v>
      </c>
      <c r="AW79" t="str">
        <f t="shared" si="60"/>
        <v>1+0,000168431327229924i</v>
      </c>
      <c r="AX79">
        <f t="shared" si="86"/>
        <v>1.000000014184556</v>
      </c>
      <c r="AY79">
        <f t="shared" si="87"/>
        <v>1.6843132563717497E-4</v>
      </c>
      <c r="AZ79" t="str">
        <f t="shared" si="61"/>
        <v>1+0,0563122070705378i</v>
      </c>
      <c r="BA79">
        <f t="shared" si="88"/>
        <v>1.0015842773651926</v>
      </c>
      <c r="BB79">
        <f t="shared" si="89"/>
        <v>5.6252796849145102E-2</v>
      </c>
      <c r="BC79" s="41" t="str">
        <f t="shared" si="90"/>
        <v>-3,64476516874759+64,9190349267026i</v>
      </c>
      <c r="BD79">
        <f t="shared" si="91"/>
        <v>36.261108810892225</v>
      </c>
      <c r="BE79" s="43">
        <f t="shared" si="92"/>
        <v>93.213397441166023</v>
      </c>
      <c r="BF79" s="41" t="str">
        <f t="shared" si="93"/>
        <v>2046,53095788123+2293,64993468615i</v>
      </c>
      <c r="BG79" s="20">
        <f t="shared" si="94"/>
        <v>69.753913177126762</v>
      </c>
      <c r="BH79" s="43">
        <f t="shared" si="95"/>
        <v>48.258759025966214</v>
      </c>
      <c r="BI79" s="41" t="str">
        <f t="shared" si="101"/>
        <v>6861,28879951612+7599,29165211822i</v>
      </c>
      <c r="BJ79" s="20">
        <f t="shared" si="97"/>
        <v>80.204711585300359</v>
      </c>
      <c r="BK79" s="43">
        <f t="shared" si="102"/>
        <v>47.921583574560302</v>
      </c>
      <c r="BL79">
        <f t="shared" si="99"/>
        <v>69.753913177126762</v>
      </c>
      <c r="BM79" s="43">
        <f t="shared" si="100"/>
        <v>48.258759025966214</v>
      </c>
    </row>
    <row r="80" spans="1:65" x14ac:dyDescent="0.25">
      <c r="N80" s="9">
        <v>62</v>
      </c>
      <c r="O80" s="34">
        <f t="shared" si="62"/>
        <v>41.686938347033561</v>
      </c>
      <c r="P80" s="33" t="str">
        <f t="shared" si="50"/>
        <v>66,7780509511648</v>
      </c>
      <c r="Q80" s="4" t="str">
        <f t="shared" si="63"/>
        <v>1+1,02083593723518i</v>
      </c>
      <c r="R80" s="4">
        <f t="shared" si="64"/>
        <v>1.4290227467576675</v>
      </c>
      <c r="S80" s="4">
        <f t="shared" si="65"/>
        <v>0.79570835165145903</v>
      </c>
      <c r="T80" s="4" t="str">
        <f t="shared" si="51"/>
        <v>1+0,000261926758523383i</v>
      </c>
      <c r="U80" s="4">
        <f t="shared" si="66"/>
        <v>1.0000000343028128</v>
      </c>
      <c r="V80" s="4">
        <f t="shared" si="67"/>
        <v>2.6192675253350009E-4</v>
      </c>
      <c r="W80" t="str">
        <f t="shared" si="52"/>
        <v>1-0,000569788110566321i</v>
      </c>
      <c r="X80" s="4">
        <f t="shared" si="68"/>
        <v>1.0000001623292323</v>
      </c>
      <c r="Y80" s="4">
        <f t="shared" si="69"/>
        <v>-5.6978804890415026E-4</v>
      </c>
      <c r="Z80" t="str">
        <f t="shared" si="53"/>
        <v>0,999999998262199+0,000111992048620979i</v>
      </c>
      <c r="AA80" s="4">
        <f t="shared" si="70"/>
        <v>1.0000000045333084</v>
      </c>
      <c r="AB80" s="4">
        <f t="shared" si="71"/>
        <v>1.1199204834738931E-4</v>
      </c>
      <c r="AC80" s="47" t="str">
        <f t="shared" si="72"/>
        <v>32,6865678727736-33,3956601420118i</v>
      </c>
      <c r="AD80" s="20">
        <f t="shared" si="73"/>
        <v>33.391893615512942</v>
      </c>
      <c r="AE80" s="43">
        <f t="shared" si="74"/>
        <v>-45.61478609760686</v>
      </c>
      <c r="AF80" t="str">
        <f t="shared" si="54"/>
        <v>223,849857273222</v>
      </c>
      <c r="AG80" t="str">
        <f t="shared" si="55"/>
        <v>1+1,0339513319315i</v>
      </c>
      <c r="AH80">
        <f t="shared" si="75"/>
        <v>1.4384211333274142</v>
      </c>
      <c r="AI80">
        <f t="shared" si="76"/>
        <v>0.80208891632026713</v>
      </c>
      <c r="AJ80" t="str">
        <f t="shared" si="56"/>
        <v>1+0,000261926758523383i</v>
      </c>
      <c r="AK80">
        <f t="shared" si="77"/>
        <v>1.0000000343028128</v>
      </c>
      <c r="AL80">
        <f t="shared" si="78"/>
        <v>2.6192675253350009E-4</v>
      </c>
      <c r="AM80" t="str">
        <f t="shared" si="57"/>
        <v>1-0,000172160772990712i</v>
      </c>
      <c r="AN80">
        <f t="shared" si="79"/>
        <v>1.0000000148196657</v>
      </c>
      <c r="AO80">
        <f t="shared" si="80"/>
        <v>-1.7216077128980194E-4</v>
      </c>
      <c r="AP80" s="41" t="str">
        <f t="shared" si="81"/>
        <v>108,199446165584-111,852867374107i</v>
      </c>
      <c r="AQ80">
        <f t="shared" si="82"/>
        <v>43.84141576085851</v>
      </c>
      <c r="AR80" s="43">
        <f t="shared" si="83"/>
        <v>-45.951166487504118</v>
      </c>
      <c r="AS80" t="str">
        <f t="shared" si="58"/>
        <v>-0,0000166666666666667</v>
      </c>
      <c r="AT80" t="str">
        <f t="shared" si="59"/>
        <v>2,62712538798953E-07i</v>
      </c>
      <c r="AU80">
        <f t="shared" si="84"/>
        <v>2.6271253879895302E-7</v>
      </c>
      <c r="AV80">
        <f t="shared" si="85"/>
        <v>1.5707963267948966</v>
      </c>
      <c r="AW80" t="str">
        <f t="shared" si="60"/>
        <v>1+0,000172354596834928i</v>
      </c>
      <c r="AX80">
        <f t="shared" si="86"/>
        <v>1.0000000148530535</v>
      </c>
      <c r="AY80">
        <f t="shared" si="87"/>
        <v>1.7235459512826665E-4</v>
      </c>
      <c r="AZ80" t="str">
        <f t="shared" si="61"/>
        <v>1+0,0576238868751442i</v>
      </c>
      <c r="BA80">
        <f t="shared" si="88"/>
        <v>1.0016588802274951</v>
      </c>
      <c r="BB80">
        <f t="shared" si="89"/>
        <v>5.7560233368663359E-2</v>
      </c>
      <c r="BC80" s="41" t="str">
        <f t="shared" si="90"/>
        <v>-3,64476516387456+63,441325552202i</v>
      </c>
      <c r="BD80">
        <f t="shared" si="91"/>
        <v>36.061755748245361</v>
      </c>
      <c r="BE80" s="43">
        <f t="shared" si="92"/>
        <v>93.288083248931954</v>
      </c>
      <c r="BF80" s="41" t="str">
        <f t="shared" si="93"/>
        <v>1999,53008319076+2195,39853231098i</v>
      </c>
      <c r="BG80" s="20">
        <f t="shared" si="94"/>
        <v>69.453649363758302</v>
      </c>
      <c r="BH80" s="43">
        <f t="shared" si="95"/>
        <v>47.673297151325173</v>
      </c>
      <c r="BI80" s="41" t="str">
        <f t="shared" si="101"/>
        <v>6701,73260089315+7271,9937232434i</v>
      </c>
      <c r="BJ80" s="20">
        <f t="shared" si="97"/>
        <v>79.903171509103871</v>
      </c>
      <c r="BK80" s="43">
        <f t="shared" si="102"/>
        <v>47.336916761427879</v>
      </c>
      <c r="BL80">
        <f t="shared" si="99"/>
        <v>69.453649363758302</v>
      </c>
      <c r="BM80" s="43">
        <f t="shared" si="100"/>
        <v>47.673297151325173</v>
      </c>
    </row>
    <row r="81" spans="14:65" x14ac:dyDescent="0.25">
      <c r="N81" s="9">
        <v>63</v>
      </c>
      <c r="O81" s="34">
        <f t="shared" si="62"/>
        <v>42.657951880159267</v>
      </c>
      <c r="P81" s="33" t="str">
        <f t="shared" si="50"/>
        <v>66,7780509511648</v>
      </c>
      <c r="Q81" s="4" t="str">
        <f t="shared" si="63"/>
        <v>1+1,04461426084111i</v>
      </c>
      <c r="R81" s="4">
        <f t="shared" si="64"/>
        <v>1.4461047520676429</v>
      </c>
      <c r="S81" s="4">
        <f t="shared" si="65"/>
        <v>0.80721508163141664</v>
      </c>
      <c r="T81" s="4" t="str">
        <f t="shared" si="51"/>
        <v>1+0,000268027816487791i</v>
      </c>
      <c r="U81" s="4">
        <f t="shared" si="66"/>
        <v>1.0000000359194545</v>
      </c>
      <c r="V81" s="4">
        <f t="shared" si="67"/>
        <v>2.6802781006951586E-4</v>
      </c>
      <c r="W81" t="str">
        <f t="shared" si="52"/>
        <v>1-0,000583060180627407i</v>
      </c>
      <c r="X81" s="4">
        <f t="shared" si="68"/>
        <v>1.0000001699795726</v>
      </c>
      <c r="Y81" s="4">
        <f t="shared" si="69"/>
        <v>-5.8306011455520131E-4</v>
      </c>
      <c r="Z81" t="str">
        <f t="shared" si="53"/>
        <v>0,999999998180299+0,000114600678545013i</v>
      </c>
      <c r="AA81" s="4">
        <f t="shared" si="70"/>
        <v>1.0000000047469566</v>
      </c>
      <c r="AB81" s="4">
        <f t="shared" si="71"/>
        <v>1.1460067825185635E-4</v>
      </c>
      <c r="AC81" s="47" t="str">
        <f t="shared" si="72"/>
        <v>31,9182685536654-33,3709685706153i</v>
      </c>
      <c r="AD81" s="20">
        <f t="shared" si="73"/>
        <v>33.288681465251138</v>
      </c>
      <c r="AE81" s="43">
        <f t="shared" si="74"/>
        <v>-46.274633493438941</v>
      </c>
      <c r="AF81" t="str">
        <f t="shared" si="54"/>
        <v>223,849857273222</v>
      </c>
      <c r="AG81" t="str">
        <f t="shared" si="55"/>
        <v>1+1,05803515232485i</v>
      </c>
      <c r="AH81">
        <f t="shared" si="75"/>
        <v>1.4558291052026224</v>
      </c>
      <c r="AI81">
        <f t="shared" si="76"/>
        <v>0.81358999306539892</v>
      </c>
      <c r="AJ81" t="str">
        <f t="shared" si="56"/>
        <v>1+0,000268027816487791i</v>
      </c>
      <c r="AK81">
        <f t="shared" si="77"/>
        <v>1.0000000359194545</v>
      </c>
      <c r="AL81">
        <f t="shared" si="78"/>
        <v>2.6802781006951586E-4</v>
      </c>
      <c r="AM81" t="str">
        <f t="shared" si="57"/>
        <v>1-0,000176170912547033i</v>
      </c>
      <c r="AN81">
        <f t="shared" si="79"/>
        <v>1.000000015518095</v>
      </c>
      <c r="AO81">
        <f t="shared" si="80"/>
        <v>-1.7617091072447502E-4</v>
      </c>
      <c r="AP81" s="41" t="str">
        <f t="shared" si="81"/>
        <v>105,627804546142-111,737368117881i</v>
      </c>
      <c r="AQ81">
        <f t="shared" si="82"/>
        <v>43.736928930529544</v>
      </c>
      <c r="AR81" s="43">
        <f t="shared" si="83"/>
        <v>-46.610009844073872</v>
      </c>
      <c r="AS81" t="str">
        <f t="shared" si="58"/>
        <v>-0,0000166666666666667</v>
      </c>
      <c r="AT81" t="str">
        <f t="shared" si="59"/>
        <v>2,68831899937254E-07i</v>
      </c>
      <c r="AU81">
        <f t="shared" si="84"/>
        <v>2.6883189993725399E-7</v>
      </c>
      <c r="AV81">
        <f t="shared" si="85"/>
        <v>1.5707963267948966</v>
      </c>
      <c r="AW81" t="str">
        <f t="shared" si="60"/>
        <v>1+0,000176369251128556i</v>
      </c>
      <c r="AX81">
        <f t="shared" si="86"/>
        <v>1.0000000155530562</v>
      </c>
      <c r="AY81">
        <f t="shared" si="87"/>
        <v>1.7636924929983542E-4</v>
      </c>
      <c r="AZ81" t="str">
        <f t="shared" si="61"/>
        <v>1+0,058966119627314i</v>
      </c>
      <c r="BA81">
        <f t="shared" si="88"/>
        <v>1.001736993059507</v>
      </c>
      <c r="BB81">
        <f t="shared" si="89"/>
        <v>5.8897920052162905E-2</v>
      </c>
      <c r="BC81" s="41" t="str">
        <f t="shared" si="90"/>
        <v>-3,64476515877187+61,9972536082543i</v>
      </c>
      <c r="BD81">
        <f t="shared" si="91"/>
        <v>35.862433071541354</v>
      </c>
      <c r="BE81" s="43">
        <f t="shared" si="92"/>
        <v>93.364497027467095</v>
      </c>
      <c r="BF81" s="41" t="str">
        <f t="shared" si="93"/>
        <v>1952,5738084728+2100,47433381861i</v>
      </c>
      <c r="BG81" s="20">
        <f t="shared" si="94"/>
        <v>69.151114536792505</v>
      </c>
      <c r="BH81" s="43">
        <f t="shared" si="95"/>
        <v>47.08986353402809</v>
      </c>
      <c r="BI81" s="41" t="str">
        <f t="shared" si="101"/>
        <v>6542,42140691579+6955,8902527792i</v>
      </c>
      <c r="BJ81" s="20">
        <f t="shared" si="97"/>
        <v>79.599362002070905</v>
      </c>
      <c r="BK81" s="43">
        <f t="shared" si="102"/>
        <v>46.754487183393245</v>
      </c>
      <c r="BL81">
        <f t="shared" si="99"/>
        <v>69.151114536792505</v>
      </c>
      <c r="BM81" s="43">
        <f t="shared" si="100"/>
        <v>47.08986353402809</v>
      </c>
    </row>
    <row r="82" spans="14:65" x14ac:dyDescent="0.25">
      <c r="N82" s="9">
        <v>64</v>
      </c>
      <c r="O82" s="34">
        <f t="shared" si="62"/>
        <v>43.651583224016633</v>
      </c>
      <c r="P82" s="33" t="str">
        <f t="shared" si="50"/>
        <v>66,7780509511648</v>
      </c>
      <c r="Q82" s="4" t="str">
        <f t="shared" si="63"/>
        <v>1+1,06894645275525i</v>
      </c>
      <c r="R82" s="4">
        <f t="shared" si="64"/>
        <v>1.4637781658632676</v>
      </c>
      <c r="S82" s="4">
        <f t="shared" si="65"/>
        <v>0.81871026172556827</v>
      </c>
      <c r="T82" s="4" t="str">
        <f t="shared" si="51"/>
        <v>1+0,000274270986348268i</v>
      </c>
      <c r="U82" s="4">
        <f t="shared" si="66"/>
        <v>1.0000000376122862</v>
      </c>
      <c r="V82" s="4">
        <f t="shared" si="67"/>
        <v>2.7427097947096225E-4</v>
      </c>
      <c r="W82" t="str">
        <f t="shared" si="52"/>
        <v>1-0,000596641396913976i</v>
      </c>
      <c r="X82" s="4">
        <f t="shared" si="68"/>
        <v>1.0000001779904624</v>
      </c>
      <c r="Y82" s="4">
        <f t="shared" si="69"/>
        <v>-5.966413261163328E-4</v>
      </c>
      <c r="Z82" t="str">
        <f t="shared" si="53"/>
        <v>0,999999998094539+0,000117270071265731i</v>
      </c>
      <c r="AA82" s="4">
        <f t="shared" si="70"/>
        <v>1.0000000049706737</v>
      </c>
      <c r="AB82" s="4">
        <f t="shared" si="71"/>
        <v>1.17270070951608E-4</v>
      </c>
      <c r="AC82" s="47" t="str">
        <f t="shared" si="72"/>
        <v>31,1515107542101-33,3286552541245i</v>
      </c>
      <c r="AD82" s="20">
        <f t="shared" si="73"/>
        <v>33.18317131663273</v>
      </c>
      <c r="AE82" s="43">
        <f t="shared" si="74"/>
        <v>-46.933832181357801</v>
      </c>
      <c r="AF82" t="str">
        <f t="shared" si="54"/>
        <v>223,849857273222</v>
      </c>
      <c r="AG82" t="str">
        <f t="shared" si="55"/>
        <v>1+1,08267995696072i</v>
      </c>
      <c r="AH82">
        <f t="shared" si="75"/>
        <v>1.4738371311662855</v>
      </c>
      <c r="AI82">
        <f t="shared" si="76"/>
        <v>0.82507615773016707</v>
      </c>
      <c r="AJ82" t="str">
        <f t="shared" si="56"/>
        <v>1+0,000274270986348268i</v>
      </c>
      <c r="AK82">
        <f t="shared" si="77"/>
        <v>1.0000000376122862</v>
      </c>
      <c r="AL82">
        <f t="shared" si="78"/>
        <v>2.7427097947096225E-4</v>
      </c>
      <c r="AM82" t="str">
        <f t="shared" si="57"/>
        <v>1-0,000180274460253084i</v>
      </c>
      <c r="AN82">
        <f t="shared" si="79"/>
        <v>1.0000000162494402</v>
      </c>
      <c r="AO82">
        <f t="shared" si="80"/>
        <v>-1.8027445830017796E-4</v>
      </c>
      <c r="AP82" s="41" t="str">
        <f t="shared" si="81"/>
        <v>103,06282699494-111,563015986181i</v>
      </c>
      <c r="AQ82">
        <f t="shared" si="82"/>
        <v>43.630147029350226</v>
      </c>
      <c r="AR82" s="43">
        <f t="shared" si="83"/>
        <v>-47.267996010856749</v>
      </c>
      <c r="AS82" t="str">
        <f t="shared" si="58"/>
        <v>-0,0000166666666666667</v>
      </c>
      <c r="AT82" t="str">
        <f t="shared" si="59"/>
        <v>2,75093799307313E-07i</v>
      </c>
      <c r="AU82">
        <f t="shared" si="84"/>
        <v>2.75093799307313E-7</v>
      </c>
      <c r="AV82">
        <f t="shared" si="85"/>
        <v>1.5707963267948966</v>
      </c>
      <c r="AW82" t="str">
        <f t="shared" si="60"/>
        <v>1+0,000180477418733656i</v>
      </c>
      <c r="AX82">
        <f t="shared" si="86"/>
        <v>1.0000000162860492</v>
      </c>
      <c r="AY82">
        <f t="shared" si="87"/>
        <v>1.8047741677414659E-4</v>
      </c>
      <c r="AZ82" t="str">
        <f t="shared" si="61"/>
        <v>1+0,0603396169966189i</v>
      </c>
      <c r="BA82">
        <f t="shared" si="88"/>
        <v>1.0018187807080174</v>
      </c>
      <c r="BB82">
        <f t="shared" si="89"/>
        <v>6.0266546998686797E-2</v>
      </c>
      <c r="BC82" s="41" t="str">
        <f t="shared" si="90"/>
        <v>-3,64476515342869+60,5860534288003i</v>
      </c>
      <c r="BD82">
        <f t="shared" si="91"/>
        <v>35.663142202897113</v>
      </c>
      <c r="BE82" s="43">
        <f t="shared" si="92"/>
        <v>93.442678194572977</v>
      </c>
      <c r="BF82" s="41" t="str">
        <f t="shared" si="93"/>
        <v>1905,71174706285+2008,82221622329i</v>
      </c>
      <c r="BG82" s="20">
        <f t="shared" si="94"/>
        <v>68.846313519529843</v>
      </c>
      <c r="BH82" s="43">
        <f t="shared" si="95"/>
        <v>46.508846013215155</v>
      </c>
      <c r="BI82" s="41" t="str">
        <f t="shared" si="101"/>
        <v>6383,52304677186+6650,79093591648i</v>
      </c>
      <c r="BJ82" s="20">
        <f t="shared" si="97"/>
        <v>79.293289232247346</v>
      </c>
      <c r="BK82" s="43">
        <f t="shared" si="102"/>
        <v>46.17468218371625</v>
      </c>
      <c r="BL82">
        <f t="shared" si="99"/>
        <v>68.846313519529843</v>
      </c>
      <c r="BM82" s="43">
        <f t="shared" si="100"/>
        <v>46.508846013215155</v>
      </c>
    </row>
    <row r="83" spans="14:65" x14ac:dyDescent="0.25">
      <c r="N83" s="9">
        <v>65</v>
      </c>
      <c r="O83" s="34">
        <f t="shared" si="62"/>
        <v>44.668359215096324</v>
      </c>
      <c r="P83" s="33" t="str">
        <f t="shared" ref="P83:P146" si="103">COMPLEX(Adc,0)</f>
        <v>66,7780509511648</v>
      </c>
      <c r="Q83" s="4" t="str">
        <f t="shared" ref="Q83:Q146" si="104">IMSUM(COMPLEX(1,0),IMDIV(COMPLEX(0,2*PI()*O83),COMPLEX(wp_lf,0)))</f>
        <v>1+1,09384541422782i</v>
      </c>
      <c r="R83" s="4">
        <f t="shared" si="64"/>
        <v>1.4820586325200602</v>
      </c>
      <c r="S83" s="4">
        <f t="shared" si="65"/>
        <v>0.83018783617127956</v>
      </c>
      <c r="T83" s="4" t="str">
        <f t="shared" ref="T83:T146" si="105">IMSUM(COMPLEX(1,0),IMDIV(COMPLEX(0,2*PI()*O83),COMPLEX(wz_esr,0)))</f>
        <v>1+0,000280659578316113i</v>
      </c>
      <c r="U83" s="4">
        <f t="shared" si="66"/>
        <v>1.0000000393848987</v>
      </c>
      <c r="V83" s="4">
        <f t="shared" si="67"/>
        <v>2.8065957094694716E-4</v>
      </c>
      <c r="W83" t="str">
        <f t="shared" ref="W83:W146" si="106">IMSUB(COMPLEX(1,0),IMDIV(COMPLEX(0,2*PI()*O83),COMPLEX(wz_rhp,0)))</f>
        <v>1-0,000610538960366671i</v>
      </c>
      <c r="X83" s="4">
        <f t="shared" si="68"/>
        <v>1.0000001863788937</v>
      </c>
      <c r="Y83" s="4">
        <f t="shared" si="69"/>
        <v>-6.1053888450563029E-4</v>
      </c>
      <c r="Z83" t="str">
        <f t="shared" ref="Z83:Z146" si="107">IMSUM(COMPLEX(1,0),IMDIV(COMPLEX(0,2*PI()*O83),COMPLEX(Q*(wsl/2),0)),IMDIV(IMPOWER(COMPLEX(0,2*PI()*O83),2),IMPOWER(COMPLEX(wsl/2,0),2)))</f>
        <v>0,999999998004738+0,000120001642130488i</v>
      </c>
      <c r="AA83" s="4">
        <f t="shared" si="70"/>
        <v>1.0000000052049351</v>
      </c>
      <c r="AB83" s="4">
        <f t="shared" si="71"/>
        <v>1.2000164179389906E-4</v>
      </c>
      <c r="AC83" s="47" t="str">
        <f t="shared" si="72"/>
        <v>30,3870997363252-33,2688318772338i</v>
      </c>
      <c r="AD83" s="20">
        <f t="shared" si="73"/>
        <v>33.075368992210286</v>
      </c>
      <c r="AE83" s="43">
        <f t="shared" si="74"/>
        <v>-47.592035495737477</v>
      </c>
      <c r="AF83" t="str">
        <f t="shared" ref="AF83:AF146" si="108">COMPLEX($B$72,0)</f>
        <v>223,849857273222</v>
      </c>
      <c r="AG83" t="str">
        <f t="shared" ref="AG83:AG146" si="109">IMSUM(COMPLEX(1,0),IMDIV(COMPLEX(0,2*PI()*O83),COMPLEX(wp_lf_DCM,0)))</f>
        <v>1+1,10789881284073i</v>
      </c>
      <c r="AH83">
        <f t="shared" si="75"/>
        <v>1.4924609808949443</v>
      </c>
      <c r="AI83">
        <f t="shared" si="76"/>
        <v>0.83654137832539344</v>
      </c>
      <c r="AJ83" t="str">
        <f t="shared" ref="AJ83:AJ146" si="110">IMSUM(COMPLEX(1,0),IMDIV(COMPLEX(0,2*PI()*O83),COMPLEX(wz1_dcm,0)))</f>
        <v>1+0,000280659578316113i</v>
      </c>
      <c r="AK83">
        <f t="shared" si="77"/>
        <v>1.0000000393848987</v>
      </c>
      <c r="AL83">
        <f t="shared" si="78"/>
        <v>2.8065957094694716E-4</v>
      </c>
      <c r="AM83" t="str">
        <f t="shared" ref="AM83:AM146" si="111">IMSUB(COMPLEX(1,0),IMDIV(COMPLEX(0,2*PI()*O83),COMPLEX(wz2_dcm,0)))</f>
        <v>1-0,000184473591864176i</v>
      </c>
      <c r="AN83">
        <f t="shared" si="79"/>
        <v>1.000000017015253</v>
      </c>
      <c r="AO83">
        <f t="shared" si="80"/>
        <v>-1.8447358977159947E-4</v>
      </c>
      <c r="AP83" s="41" t="str">
        <f t="shared" si="81"/>
        <v>100,507194554143-111,330270309149i</v>
      </c>
      <c r="AQ83">
        <f t="shared" si="82"/>
        <v>43.521077212245245</v>
      </c>
      <c r="AR83" s="43">
        <f t="shared" si="83"/>
        <v>-47.924779315332216</v>
      </c>
      <c r="AS83" t="str">
        <f t="shared" ref="AS83:AS146" si="112">COMPLEX(Adc_ea,0)</f>
        <v>-0,0000166666666666667</v>
      </c>
      <c r="AT83" t="str">
        <f t="shared" ref="AT83:AT146" si="113">COMPLEX(0,2*PI()*O83*wp0_ea)</f>
        <v>2,81501557051061E-07i</v>
      </c>
      <c r="AU83">
        <f t="shared" si="84"/>
        <v>2.8150155705106101E-7</v>
      </c>
      <c r="AV83">
        <f t="shared" si="85"/>
        <v>1.5707963267948966</v>
      </c>
      <c r="AW83" t="str">
        <f t="shared" ref="AW83:AW146" si="114">IMSUM(COMPLEX(1,0),IMDIV(COMPLEX(0,2*PI()*O83),COMPLEX(wp1_ea,0)))</f>
        <v>1+0,000184681277855069i</v>
      </c>
      <c r="AX83">
        <f t="shared" si="86"/>
        <v>1.000000017053587</v>
      </c>
      <c r="AY83">
        <f t="shared" si="87"/>
        <v>1.8468127575541686E-4</v>
      </c>
      <c r="AZ83" t="str">
        <f t="shared" ref="AZ83:AZ146" si="115">IMSUM(COMPLEX(1,0),IMDIV(COMPLEX(0,2*PI()*O83),COMPLEX(wz_ea,0)))</f>
        <v>1+0,0617451072295448i</v>
      </c>
      <c r="BA83">
        <f t="shared" si="88"/>
        <v>1.0019044157337504</v>
      </c>
      <c r="BB83">
        <f t="shared" si="89"/>
        <v>6.1666819351732113E-2</v>
      </c>
      <c r="BC83" s="41" t="str">
        <f t="shared" si="90"/>
        <v>-3,64476514783371+59,2069767768256i</v>
      </c>
      <c r="BD83">
        <f t="shared" si="91"/>
        <v>35.463884630499209</v>
      </c>
      <c r="BE83" s="43">
        <f t="shared" si="92"/>
        <v>93.522667027194046</v>
      </c>
      <c r="BF83" s="41" t="str">
        <f t="shared" si="93"/>
        <v>1858,99311428479+1920,38538733897i</v>
      </c>
      <c r="BG83" s="20">
        <f t="shared" si="94"/>
        <v>68.539253622709481</v>
      </c>
      <c r="BH83" s="43">
        <f t="shared" si="95"/>
        <v>45.930631531456598</v>
      </c>
      <c r="BI83" s="41" t="str">
        <f t="shared" si="101"/>
        <v>6225,20360893402+6356,49982299273i</v>
      </c>
      <c r="BJ83" s="20">
        <f t="shared" si="97"/>
        <v>78.984961842744468</v>
      </c>
      <c r="BK83" s="43">
        <f t="shared" si="102"/>
        <v>45.59788771186183</v>
      </c>
      <c r="BL83">
        <f t="shared" si="99"/>
        <v>68.539253622709481</v>
      </c>
      <c r="BM83" s="43">
        <f t="shared" si="100"/>
        <v>45.930631531456598</v>
      </c>
    </row>
    <row r="84" spans="14:65" x14ac:dyDescent="0.25">
      <c r="N84" s="9">
        <v>66</v>
      </c>
      <c r="O84" s="34">
        <f t="shared" ref="O84:O118" si="116">10^(1+(N84/100))</f>
        <v>45.70881896148753</v>
      </c>
      <c r="P84" s="33" t="str">
        <f t="shared" si="103"/>
        <v>66,7780509511648</v>
      </c>
      <c r="Q84" s="4" t="str">
        <f t="shared" si="104"/>
        <v>1+1,11932434701776i</v>
      </c>
      <c r="R84" s="4">
        <f t="shared" ref="R84:R147" si="117">IMABS(Q84)</f>
        <v>1.5009620227796352</v>
      </c>
      <c r="S84" s="4">
        <f t="shared" ref="S84:S147" si="118">IMARGUMENT(Q84)</f>
        <v>0.84164179558993746</v>
      </c>
      <c r="T84" s="4" t="str">
        <f t="shared" si="105"/>
        <v>1+0,00028719697970735i</v>
      </c>
      <c r="U84" s="4">
        <f t="shared" ref="U84:U147" si="119">IMABS(T84)</f>
        <v>1.0000000412410517</v>
      </c>
      <c r="V84" s="4">
        <f t="shared" ref="V84:V147" si="120">IMARGUMENT(T84)</f>
        <v>2.8719697181114656E-4</v>
      </c>
      <c r="W84" t="str">
        <f t="shared" si="106"/>
        <v>1-0,000624760239657592i</v>
      </c>
      <c r="X84" s="4">
        <f t="shared" ref="X84:X147" si="121">IMABS(W84)</f>
        <v>1.0000001951626596</v>
      </c>
      <c r="Y84" s="4">
        <f t="shared" ref="Y84:Y147" si="122">IMARGUMENT(W84)</f>
        <v>-6.2476015837102314E-4</v>
      </c>
      <c r="Z84" t="str">
        <f t="shared" si="107"/>
        <v>0,999999997910704+0,000122796839454311i</v>
      </c>
      <c r="AA84" s="4">
        <f t="shared" ref="AA84:AA147" si="123">IMABS(Z84)</f>
        <v>1.0000000054502358</v>
      </c>
      <c r="AB84" s="4">
        <f t="shared" ref="AB84:AB147" si="124">IMARGUMENT(Z84)</f>
        <v>1.2279683909364946E-4</v>
      </c>
      <c r="AC84" s="47" t="str">
        <f t="shared" ref="AC84:AC147" si="125">(IMDIV(IMPRODUCT(P84,T84,W84),IMPRODUCT(Q84,Z84)))</f>
        <v>29,625830885424-33,1916557619487i</v>
      </c>
      <c r="AD84" s="20">
        <f t="shared" ref="AD84:AD147" si="126">20*LOG(IMABS(AC84))</f>
        <v>32.965282711355371</v>
      </c>
      <c r="AE84" s="43">
        <f t="shared" ref="AE84:AE147" si="127">(180/PI())*IMARGUMENT(AC84)</f>
        <v>-48.248899435642087</v>
      </c>
      <c r="AF84" t="str">
        <f t="shared" si="108"/>
        <v>223,849857273222</v>
      </c>
      <c r="AG84" t="str">
        <f t="shared" si="109"/>
        <v>1+1,13370509133609i</v>
      </c>
      <c r="AH84">
        <f t="shared" ref="AH84:AH147" si="128">IMABS(AG84)</f>
        <v>1.5117166514004443</v>
      </c>
      <c r="AI84">
        <f t="shared" ref="AI84:AI147" si="129">IMARGUMENT(AG84)</f>
        <v>0.84797967791825257</v>
      </c>
      <c r="AJ84" t="str">
        <f t="shared" si="110"/>
        <v>1+0,00028719697970735i</v>
      </c>
      <c r="AK84">
        <f t="shared" ref="AK84:AK147" si="130">IMABS(AJ84)</f>
        <v>1.0000000412410517</v>
      </c>
      <c r="AL84">
        <f t="shared" ref="AL84:AL147" si="131">IMARGUMENT(AJ84)</f>
        <v>2.8719697181114656E-4</v>
      </c>
      <c r="AM84" t="str">
        <f t="shared" si="111"/>
        <v>1-0,000188770533815472i</v>
      </c>
      <c r="AN84">
        <f t="shared" ref="AN84:AN147" si="132">IMABS(AM84)</f>
        <v>1.0000000178171571</v>
      </c>
      <c r="AO84">
        <f t="shared" ref="AO84:AO147" si="133">IMARGUMENT(AM84)</f>
        <v>-1.8877053157323587E-4</v>
      </c>
      <c r="AP84" s="41" t="str">
        <f t="shared" ref="AP84:AP147" si="134">(IMDIV(IMPRODUCT(AF84,AJ84,AM84),IMPRODUCT(AG84)))</f>
        <v>97,9635490465283-111,039741573537i</v>
      </c>
      <c r="AQ84">
        <f t="shared" ref="AQ84:AQ147" si="135">20*LOG(IMABS(AP84))</f>
        <v>43.409729013037257</v>
      </c>
      <c r="AR84" s="43">
        <f t="shared" ref="AR84:AR147" si="136">(180/PI())*IMARGUMENT(AP84)</f>
        <v>-48.580017237960604</v>
      </c>
      <c r="AS84" t="str">
        <f t="shared" si="112"/>
        <v>-0,0000166666666666667</v>
      </c>
      <c r="AT84" t="str">
        <f t="shared" si="113"/>
        <v>2,88058570646472E-07i</v>
      </c>
      <c r="AU84">
        <f t="shared" ref="AU84:AU147" si="137">IMABS(AT84)</f>
        <v>2.8805857064647201E-7</v>
      </c>
      <c r="AV84">
        <f t="shared" ref="AV84:AV147" si="138">IMARGUMENT(AT84)</f>
        <v>1.5707963267948966</v>
      </c>
      <c r="AW84" t="str">
        <f t="shared" si="114"/>
        <v>1+0,000188983057434547i</v>
      </c>
      <c r="AX84">
        <f t="shared" ref="AX84:AX147" si="139">IMABS(AW84)</f>
        <v>1.0000000178572979</v>
      </c>
      <c r="AY84">
        <f t="shared" ref="AY84:AY147" si="140">IMARGUMENT(AW84)</f>
        <v>1.889830551847292E-4</v>
      </c>
      <c r="AZ84" t="str">
        <f t="shared" si="115"/>
        <v>1+0,0631833355356169i</v>
      </c>
      <c r="BA84">
        <f t="shared" ref="BA84:BA147" si="141">IMABS(AZ84)</f>
        <v>1.0019940787696335</v>
      </c>
      <c r="BB84">
        <f t="shared" ref="BB84:BB147" si="142">IMARGUMENT(AZ84)</f>
        <v>6.3099457577017792E-2</v>
      </c>
      <c r="BC84" s="41" t="str">
        <f t="shared" ref="BC84:BC147" si="143">IMPRODUCT(AS84,IMDIV(AZ84,IMPRODUCT(AT84,AW84)))</f>
        <v>-3,64476514197502+57,8592924476346i</v>
      </c>
      <c r="BD84">
        <f t="shared" ref="BD84:BD147" si="144">20*LOG(IMABS(BC84))</f>
        <v>35.264661911626355</v>
      </c>
      <c r="BE84" s="43">
        <f t="shared" ref="BE84:BE147" si="145">(180/PI())*IMARGUMENT(BC84)</f>
        <v>93.604504677266306</v>
      </c>
      <c r="BF84" s="41" t="str">
        <f t="shared" ref="BF84:BF147" si="146">IMPRODUCT(AC84,BC84)</f>
        <v>1812,46652183857+1835,1054031295i</v>
      </c>
      <c r="BG84" s="20">
        <f t="shared" ref="BG84:BG147" si="147">20*LOG(IMABS(BF84))</f>
        <v>68.229944622981748</v>
      </c>
      <c r="BH84" s="43">
        <f t="shared" ref="BH84:BH147" si="148">(180/PI())*IMARGUMENT(BF84)</f>
        <v>45.355605241624197</v>
      </c>
      <c r="BI84" s="41" t="str">
        <f t="shared" si="101"/>
        <v>6067,6267522641+6072,81541295242i</v>
      </c>
      <c r="BJ84" s="20">
        <f t="shared" ref="BJ84:BJ147" si="149">20*LOG(IMABS(BI84))</f>
        <v>78.674390924663612</v>
      </c>
      <c r="BK84" s="43">
        <f t="shared" si="102"/>
        <v>45.024487439305723</v>
      </c>
      <c r="BL84">
        <f t="shared" ref="BL84:BL147" si="150">IF($B$31=0,BJ84,BG84)</f>
        <v>68.229944622981748</v>
      </c>
      <c r="BM84" s="43">
        <f t="shared" ref="BM84:BM147" si="151">IF($B$31=0,BK84,BH84)</f>
        <v>45.355605241624197</v>
      </c>
    </row>
    <row r="85" spans="14:65" x14ac:dyDescent="0.25">
      <c r="N85" s="9">
        <v>67</v>
      </c>
      <c r="O85" s="34">
        <f t="shared" si="116"/>
        <v>46.773514128719818</v>
      </c>
      <c r="P85" s="33" t="str">
        <f t="shared" si="103"/>
        <v>66,7780509511648</v>
      </c>
      <c r="Q85" s="4" t="str">
        <f t="shared" si="104"/>
        <v>1+1,14539676039251i</v>
      </c>
      <c r="R85" s="4">
        <f t="shared" si="117"/>
        <v>1.5205044356126214</v>
      </c>
      <c r="S85" s="4">
        <f t="shared" si="118"/>
        <v>0.85306619255167448</v>
      </c>
      <c r="T85" s="4" t="str">
        <f t="shared" si="105"/>
        <v>1+0,000293886656738729i</v>
      </c>
      <c r="U85" s="4">
        <f t="shared" si="119"/>
        <v>1.0000000431846825</v>
      </c>
      <c r="V85" s="4">
        <f t="shared" si="120"/>
        <v>2.938866482777946E-4</v>
      </c>
      <c r="W85" t="str">
        <f t="shared" si="106"/>
        <v>1-0,000639312775097258i</v>
      </c>
      <c r="X85" s="4">
        <f t="shared" si="121"/>
        <v>1.0000002043603913</v>
      </c>
      <c r="Y85" s="4">
        <f t="shared" si="122"/>
        <v>-6.3931268799713122E-4</v>
      </c>
      <c r="Z85" t="str">
        <f t="shared" si="107"/>
        <v>0,999999997812238+0,000125657145287821i</v>
      </c>
      <c r="AA85" s="4">
        <f t="shared" si="123"/>
        <v>1.000000005707097</v>
      </c>
      <c r="AB85" s="4">
        <f t="shared" si="124"/>
        <v>1.2565714490136529E-4</v>
      </c>
      <c r="AC85" s="47" t="str">
        <f t="shared" si="125"/>
        <v>28,8684864341952-33,0973288625113i</v>
      </c>
      <c r="AD85" s="20">
        <f t="shared" si="126"/>
        <v>32.852923055761096</v>
      </c>
      <c r="AE85" s="43">
        <f t="shared" si="127"/>
        <v>-48.904083556783668</v>
      </c>
      <c r="AF85" t="str">
        <f t="shared" si="108"/>
        <v>223,849857273222</v>
      </c>
      <c r="AG85" t="str">
        <f t="shared" si="109"/>
        <v>1+1,16011247527723i</v>
      </c>
      <c r="AH85">
        <f t="shared" si="128"/>
        <v>1.5316203691822141</v>
      </c>
      <c r="AI85">
        <f t="shared" si="129"/>
        <v>0.85938514999006765</v>
      </c>
      <c r="AJ85" t="str">
        <f t="shared" si="110"/>
        <v>1+0,000293886656738729i</v>
      </c>
      <c r="AK85">
        <f t="shared" si="130"/>
        <v>1.0000000431846825</v>
      </c>
      <c r="AL85">
        <f t="shared" si="131"/>
        <v>2.938866482777946E-4</v>
      </c>
      <c r="AM85" t="str">
        <f t="shared" si="111"/>
        <v>1-0,000193167564402469i</v>
      </c>
      <c r="AN85">
        <f t="shared" si="132"/>
        <v>1.0000000186568538</v>
      </c>
      <c r="AO85">
        <f t="shared" si="133"/>
        <v>-1.9316756199986969E-4</v>
      </c>
      <c r="AP85" s="41" t="str">
        <f t="shared" si="134"/>
        <v>95,4344823033257-110,692187537268i</v>
      </c>
      <c r="AQ85">
        <f t="shared" si="135"/>
        <v>43.296114304560945</v>
      </c>
      <c r="AR85" s="43">
        <f t="shared" si="136"/>
        <v>-49.233371292087952</v>
      </c>
      <c r="AS85" t="str">
        <f t="shared" si="112"/>
        <v>-0,0000166666666666667</v>
      </c>
      <c r="AT85" t="str">
        <f t="shared" si="113"/>
        <v>2,94768316708945E-07i</v>
      </c>
      <c r="AU85">
        <f t="shared" si="137"/>
        <v>2.94768316708945E-7</v>
      </c>
      <c r="AV85">
        <f t="shared" si="138"/>
        <v>1.5707963267948966</v>
      </c>
      <c r="AW85" t="str">
        <f t="shared" si="114"/>
        <v>1+0,000193385038332563i</v>
      </c>
      <c r="AX85">
        <f t="shared" si="139"/>
        <v>1.0000000186988864</v>
      </c>
      <c r="AY85">
        <f t="shared" si="140"/>
        <v>1.933850359218398E-4</v>
      </c>
      <c r="AZ85" t="str">
        <f t="shared" si="115"/>
        <v>1+0,0646550644825203i</v>
      </c>
      <c r="BA85">
        <f t="shared" si="141"/>
        <v>1.002087958895445</v>
      </c>
      <c r="BB85">
        <f t="shared" si="142"/>
        <v>6.4565197741648664E-2</v>
      </c>
      <c r="BC85" s="41" t="str">
        <f t="shared" si="143"/>
        <v>-3,64476513584024+56,5422858811576i</v>
      </c>
      <c r="BD85">
        <f t="shared" si="144"/>
        <v>35.065475675806084</v>
      </c>
      <c r="BE85" s="43">
        <f t="shared" si="145"/>
        <v>93.688233187644741</v>
      </c>
      <c r="BF85" s="41" t="str">
        <f t="shared" si="146"/>
        <v>1766,17977756697+1752,92220324611i</v>
      </c>
      <c r="BG85" s="20">
        <f t="shared" si="147"/>
        <v>67.918398731567194</v>
      </c>
      <c r="BH85" s="43">
        <f t="shared" si="148"/>
        <v>44.784149630861187</v>
      </c>
      <c r="BI85" s="41" t="str">
        <f t="shared" si="101"/>
        <v>5910,95303868679+5799,53080726064i</v>
      </c>
      <c r="BJ85" s="20">
        <f t="shared" si="149"/>
        <v>78.361589980367029</v>
      </c>
      <c r="BK85" s="43">
        <f t="shared" si="102"/>
        <v>44.454861895556817</v>
      </c>
      <c r="BL85">
        <f t="shared" si="150"/>
        <v>67.918398731567194</v>
      </c>
      <c r="BM85" s="43">
        <f t="shared" si="151"/>
        <v>44.784149630861187</v>
      </c>
    </row>
    <row r="86" spans="14:65" x14ac:dyDescent="0.25">
      <c r="N86" s="9">
        <v>68</v>
      </c>
      <c r="O86" s="34">
        <f t="shared" si="116"/>
        <v>47.863009232263877</v>
      </c>
      <c r="P86" s="33" t="str">
        <f t="shared" si="103"/>
        <v>66,7780509511648</v>
      </c>
      <c r="Q86" s="4" t="str">
        <f t="shared" si="104"/>
        <v>1+1,17207647829073i</v>
      </c>
      <c r="R86" s="4">
        <f t="shared" si="117"/>
        <v>1.5407022006093196</v>
      </c>
      <c r="S86" s="4">
        <f t="shared" si="118"/>
        <v>0.8644551567457055</v>
      </c>
      <c r="T86" s="4" t="str">
        <f t="shared" si="105"/>
        <v>1+0,000300732156365561i</v>
      </c>
      <c r="U86" s="4">
        <f t="shared" si="119"/>
        <v>1.0000000452199138</v>
      </c>
      <c r="V86" s="4">
        <f t="shared" si="120"/>
        <v>3.0073214729950647E-4</v>
      </c>
      <c r="W86" t="str">
        <f t="shared" si="106"/>
        <v>1-0,000654204282632586i</v>
      </c>
      <c r="X86" s="4">
        <f t="shared" si="121"/>
        <v>1.0000002139915989</v>
      </c>
      <c r="Y86" s="4">
        <f t="shared" si="122"/>
        <v>-6.5420418930311976E-4</v>
      </c>
      <c r="Z86" t="str">
        <f t="shared" si="107"/>
        <v>0,999999997709132+0,000128584076203032i</v>
      </c>
      <c r="AA86" s="4">
        <f t="shared" si="123"/>
        <v>1.0000000059760641</v>
      </c>
      <c r="AB86" s="4">
        <f t="shared" si="124"/>
        <v>1.2858407578893727E-4</v>
      </c>
      <c r="AC86" s="47" t="str">
        <f t="shared" si="125"/>
        <v>28,1158323027374-32,9860964845055i</v>
      </c>
      <c r="AD86" s="20">
        <f t="shared" si="126"/>
        <v>32.738302925304296</v>
      </c>
      <c r="AE86" s="43">
        <f t="shared" si="127"/>
        <v>-49.55725184088687</v>
      </c>
      <c r="AF86" t="str">
        <f t="shared" si="108"/>
        <v>223,849857273222</v>
      </c>
      <c r="AG86" t="str">
        <f t="shared" si="109"/>
        <v>1+1,18713496620867i</v>
      </c>
      <c r="AH86">
        <f t="shared" si="128"/>
        <v>1.5521885929213819</v>
      </c>
      <c r="AI86">
        <f t="shared" si="129"/>
        <v>0.87075197334784704</v>
      </c>
      <c r="AJ86" t="str">
        <f t="shared" si="110"/>
        <v>1+0,000300732156365561i</v>
      </c>
      <c r="AK86">
        <f t="shared" si="130"/>
        <v>1.0000000452199138</v>
      </c>
      <c r="AL86">
        <f t="shared" si="131"/>
        <v>3.0073214729950647E-4</v>
      </c>
      <c r="AM86" t="str">
        <f t="shared" si="111"/>
        <v>1-0,000197667014988988i</v>
      </c>
      <c r="AN86">
        <f t="shared" si="132"/>
        <v>1.0000000195361243</v>
      </c>
      <c r="AO86">
        <f t="shared" si="133"/>
        <v>-1.9766701241455647E-4</v>
      </c>
      <c r="AP86" s="41" t="str">
        <f t="shared" si="134"/>
        <v>92,9225258320855-110,28850844651i</v>
      </c>
      <c r="AQ86">
        <f t="shared" si="135"/>
        <v>43.180247249341861</v>
      </c>
      <c r="AR86" s="43">
        <f t="shared" si="136"/>
        <v>-49.884507878275706</v>
      </c>
      <c r="AS86" t="str">
        <f t="shared" si="112"/>
        <v>-0,0000166666666666667</v>
      </c>
      <c r="AT86" t="str">
        <f t="shared" si="113"/>
        <v>3,01634352834658E-07i</v>
      </c>
      <c r="AU86">
        <f t="shared" si="137"/>
        <v>3.01634352834658E-7</v>
      </c>
      <c r="AV86">
        <f t="shared" si="138"/>
        <v>1.5707963267948966</v>
      </c>
      <c r="AW86" t="str">
        <f t="shared" si="114"/>
        <v>1+0,000197889554537657i</v>
      </c>
      <c r="AX86">
        <f t="shared" si="139"/>
        <v>1.0000000195801377</v>
      </c>
      <c r="AY86">
        <f t="shared" si="140"/>
        <v>1.9788955195452056E-4</v>
      </c>
      <c r="AZ86" t="str">
        <f t="shared" si="115"/>
        <v>1+0,0661610744004234i</v>
      </c>
      <c r="BA86">
        <f t="shared" si="141"/>
        <v>1.0021862540295683</v>
      </c>
      <c r="BB86">
        <f t="shared" si="142"/>
        <v>6.6064791794357883E-2</v>
      </c>
      <c r="BC86" s="41" t="str">
        <f t="shared" si="143"/>
        <v>-3,64476512941634+55,2552587830801i</v>
      </c>
      <c r="BD86">
        <f t="shared" si="144"/>
        <v>34.866327628110113</v>
      </c>
      <c r="BE86" s="43">
        <f t="shared" si="145"/>
        <v>93.77389550809049</v>
      </c>
      <c r="BF86" s="41" t="str">
        <f t="shared" si="146"/>
        <v>1720,17969233347+1673,77416401173i</v>
      </c>
      <c r="BG86" s="20">
        <f t="shared" si="147"/>
        <v>67.604630553414424</v>
      </c>
      <c r="BH86" s="43">
        <f t="shared" si="148"/>
        <v>44.216643667203613</v>
      </c>
      <c r="BI86" s="41" t="str">
        <f t="shared" si="101"/>
        <v>5755,33929312175+5536,43392139051i</v>
      </c>
      <c r="BJ86" s="20">
        <f t="shared" si="149"/>
        <v>78.046574877451974</v>
      </c>
      <c r="BK86" s="43">
        <f t="shared" si="102"/>
        <v>43.889387629814806</v>
      </c>
      <c r="BL86">
        <f t="shared" si="150"/>
        <v>67.604630553414424</v>
      </c>
      <c r="BM86" s="43">
        <f t="shared" si="151"/>
        <v>44.216643667203613</v>
      </c>
    </row>
    <row r="87" spans="14:65" x14ac:dyDescent="0.25">
      <c r="N87" s="9">
        <v>69</v>
      </c>
      <c r="O87" s="34">
        <f t="shared" si="116"/>
        <v>48.977881936844632</v>
      </c>
      <c r="P87" s="33" t="str">
        <f t="shared" si="103"/>
        <v>66,7780509511648</v>
      </c>
      <c r="Q87" s="4" t="str">
        <f t="shared" si="104"/>
        <v>1+1,19937764665201i</v>
      </c>
      <c r="R87" s="4">
        <f t="shared" si="117"/>
        <v>1.5615718809227175</v>
      </c>
      <c r="S87" s="4">
        <f t="shared" si="118"/>
        <v>0.87580290966382324</v>
      </c>
      <c r="T87" s="4" t="str">
        <f t="shared" si="105"/>
        <v>1+0,000307737108162359i</v>
      </c>
      <c r="U87" s="4">
        <f t="shared" si="119"/>
        <v>1.0000000473510626</v>
      </c>
      <c r="V87" s="4">
        <f t="shared" si="120"/>
        <v>3.0773709844790655E-4</v>
      </c>
      <c r="W87" t="str">
        <f t="shared" si="106"/>
        <v>1-0,000669442657937984i</v>
      </c>
      <c r="X87" s="4">
        <f t="shared" si="121"/>
        <v>1.000000224076711</v>
      </c>
      <c r="Y87" s="4">
        <f t="shared" si="122"/>
        <v>-6.6944255793366034E-4</v>
      </c>
      <c r="Z87" t="str">
        <f t="shared" si="107"/>
        <v>0,999999997601167+0,000131579184097457i</v>
      </c>
      <c r="AA87" s="4">
        <f t="shared" si="123"/>
        <v>1.0000000062577077</v>
      </c>
      <c r="AB87" s="4">
        <f t="shared" si="124"/>
        <v>1.3157918365374645E-4</v>
      </c>
      <c r="AC87" s="47" t="str">
        <f t="shared" si="125"/>
        <v>27,3686150816233-32,858245743154i</v>
      </c>
      <c r="AD87" s="20">
        <f t="shared" si="126"/>
        <v>32.621437484654891</v>
      </c>
      <c r="AE87" s="43">
        <f t="shared" si="127"/>
        <v>-50.208073537164871</v>
      </c>
      <c r="AF87" t="str">
        <f t="shared" si="108"/>
        <v>223,849857273222</v>
      </c>
      <c r="AG87" t="str">
        <f t="shared" si="109"/>
        <v>1+1,21478689181278i</v>
      </c>
      <c r="AH87">
        <f t="shared" si="128"/>
        <v>1.5734380167391899</v>
      </c>
      <c r="AI87">
        <f t="shared" si="129"/>
        <v>0.88207442649993695</v>
      </c>
      <c r="AJ87" t="str">
        <f t="shared" si="110"/>
        <v>1+0,000307737108162359i</v>
      </c>
      <c r="AK87">
        <f t="shared" si="130"/>
        <v>1.0000000473510626</v>
      </c>
      <c r="AL87">
        <f t="shared" si="131"/>
        <v>3.0773709844790655E-4</v>
      </c>
      <c r="AM87" t="str">
        <f t="shared" si="111"/>
        <v>1-0,000202271271243286i</v>
      </c>
      <c r="AN87">
        <f t="shared" si="132"/>
        <v>1.0000000204568333</v>
      </c>
      <c r="AO87">
        <f t="shared" si="133"/>
        <v>-2.0227126848473292E-4</v>
      </c>
      <c r="AP87" s="41" t="str">
        <f t="shared" si="134"/>
        <v>90,4301410098246-109,829741410975i</v>
      </c>
      <c r="AQ87">
        <f t="shared" si="135"/>
        <v>43.06214424127198</v>
      </c>
      <c r="AR87" s="43">
        <f t="shared" si="136"/>
        <v>-50.533099107929274</v>
      </c>
      <c r="AS87" t="str">
        <f t="shared" si="112"/>
        <v>-0,0000166666666666667</v>
      </c>
      <c r="AT87" t="str">
        <f t="shared" si="113"/>
        <v>3,08660319486846E-07i</v>
      </c>
      <c r="AU87">
        <f t="shared" si="137"/>
        <v>3.0866031948684601E-7</v>
      </c>
      <c r="AV87">
        <f t="shared" si="138"/>
        <v>1.5707963267948966</v>
      </c>
      <c r="AW87" t="str">
        <f t="shared" si="114"/>
        <v>1+0,000202498994403945i</v>
      </c>
      <c r="AX87">
        <f t="shared" si="139"/>
        <v>1.0000000205029211</v>
      </c>
      <c r="AY87">
        <f t="shared" si="140"/>
        <v>2.0249899163606443E-4</v>
      </c>
      <c r="AZ87" t="str">
        <f t="shared" si="115"/>
        <v>1+0,0677021637957189i</v>
      </c>
      <c r="BA87">
        <f t="shared" si="141"/>
        <v>1.0022891713386024</v>
      </c>
      <c r="BB87">
        <f t="shared" si="142"/>
        <v>6.7599007846481332E-2</v>
      </c>
      <c r="BC87" s="41" t="str">
        <f t="shared" si="143"/>
        <v>-3,64476512268967+53,9975287545993i</v>
      </c>
      <c r="BD87">
        <f t="shared" si="144"/>
        <v>34.667219552595149</v>
      </c>
      <c r="BE87" s="43">
        <f t="shared" si="145"/>
        <v>93.861535511298712</v>
      </c>
      <c r="BF87" s="41" t="str">
        <f t="shared" si="146"/>
        <v>1674,51189563583+1597,59816792093i</v>
      </c>
      <c r="BG87" s="20">
        <f t="shared" si="147"/>
        <v>67.288657037250047</v>
      </c>
      <c r="BH87" s="43">
        <f t="shared" si="148"/>
        <v>43.653461974133862</v>
      </c>
      <c r="BI87" s="41" t="str">
        <f t="shared" si="101"/>
        <v>5600,93799595681+5283,30775038922i</v>
      </c>
      <c r="BJ87" s="20">
        <f t="shared" si="149"/>
        <v>77.729363793867122</v>
      </c>
      <c r="BK87" s="43">
        <f t="shared" si="102"/>
        <v>43.328436403369444</v>
      </c>
      <c r="BL87">
        <f t="shared" si="150"/>
        <v>67.288657037250047</v>
      </c>
      <c r="BM87" s="43">
        <f t="shared" si="151"/>
        <v>43.653461974133862</v>
      </c>
    </row>
    <row r="88" spans="14:65" x14ac:dyDescent="0.25">
      <c r="N88" s="9">
        <v>70</v>
      </c>
      <c r="O88" s="34">
        <f t="shared" si="116"/>
        <v>50.118723362727238</v>
      </c>
      <c r="P88" s="33" t="str">
        <f t="shared" si="103"/>
        <v>66,7780509511648</v>
      </c>
      <c r="Q88" s="4" t="str">
        <f t="shared" si="104"/>
        <v>1+1,22731474091718i</v>
      </c>
      <c r="R88" s="4">
        <f t="shared" si="117"/>
        <v>1.5831302767847644</v>
      </c>
      <c r="S88" s="4">
        <f t="shared" si="118"/>
        <v>0.8871037787100392</v>
      </c>
      <c r="T88" s="4" t="str">
        <f t="shared" si="105"/>
        <v>1+0,000314905226247286i</v>
      </c>
      <c r="U88" s="4">
        <f t="shared" si="119"/>
        <v>1.0000000495826495</v>
      </c>
      <c r="V88" s="4">
        <f t="shared" si="120"/>
        <v>3.1490521583806274E-4</v>
      </c>
      <c r="W88" t="str">
        <f t="shared" si="106"/>
        <v>1-0,00068503598060174i</v>
      </c>
      <c r="X88" s="4">
        <f t="shared" si="121"/>
        <v>1.00000023463712</v>
      </c>
      <c r="Y88" s="4">
        <f t="shared" si="122"/>
        <v>-6.8503587344517791E-4</v>
      </c>
      <c r="Z88" t="str">
        <f t="shared" si="107"/>
        <v>0,999999997488114+0,000134644057016947i</v>
      </c>
      <c r="AA88" s="4">
        <f t="shared" si="123"/>
        <v>1.0000000065526251</v>
      </c>
      <c r="AB88" s="4">
        <f t="shared" si="124"/>
        <v>1.346440565415025E-4</v>
      </c>
      <c r="AC88" s="47" t="str">
        <f t="shared" si="125"/>
        <v>26,6275591823542-32,7141037786562i</v>
      </c>
      <c r="AD88" s="20">
        <f t="shared" si="126"/>
        <v>32.502344101098203</v>
      </c>
      <c r="AE88" s="43">
        <f t="shared" si="127"/>
        <v>-50.856223970918109</v>
      </c>
      <c r="AF88" t="str">
        <f t="shared" si="108"/>
        <v>223,849857273222</v>
      </c>
      <c r="AG88" t="str">
        <f t="shared" si="109"/>
        <v>1+1,24308291350654i</v>
      </c>
      <c r="AH88">
        <f t="shared" si="128"/>
        <v>1.5953855740390497</v>
      </c>
      <c r="AI88">
        <f t="shared" si="129"/>
        <v>0.89334690141251916</v>
      </c>
      <c r="AJ88" t="str">
        <f t="shared" si="110"/>
        <v>1+0,000314905226247286i</v>
      </c>
      <c r="AK88">
        <f t="shared" si="130"/>
        <v>1.0000000495826495</v>
      </c>
      <c r="AL88">
        <f t="shared" si="131"/>
        <v>3.1490521583806274E-4</v>
      </c>
      <c r="AM88" t="str">
        <f t="shared" si="111"/>
        <v>1-0,000206982774402974i</v>
      </c>
      <c r="AN88">
        <f t="shared" si="132"/>
        <v>1.0000000214209341</v>
      </c>
      <c r="AO88">
        <f t="shared" si="133"/>
        <v>-2.0698277144713112E-4</v>
      </c>
      <c r="AP88" s="41" t="str">
        <f t="shared" si="134"/>
        <v>87,9597098789292-109,317054002047i</v>
      </c>
      <c r="AQ88">
        <f t="shared" si="135"/>
        <v>42.941823838785929</v>
      </c>
      <c r="AR88" s="43">
        <f t="shared" si="136"/>
        <v>-51.178823591448555</v>
      </c>
      <c r="AS88" t="str">
        <f t="shared" si="112"/>
        <v>-0,0000166666666666667</v>
      </c>
      <c r="AT88" t="str">
        <f t="shared" si="113"/>
        <v>3,15849941926028E-07i</v>
      </c>
      <c r="AU88">
        <f t="shared" si="137"/>
        <v>3.1584994192602799E-7</v>
      </c>
      <c r="AV88">
        <f t="shared" si="138"/>
        <v>1.5707963267948966</v>
      </c>
      <c r="AW88" t="str">
        <f t="shared" si="114"/>
        <v>1+0,000207215801917456i</v>
      </c>
      <c r="AX88">
        <f t="shared" si="139"/>
        <v>1.000000021469194</v>
      </c>
      <c r="AY88">
        <f t="shared" si="140"/>
        <v>2.0721579895161856E-4</v>
      </c>
      <c r="AZ88" t="str">
        <f t="shared" si="115"/>
        <v>1+0,0692791497744029i</v>
      </c>
      <c r="BA88">
        <f t="shared" si="141"/>
        <v>1.0023969276656148</v>
      </c>
      <c r="BB88">
        <f t="shared" si="142"/>
        <v>6.9168630453286584E-2</v>
      </c>
      <c r="BC88" s="41" t="str">
        <f t="shared" si="143"/>
        <v>-3,64476511564601+52,7684289306058i</v>
      </c>
      <c r="BD88">
        <f t="shared" si="144"/>
        <v>34.46815331589405</v>
      </c>
      <c r="BE88" s="43">
        <f t="shared" si="145"/>
        <v>93.951198008945028</v>
      </c>
      <c r="BF88" s="41" t="str">
        <f t="shared" si="146"/>
        <v>1629,22066144984+1524,32968855163i</v>
      </c>
      <c r="BG88" s="20">
        <f t="shared" si="147"/>
        <v>66.970497416992274</v>
      </c>
      <c r="BH88" s="43">
        <f t="shared" si="148"/>
        <v>43.09497403802694</v>
      </c>
      <c r="BI88" s="41" t="str">
        <f t="shared" si="101"/>
        <v>5447,89671286115+5039,93068447483i</v>
      </c>
      <c r="BJ88" s="20">
        <f t="shared" si="149"/>
        <v>77.409977154679979</v>
      </c>
      <c r="BK88" s="43">
        <f t="shared" si="102"/>
        <v>42.772374417496451</v>
      </c>
      <c r="BL88">
        <f t="shared" si="150"/>
        <v>66.970497416992274</v>
      </c>
      <c r="BM88" s="43">
        <f t="shared" si="151"/>
        <v>43.09497403802694</v>
      </c>
    </row>
    <row r="89" spans="14:65" x14ac:dyDescent="0.25">
      <c r="N89" s="9">
        <v>71</v>
      </c>
      <c r="O89" s="34">
        <f t="shared" si="116"/>
        <v>51.28613839913649</v>
      </c>
      <c r="P89" s="33" t="str">
        <f t="shared" si="103"/>
        <v>66,7780509511648</v>
      </c>
      <c r="Q89" s="4" t="str">
        <f t="shared" si="104"/>
        <v>1+1,25590257370342i</v>
      </c>
      <c r="R89" s="4">
        <f t="shared" si="117"/>
        <v>1.6053944296137552</v>
      </c>
      <c r="S89" s="4">
        <f t="shared" si="118"/>
        <v>0.89835221065616555</v>
      </c>
      <c r="T89" s="4" t="str">
        <f t="shared" si="105"/>
        <v>1+0,000322240311251433i</v>
      </c>
      <c r="U89" s="4">
        <f t="shared" si="119"/>
        <v>1.0000000519194077</v>
      </c>
      <c r="V89" s="4">
        <f t="shared" si="120"/>
        <v>3.2224030009774934E-4</v>
      </c>
      <c r="W89" t="str">
        <f t="shared" si="106"/>
        <v>1-0,000700992518409935i</v>
      </c>
      <c r="X89" s="4">
        <f t="shared" si="121"/>
        <v>1.0000002456952253</v>
      </c>
      <c r="Y89" s="4">
        <f t="shared" si="122"/>
        <v>-7.009924035896116E-4</v>
      </c>
      <c r="Z89" t="str">
        <f t="shared" si="107"/>
        <v>0,999999997369732+0,000137780319997692i</v>
      </c>
      <c r="AA89" s="4">
        <f t="shared" si="123"/>
        <v>1.0000000068614403</v>
      </c>
      <c r="AB89" s="4">
        <f t="shared" si="124"/>
        <v>1.377803194882441E-4</v>
      </c>
      <c r="AC89" s="47" t="str">
        <f t="shared" si="125"/>
        <v>25,8933641771936-32,5540357489323i</v>
      </c>
      <c r="AD89" s="20">
        <f t="shared" si="126"/>
        <v>32.381042274104821</v>
      </c>
      <c r="AE89" s="43">
        <f t="shared" si="127"/>
        <v>-51.501385314664255</v>
      </c>
      <c r="AF89" t="str">
        <f t="shared" si="108"/>
        <v>223,849857273222</v>
      </c>
      <c r="AG89" t="str">
        <f t="shared" si="109"/>
        <v>1+1,27203803421518i</v>
      </c>
      <c r="AH89">
        <f t="shared" si="128"/>
        <v>1.6180484419478978</v>
      </c>
      <c r="AI89">
        <f t="shared" si="129"/>
        <v>0.90456391657060597</v>
      </c>
      <c r="AJ89" t="str">
        <f t="shared" si="110"/>
        <v>1+0,000322240311251433i</v>
      </c>
      <c r="AK89">
        <f t="shared" si="130"/>
        <v>1.0000000519194077</v>
      </c>
      <c r="AL89">
        <f t="shared" si="131"/>
        <v>3.2224030009774934E-4</v>
      </c>
      <c r="AM89" t="str">
        <f t="shared" si="111"/>
        <v>1-0,000211804022569392i</v>
      </c>
      <c r="AN89">
        <f t="shared" si="132"/>
        <v>1.0000000224304717</v>
      </c>
      <c r="AO89">
        <f t="shared" si="133"/>
        <v>-2.118040194021493E-4</v>
      </c>
      <c r="AP89" s="41" t="str">
        <f t="shared" si="134"/>
        <v>85,5135266145458-108,751737146115i</v>
      </c>
      <c r="AQ89">
        <f t="shared" si="135"/>
        <v>42.819306690108888</v>
      </c>
      <c r="AR89" s="43">
        <f t="shared" si="136"/>
        <v>-51.821367186530637</v>
      </c>
      <c r="AS89" t="str">
        <f t="shared" si="112"/>
        <v>-0,0000166666666666667</v>
      </c>
      <c r="AT89" t="str">
        <f t="shared" si="113"/>
        <v>3,23207032185188E-07i</v>
      </c>
      <c r="AU89">
        <f t="shared" si="137"/>
        <v>3.23207032185188E-7</v>
      </c>
      <c r="AV89">
        <f t="shared" si="138"/>
        <v>1.5707963267948966</v>
      </c>
      <c r="AW89" t="str">
        <f t="shared" si="114"/>
        <v>1+0,00021204247799197i</v>
      </c>
      <c r="AX89">
        <f t="shared" si="139"/>
        <v>1.0000000224810059</v>
      </c>
      <c r="AY89">
        <f t="shared" si="140"/>
        <v>2.120424748140179E-4</v>
      </c>
      <c r="AZ89" t="str">
        <f t="shared" si="115"/>
        <v>1+0,0708928684753152i</v>
      </c>
      <c r="BA89">
        <f t="shared" si="141"/>
        <v>1.0025097499778535</v>
      </c>
      <c r="BB89">
        <f t="shared" si="142"/>
        <v>7.0774460895240671E-2</v>
      </c>
      <c r="BC89" s="41" t="str">
        <f t="shared" si="143"/>
        <v>-3,64476510827036+51,5673076261039i</v>
      </c>
      <c r="BD89">
        <f t="shared" si="144"/>
        <v>34.269130870964048</v>
      </c>
      <c r="BE89" s="43">
        <f t="shared" si="145"/>
        <v>94.042928767726622</v>
      </c>
      <c r="BF89" s="41" t="str">
        <f t="shared" si="146"/>
        <v>1584,3487456476+1453,90288963118i</v>
      </c>
      <c r="BG89" s="20">
        <f t="shared" si="147"/>
        <v>66.650173145068862</v>
      </c>
      <c r="BH89" s="43">
        <f t="shared" si="148"/>
        <v>42.541543453062509</v>
      </c>
      <c r="BI89" s="41" t="str">
        <f t="shared" si="101"/>
        <v>5296,35756619706+4806,07687013926i</v>
      </c>
      <c r="BJ89" s="20">
        <f t="shared" si="149"/>
        <v>77.088437561072936</v>
      </c>
      <c r="BK89" s="43">
        <f t="shared" si="102"/>
        <v>42.221561581195999</v>
      </c>
      <c r="BL89">
        <f t="shared" si="150"/>
        <v>66.650173145068862</v>
      </c>
      <c r="BM89" s="43">
        <f t="shared" si="151"/>
        <v>42.541543453062509</v>
      </c>
    </row>
    <row r="90" spans="14:65" x14ac:dyDescent="0.25">
      <c r="N90" s="9">
        <v>72</v>
      </c>
      <c r="O90" s="34">
        <f t="shared" si="116"/>
        <v>52.480746024977286</v>
      </c>
      <c r="P90" s="33" t="str">
        <f t="shared" si="103"/>
        <v>66,7780509511648</v>
      </c>
      <c r="Q90" s="4" t="str">
        <f t="shared" si="104"/>
        <v>1+1,28515630265808i</v>
      </c>
      <c r="R90" s="4">
        <f t="shared" si="117"/>
        <v>1.6283816267269127</v>
      </c>
      <c r="S90" s="4">
        <f t="shared" si="118"/>
        <v>0.90954278437037295</v>
      </c>
      <c r="T90" s="4" t="str">
        <f t="shared" si="105"/>
        <v>1+0,000329746252333961i</v>
      </c>
      <c r="U90" s="4">
        <f t="shared" si="119"/>
        <v>1.0000000543662939</v>
      </c>
      <c r="V90" s="4">
        <f t="shared" si="120"/>
        <v>3.2974624038257361E-4</v>
      </c>
      <c r="W90" t="str">
        <f t="shared" si="106"/>
        <v>1-0,000717320731730125i</v>
      </c>
      <c r="X90" s="4">
        <f t="shared" si="121"/>
        <v>1.0000002572744831</v>
      </c>
      <c r="Y90" s="4">
        <f t="shared" si="122"/>
        <v>-7.1732060869793355E-4</v>
      </c>
      <c r="Z90" t="str">
        <f t="shared" si="107"/>
        <v>0,999999997245771+0,000140989635927838i</v>
      </c>
      <c r="AA90" s="4">
        <f t="shared" si="123"/>
        <v>1.0000000071848096</v>
      </c>
      <c r="AB90" s="4">
        <f t="shared" si="124"/>
        <v>1.4098963538195479E-4</v>
      </c>
      <c r="AC90" s="47" t="str">
        <f t="shared" si="125"/>
        <v>25,1667023476488-32,3784426222733i</v>
      </c>
      <c r="AD90" s="20">
        <f t="shared" si="126"/>
        <v>32.25755355724435</v>
      </c>
      <c r="AE90" s="43">
        <f t="shared" si="127"/>
        <v>-52.143247317614254</v>
      </c>
      <c r="AF90" t="str">
        <f t="shared" si="108"/>
        <v>223,849857273222</v>
      </c>
      <c r="AG90" t="str">
        <f t="shared" si="109"/>
        <v>1+1,30166760632698i</v>
      </c>
      <c r="AH90">
        <f t="shared" si="128"/>
        <v>1.6414440463692359</v>
      </c>
      <c r="AI90">
        <f t="shared" si="129"/>
        <v>0.91572012927509483</v>
      </c>
      <c r="AJ90" t="str">
        <f t="shared" si="110"/>
        <v>1+0,000329746252333961i</v>
      </c>
      <c r="AK90">
        <f t="shared" si="130"/>
        <v>1.0000000543662939</v>
      </c>
      <c r="AL90">
        <f t="shared" si="131"/>
        <v>3.2974624038257361E-4</v>
      </c>
      <c r="AM90" t="str">
        <f t="shared" si="111"/>
        <v>1-0,000216737572032134i</v>
      </c>
      <c r="AN90">
        <f t="shared" si="132"/>
        <v>1.0000000234875872</v>
      </c>
      <c r="AO90">
        <f t="shared" si="133"/>
        <v>-2.1673756863837231E-4</v>
      </c>
      <c r="AP90" s="41" t="str">
        <f t="shared" si="134"/>
        <v>83,0937897226025-108,135197391901i</v>
      </c>
      <c r="AQ90">
        <f t="shared" si="135"/>
        <v>42.694615451201898</v>
      </c>
      <c r="AR90" s="43">
        <f t="shared" si="136"/>
        <v>-52.460423702697696</v>
      </c>
      <c r="AS90" t="str">
        <f t="shared" si="112"/>
        <v>-0,0000166666666666667</v>
      </c>
      <c r="AT90" t="str">
        <f t="shared" si="113"/>
        <v>3,30735491090963E-07i</v>
      </c>
      <c r="AU90">
        <f t="shared" si="137"/>
        <v>3.3073549109096298E-7</v>
      </c>
      <c r="AV90">
        <f t="shared" si="138"/>
        <v>1.5707963267948966</v>
      </c>
      <c r="AW90" t="str">
        <f t="shared" si="114"/>
        <v>1+0,000216981581795029i</v>
      </c>
      <c r="AX90">
        <f t="shared" si="139"/>
        <v>1.0000000235405031</v>
      </c>
      <c r="AY90">
        <f t="shared" si="140"/>
        <v>2.16981578389792E-4</v>
      </c>
      <c r="AZ90" t="str">
        <f t="shared" si="115"/>
        <v>1+0,0725441755134714i</v>
      </c>
      <c r="BA90">
        <f t="shared" si="141"/>
        <v>1.0026278758347633</v>
      </c>
      <c r="BB90">
        <f t="shared" si="142"/>
        <v>7.2417317458766228E-2</v>
      </c>
      <c r="BC90" s="41" t="str">
        <f t="shared" si="143"/>
        <v>-3,64476510054714+50,3935279906793i</v>
      </c>
      <c r="BD90">
        <f t="shared" si="144"/>
        <v>34.070154260997924</v>
      </c>
      <c r="BE90" s="43">
        <f t="shared" si="145"/>
        <v>94.13677452537253</v>
      </c>
      <c r="BF90" s="41" t="str">
        <f t="shared" si="146"/>
        <v>1539,93723616757+1386,25073686906i</v>
      </c>
      <c r="BG90" s="20">
        <f t="shared" si="147"/>
        <v>66.327707818242274</v>
      </c>
      <c r="BH90" s="43">
        <f t="shared" si="148"/>
        <v>41.993527207758106</v>
      </c>
      <c r="BI90" s="41" t="str">
        <f t="shared" si="101"/>
        <v>5146,45675169325+4581,51661183237i</v>
      </c>
      <c r="BJ90" s="20">
        <f t="shared" si="149"/>
        <v>76.764769712199822</v>
      </c>
      <c r="BK90" s="43">
        <f t="shared" si="102"/>
        <v>41.676350822674863</v>
      </c>
      <c r="BL90">
        <f t="shared" si="150"/>
        <v>66.327707818242274</v>
      </c>
      <c r="BM90" s="43">
        <f t="shared" si="151"/>
        <v>41.993527207758106</v>
      </c>
    </row>
    <row r="91" spans="14:65" x14ac:dyDescent="0.25">
      <c r="N91" s="9">
        <v>73</v>
      </c>
      <c r="O91" s="34">
        <f t="shared" si="116"/>
        <v>53.703179637025293</v>
      </c>
      <c r="P91" s="33" t="str">
        <f t="shared" si="103"/>
        <v>66,7780509511648</v>
      </c>
      <c r="Q91" s="4" t="str">
        <f t="shared" si="104"/>
        <v>1+1,31509143849545i</v>
      </c>
      <c r="R91" s="4">
        <f t="shared" si="117"/>
        <v>1.6521094066689506</v>
      </c>
      <c r="S91" s="4">
        <f t="shared" si="118"/>
        <v>0.92067022275392463</v>
      </c>
      <c r="T91" s="4" t="str">
        <f t="shared" si="105"/>
        <v>1+0,000337427029244183i</v>
      </c>
      <c r="U91" s="4">
        <f t="shared" si="119"/>
        <v>1.0000000569284984</v>
      </c>
      <c r="V91" s="4">
        <f t="shared" si="120"/>
        <v>3.3742701643804077E-4</v>
      </c>
      <c r="W91" t="str">
        <f t="shared" si="106"/>
        <v>1-0,000734029277997139i</v>
      </c>
      <c r="X91" s="4">
        <f t="shared" si="121"/>
        <v>1.0000002693994543</v>
      </c>
      <c r="Y91" s="4">
        <f t="shared" si="122"/>
        <v>-7.340291461657726E-4</v>
      </c>
      <c r="Z91" t="str">
        <f t="shared" si="107"/>
        <v>0,999999997115969+0,000144273706429172i</v>
      </c>
      <c r="AA91" s="4">
        <f t="shared" si="123"/>
        <v>1.0000000075234201</v>
      </c>
      <c r="AB91" s="4">
        <f t="shared" si="124"/>
        <v>1.4427370584424746E-4</v>
      </c>
      <c r="AC91" s="47" t="str">
        <f t="shared" si="125"/>
        <v>24,448216457917-32,1877587941498i</v>
      </c>
      <c r="AD91" s="20">
        <f t="shared" si="126"/>
        <v>32.13190147309308</v>
      </c>
      <c r="AE91" s="43">
        <f t="shared" si="127"/>
        <v>-52.781507989787976</v>
      </c>
      <c r="AF91" t="str">
        <f t="shared" si="108"/>
        <v>223,849857273222</v>
      </c>
      <c r="AG91" t="str">
        <f t="shared" si="109"/>
        <v>1+1,33198733983326i</v>
      </c>
      <c r="AH91">
        <f t="shared" si="128"/>
        <v>1.6655900676565301</v>
      </c>
      <c r="AI91">
        <f t="shared" si="129"/>
        <v>0.92681034711568977</v>
      </c>
      <c r="AJ91" t="str">
        <f t="shared" si="110"/>
        <v>1+0,000337427029244183i</v>
      </c>
      <c r="AK91">
        <f t="shared" si="130"/>
        <v>1.0000000569284984</v>
      </c>
      <c r="AL91">
        <f t="shared" si="131"/>
        <v>3.3742701643804077E-4</v>
      </c>
      <c r="AM91" t="str">
        <f t="shared" si="111"/>
        <v>1-0,000221786038624427i</v>
      </c>
      <c r="AN91">
        <f t="shared" si="132"/>
        <v>1.0000000245945231</v>
      </c>
      <c r="AO91">
        <f t="shared" si="133"/>
        <v>-2.2178603498794583E-4</v>
      </c>
      <c r="AP91" s="41" t="str">
        <f t="shared" si="134"/>
        <v>80,7025950174523-107,468948635692i</v>
      </c>
      <c r="AQ91">
        <f t="shared" si="135"/>
        <v>42.567774697081653</v>
      </c>
      <c r="AR91" s="43">
        <f t="shared" si="136"/>
        <v>-53.095695558608007</v>
      </c>
      <c r="AS91" t="str">
        <f t="shared" si="112"/>
        <v>-0,0000166666666666667</v>
      </c>
      <c r="AT91" t="str">
        <f t="shared" si="113"/>
        <v>3,38439310331916E-07i</v>
      </c>
      <c r="AU91">
        <f t="shared" si="137"/>
        <v>3.3843931033191599E-7</v>
      </c>
      <c r="AV91">
        <f t="shared" si="138"/>
        <v>1.5707963267948966</v>
      </c>
      <c r="AW91" t="str">
        <f t="shared" si="114"/>
        <v>1+0,000222035732104846i</v>
      </c>
      <c r="AX91">
        <f t="shared" si="139"/>
        <v>1.000000024649933</v>
      </c>
      <c r="AY91">
        <f t="shared" si="140"/>
        <v>2.2203572845606881E-4</v>
      </c>
      <c r="AZ91" t="str">
        <f t="shared" si="115"/>
        <v>1+0,0742339464337202i</v>
      </c>
      <c r="BA91">
        <f t="shared" si="141"/>
        <v>1.0027515538771927</v>
      </c>
      <c r="BB91">
        <f t="shared" si="142"/>
        <v>7.4098035715992994E-2</v>
      </c>
      <c r="BC91" s="41" t="str">
        <f t="shared" si="143"/>
        <v>-3,64476509245991+49,2464676708323i</v>
      </c>
      <c r="BD91">
        <f t="shared" si="144"/>
        <v>33.871225623504515</v>
      </c>
      <c r="BE91" s="43">
        <f t="shared" si="145"/>
        <v>94.232783006594389</v>
      </c>
      <c r="BF91" s="41" t="str">
        <f t="shared" si="146"/>
        <v>1496,02541693393+1321,30512106176i</v>
      </c>
      <c r="BG91" s="20">
        <f t="shared" si="147"/>
        <v>66.003127096597623</v>
      </c>
      <c r="BH91" s="43">
        <f t="shared" si="148"/>
        <v>41.451275016806434</v>
      </c>
      <c r="BI91" s="41" t="str">
        <f t="shared" si="101"/>
        <v>4998,3241034154+4366,01680898997i</v>
      </c>
      <c r="BJ91" s="20">
        <f t="shared" si="149"/>
        <v>76.43900032058616</v>
      </c>
      <c r="BK91" s="43">
        <f t="shared" si="102"/>
        <v>41.137087447986389</v>
      </c>
      <c r="BL91">
        <f t="shared" si="150"/>
        <v>66.003127096597623</v>
      </c>
      <c r="BM91" s="43">
        <f t="shared" si="151"/>
        <v>41.451275016806434</v>
      </c>
    </row>
    <row r="92" spans="14:65" x14ac:dyDescent="0.25">
      <c r="N92" s="9">
        <v>74</v>
      </c>
      <c r="O92" s="34">
        <f t="shared" si="116"/>
        <v>54.95408738576247</v>
      </c>
      <c r="P92" s="33" t="str">
        <f t="shared" si="103"/>
        <v>66,7780509511648</v>
      </c>
      <c r="Q92" s="4" t="str">
        <f t="shared" si="104"/>
        <v>1+1,34572385322082i</v>
      </c>
      <c r="R92" s="4">
        <f t="shared" si="117"/>
        <v>1.6765955651639699</v>
      </c>
      <c r="S92" s="4">
        <f t="shared" si="118"/>
        <v>0.93172940382988378</v>
      </c>
      <c r="T92" s="4" t="str">
        <f t="shared" si="105"/>
        <v>1+0,000345286714431686i</v>
      </c>
      <c r="U92" s="4">
        <f t="shared" si="119"/>
        <v>1.0000000596114558</v>
      </c>
      <c r="V92" s="4">
        <f t="shared" si="120"/>
        <v>3.4528670070965744E-4</v>
      </c>
      <c r="W92" t="str">
        <f t="shared" si="106"/>
        <v>1-0,000751127016303374i</v>
      </c>
      <c r="X92" s="4">
        <f t="shared" si="121"/>
        <v>1.0000002820958576</v>
      </c>
      <c r="Y92" s="4">
        <f t="shared" si="122"/>
        <v>-7.5112687504352209E-4</v>
      </c>
      <c r="Z92" t="str">
        <f t="shared" si="107"/>
        <v>0,999999996980048+0,000147634272759342i</v>
      </c>
      <c r="AA92" s="4">
        <f t="shared" si="123"/>
        <v>1.0000000078779872</v>
      </c>
      <c r="AB92" s="4">
        <f t="shared" si="124"/>
        <v>1.4763427213258418E-4</v>
      </c>
      <c r="AC92" s="47" t="str">
        <f t="shared" si="125"/>
        <v>23,7385177665232-31,9824495537542i</v>
      </c>
      <c r="AD92" s="20">
        <f t="shared" si="126"/>
        <v>32.004111421829215</v>
      </c>
      <c r="AE92" s="43">
        <f t="shared" si="127"/>
        <v>-53.415874237543619</v>
      </c>
      <c r="AF92" t="str">
        <f t="shared" si="108"/>
        <v>223,849857273222</v>
      </c>
      <c r="AG92" t="str">
        <f t="shared" si="109"/>
        <v>1+1,36301331065806i</v>
      </c>
      <c r="AH92">
        <f t="shared" si="128"/>
        <v>1.6905044469125319</v>
      </c>
      <c r="AI92">
        <f t="shared" si="129"/>
        <v>0.93782953856847096</v>
      </c>
      <c r="AJ92" t="str">
        <f t="shared" si="110"/>
        <v>1+0,000345286714431686i</v>
      </c>
      <c r="AK92">
        <f t="shared" si="130"/>
        <v>1.0000000596114558</v>
      </c>
      <c r="AL92">
        <f t="shared" si="131"/>
        <v>3.4528670070965744E-4</v>
      </c>
      <c r="AM92" t="str">
        <f t="shared" si="111"/>
        <v>1-0,000226952099110085i</v>
      </c>
      <c r="AN92">
        <f t="shared" si="132"/>
        <v>1.0000000257536275</v>
      </c>
      <c r="AO92">
        <f t="shared" si="133"/>
        <v>-2.2695209521352523E-4</v>
      </c>
      <c r="AP92" s="41" t="str">
        <f t="shared" si="134"/>
        <v>78,3419294175554-106,754603392012i</v>
      </c>
      <c r="AQ92">
        <f t="shared" si="135"/>
        <v>42.438810827228217</v>
      </c>
      <c r="AR92" s="43">
        <f t="shared" si="136"/>
        <v>-53.726894389209562</v>
      </c>
      <c r="AS92" t="str">
        <f t="shared" si="112"/>
        <v>-0,0000166666666666667</v>
      </c>
      <c r="AT92" t="str">
        <f t="shared" si="113"/>
        <v>3,46322574574981E-07i</v>
      </c>
      <c r="AU92">
        <f t="shared" si="137"/>
        <v>3.4632257457498101E-7</v>
      </c>
      <c r="AV92">
        <f t="shared" si="138"/>
        <v>1.5707963267948966</v>
      </c>
      <c r="AW92" t="str">
        <f t="shared" si="114"/>
        <v>1+0,000227207608698816i</v>
      </c>
      <c r="AX92">
        <f t="shared" si="139"/>
        <v>1.0000000258116484</v>
      </c>
      <c r="AY92">
        <f t="shared" si="140"/>
        <v>2.2720760478908082E-4</v>
      </c>
      <c r="AZ92" t="str">
        <f t="shared" si="115"/>
        <v>1+0,0759630771749708i</v>
      </c>
      <c r="BA92">
        <f t="shared" si="141"/>
        <v>1.0028810443387044</v>
      </c>
      <c r="BB92">
        <f t="shared" si="142"/>
        <v>7.5817468802974922E-2</v>
      </c>
      <c r="BC92" s="41" t="str">
        <f t="shared" si="143"/>
        <v>-3,64476508399154+48,1255184799983i</v>
      </c>
      <c r="BD92">
        <f t="shared" si="144"/>
        <v>33.672347194565425</v>
      </c>
      <c r="BE92" s="43">
        <f t="shared" si="145"/>
        <v>94.331002938947549</v>
      </c>
      <c r="BF92" s="41" t="str">
        <f t="shared" si="146"/>
        <v>1452,65064633367+1258,99699089462i</v>
      </c>
      <c r="BG92" s="20">
        <f t="shared" si="147"/>
        <v>65.676458616394612</v>
      </c>
      <c r="BH92" s="43">
        <f t="shared" si="148"/>
        <v>40.915128701403923</v>
      </c>
      <c r="BI92" s="41" t="str">
        <f t="shared" si="101"/>
        <v>4852,08270941353+4159,34142294185i</v>
      </c>
      <c r="BJ92" s="20">
        <f t="shared" si="149"/>
        <v>76.111158021793642</v>
      </c>
      <c r="BK92" s="43">
        <f t="shared" si="102"/>
        <v>40.60410854973793</v>
      </c>
      <c r="BL92">
        <f t="shared" si="150"/>
        <v>65.676458616394612</v>
      </c>
      <c r="BM92" s="43">
        <f t="shared" si="151"/>
        <v>40.915128701403923</v>
      </c>
    </row>
    <row r="93" spans="14:65" x14ac:dyDescent="0.25">
      <c r="N93" s="9">
        <v>75</v>
      </c>
      <c r="O93" s="34">
        <f t="shared" si="116"/>
        <v>56.234132519034915</v>
      </c>
      <c r="P93" s="33" t="str">
        <f t="shared" si="103"/>
        <v>66,7780509511648</v>
      </c>
      <c r="Q93" s="4" t="str">
        <f t="shared" si="104"/>
        <v>1+1,37706978854591i</v>
      </c>
      <c r="R93" s="4">
        <f t="shared" si="117"/>
        <v>1.7018581616944102</v>
      </c>
      <c r="S93" s="4">
        <f t="shared" si="118"/>
        <v>0.94271537093643964</v>
      </c>
      <c r="T93" s="4" t="str">
        <f t="shared" si="105"/>
        <v>1+0,00035332947520559i</v>
      </c>
      <c r="U93" s="4">
        <f t="shared" si="119"/>
        <v>1.0000000624208571</v>
      </c>
      <c r="V93" s="4">
        <f t="shared" si="120"/>
        <v>3.5332946050217149E-4</v>
      </c>
      <c r="W93" t="str">
        <f t="shared" si="106"/>
        <v>1-0,000768623012095994i</v>
      </c>
      <c r="X93" s="4">
        <f t="shared" si="121"/>
        <v>1.0000002953906237</v>
      </c>
      <c r="Y93" s="4">
        <f t="shared" si="122"/>
        <v>-7.6862286073333796E-4</v>
      </c>
      <c r="Z93" t="str">
        <f t="shared" si="107"/>
        <v>0,999999996837722+0,0001510731167351i</v>
      </c>
      <c r="AA93" s="4">
        <f t="shared" si="123"/>
        <v>1.0000000082492653</v>
      </c>
      <c r="AB93" s="4">
        <f t="shared" si="124"/>
        <v>1.5107311606351692E-4</v>
      </c>
      <c r="AC93" s="47" t="str">
        <f t="shared" si="125"/>
        <v>23,0381842861976-31,7630084267568i</v>
      </c>
      <c r="AD93" s="20">
        <f t="shared" si="126"/>
        <v>31.874210584245638</v>
      </c>
      <c r="AE93" s="43">
        <f t="shared" si="127"/>
        <v>-54.046062447809106</v>
      </c>
      <c r="AF93" t="str">
        <f t="shared" si="108"/>
        <v>223,849857273222</v>
      </c>
      <c r="AG93" t="str">
        <f t="shared" si="109"/>
        <v>1+1,39476196918179i</v>
      </c>
      <c r="AH93">
        <f t="shared" si="128"/>
        <v>1.7162053929165542</v>
      </c>
      <c r="AI93">
        <f t="shared" si="129"/>
        <v>0.94877284267590434</v>
      </c>
      <c r="AJ93" t="str">
        <f t="shared" si="110"/>
        <v>1+0,00035332947520559i</v>
      </c>
      <c r="AK93">
        <f t="shared" si="130"/>
        <v>1.0000000624208571</v>
      </c>
      <c r="AL93">
        <f t="shared" si="131"/>
        <v>3.5332946050217149E-4</v>
      </c>
      <c r="AM93" t="str">
        <f t="shared" si="111"/>
        <v>1-0,000232238492602757i</v>
      </c>
      <c r="AN93">
        <f t="shared" si="132"/>
        <v>1.0000000269673583</v>
      </c>
      <c r="AO93">
        <f t="shared" si="133"/>
        <v>-2.3223848842751798E-4</v>
      </c>
      <c r="AP93" s="41" t="str">
        <f t="shared" si="134"/>
        <v>76,0136655868831-105,993863699514i</v>
      </c>
      <c r="AQ93">
        <f t="shared" si="135"/>
        <v>42.307751965825219</v>
      </c>
      <c r="AR93" s="43">
        <f t="shared" si="136"/>
        <v>-54.353741600321833</v>
      </c>
      <c r="AS93" t="str">
        <f t="shared" si="112"/>
        <v>-0,0000166666666666667</v>
      </c>
      <c r="AT93" t="str">
        <f t="shared" si="113"/>
        <v>3,54389463631207E-07i</v>
      </c>
      <c r="AU93">
        <f t="shared" si="137"/>
        <v>3.5438946363120699E-7</v>
      </c>
      <c r="AV93">
        <f t="shared" si="138"/>
        <v>1.5707963267948966</v>
      </c>
      <c r="AW93" t="str">
        <f t="shared" si="114"/>
        <v>1+0,000232499953774366i</v>
      </c>
      <c r="AX93">
        <f t="shared" si="139"/>
        <v>1.000000027028114</v>
      </c>
      <c r="AY93">
        <f t="shared" si="140"/>
        <v>2.3249994958500926E-4</v>
      </c>
      <c r="AZ93" t="str">
        <f t="shared" si="115"/>
        <v>1+0,0777324845452297i</v>
      </c>
      <c r="BA93">
        <f t="shared" si="141"/>
        <v>1.0030166195799421</v>
      </c>
      <c r="BB93">
        <f t="shared" si="142"/>
        <v>7.7576487695786525E-2</v>
      </c>
      <c r="BC93" s="41" t="str">
        <f t="shared" si="143"/>
        <v>-3,64476507512409+47,0300860760788i</v>
      </c>
      <c r="BD93">
        <f t="shared" si="144"/>
        <v>33.473521313274254</v>
      </c>
      <c r="BE93" s="43">
        <f t="shared" si="145"/>
        <v>94.431484068568892</v>
      </c>
      <c r="BF93" s="41" t="str">
        <f t="shared" si="146"/>
        <v>1409,84825086498+1199,25649381115i</v>
      </c>
      <c r="BG93" s="20">
        <f t="shared" si="147"/>
        <v>65.347731897519864</v>
      </c>
      <c r="BH93" s="43">
        <f t="shared" si="148"/>
        <v>40.385421620759757</v>
      </c>
      <c r="BI93" s="41" t="str">
        <f t="shared" si="101"/>
        <v>4707,84857976107+3961,25196809883i</v>
      </c>
      <c r="BJ93" s="20">
        <f t="shared" si="149"/>
        <v>75.78127327909948</v>
      </c>
      <c r="BK93" s="43">
        <f t="shared" si="102"/>
        <v>40.077742468247081</v>
      </c>
      <c r="BL93">
        <f t="shared" si="150"/>
        <v>65.347731897519864</v>
      </c>
      <c r="BM93" s="43">
        <f t="shared" si="151"/>
        <v>40.385421620759757</v>
      </c>
    </row>
    <row r="94" spans="14:65" x14ac:dyDescent="0.25">
      <c r="N94" s="9">
        <v>76</v>
      </c>
      <c r="O94" s="34">
        <f t="shared" si="116"/>
        <v>57.543993733715695</v>
      </c>
      <c r="P94" s="33" t="str">
        <f t="shared" si="103"/>
        <v>66,7780509511648</v>
      </c>
      <c r="Q94" s="4" t="str">
        <f t="shared" si="104"/>
        <v>1+1,40914586450058i</v>
      </c>
      <c r="R94" s="4">
        <f t="shared" si="117"/>
        <v>1.7279155267081454</v>
      </c>
      <c r="S94" s="4">
        <f t="shared" si="118"/>
        <v>0.95362334198699183</v>
      </c>
      <c r="T94" s="4" t="str">
        <f t="shared" si="105"/>
        <v>1+0,000361559575944117i</v>
      </c>
      <c r="U94" s="4">
        <f t="shared" si="119"/>
        <v>1.0000000653626613</v>
      </c>
      <c r="V94" s="4">
        <f t="shared" si="120"/>
        <v>3.6155956018912031E-4</v>
      </c>
      <c r="W94" t="str">
        <f t="shared" si="106"/>
        <v>1-0,000786526541983557i</v>
      </c>
      <c r="X94" s="4">
        <f t="shared" si="121"/>
        <v>1.0000003093119527</v>
      </c>
      <c r="Y94" s="4">
        <f t="shared" si="122"/>
        <v>-7.8652637979555163E-4</v>
      </c>
      <c r="Z94" t="str">
        <f t="shared" si="107"/>
        <v>0,999999996688689+0,000154592061677041i</v>
      </c>
      <c r="AA94" s="4">
        <f t="shared" si="123"/>
        <v>1.0000000086380418</v>
      </c>
      <c r="AB94" s="4">
        <f t="shared" si="124"/>
        <v>1.5459206095742669E-4</v>
      </c>
      <c r="AC94" s="47" t="str">
        <f t="shared" si="125"/>
        <v>22,3477592988122-31,5299544212308i</v>
      </c>
      <c r="AD94" s="20">
        <f t="shared" si="126"/>
        <v>31.742227819932587</v>
      </c>
      <c r="AE94" s="43">
        <f t="shared" si="127"/>
        <v>-54.67179901885104</v>
      </c>
      <c r="AF94" t="str">
        <f t="shared" si="108"/>
        <v>223,849857273222</v>
      </c>
      <c r="AG94" t="str">
        <f t="shared" si="109"/>
        <v>1+1,42725014896343i</v>
      </c>
      <c r="AH94">
        <f t="shared" si="128"/>
        <v>1.7427113896787767</v>
      </c>
      <c r="AI94">
        <f t="shared" si="129"/>
        <v>0.95963557777644748</v>
      </c>
      <c r="AJ94" t="str">
        <f t="shared" si="110"/>
        <v>1+0,000361559575944117i</v>
      </c>
      <c r="AK94">
        <f t="shared" si="130"/>
        <v>1.0000000653626613</v>
      </c>
      <c r="AL94">
        <f t="shared" si="131"/>
        <v>3.6155956018912031E-4</v>
      </c>
      <c r="AM94" t="str">
        <f t="shared" si="111"/>
        <v>1-0,000237648022018248i</v>
      </c>
      <c r="AN94">
        <f t="shared" si="132"/>
        <v>1.0000000282382908</v>
      </c>
      <c r="AO94">
        <f t="shared" si="133"/>
        <v>-2.3764801754439879E-4</v>
      </c>
      <c r="AP94" s="41" t="str">
        <f t="shared" si="134"/>
        <v>73,7195574390129-105,188511752688i</v>
      </c>
      <c r="AQ94">
        <f t="shared" si="135"/>
        <v>42.174627857596569</v>
      </c>
      <c r="AR94" s="43">
        <f t="shared" si="136"/>
        <v>-54.975968868762074</v>
      </c>
      <c r="AS94" t="str">
        <f t="shared" si="112"/>
        <v>-0,0000166666666666667</v>
      </c>
      <c r="AT94" t="str">
        <f t="shared" si="113"/>
        <v>3,62644254671949E-07i</v>
      </c>
      <c r="AU94">
        <f t="shared" si="137"/>
        <v>3.6264425467194901E-7</v>
      </c>
      <c r="AV94">
        <f t="shared" si="138"/>
        <v>1.5707963267948966</v>
      </c>
      <c r="AW94" t="str">
        <f t="shared" si="114"/>
        <v>1+0,000237915573402908i</v>
      </c>
      <c r="AX94">
        <f t="shared" si="139"/>
        <v>1.0000000283019097</v>
      </c>
      <c r="AY94">
        <f t="shared" si="140"/>
        <v>2.3791556891393137E-4</v>
      </c>
      <c r="AZ94" t="str">
        <f t="shared" si="115"/>
        <v>1+0,0795431067077057i</v>
      </c>
      <c r="BA94">
        <f t="shared" si="141"/>
        <v>1.003158564647042</v>
      </c>
      <c r="BB94">
        <f t="shared" si="142"/>
        <v>7.9375981483877187E-2</v>
      </c>
      <c r="BC94" s="41" t="str">
        <f t="shared" si="143"/>
        <v>-3,64476506583872+45,9595896463134i</v>
      </c>
      <c r="BD94">
        <f t="shared" si="144"/>
        <v>33.274750426365713</v>
      </c>
      <c r="BE94" s="43">
        <f t="shared" si="145"/>
        <v>94.534277175755506</v>
      </c>
      <c r="BF94" s="41" t="str">
        <f t="shared" si="146"/>
        <v>1367,65143437465+1142,01312328998i</v>
      </c>
      <c r="BG94" s="20">
        <f t="shared" si="147"/>
        <v>65.016978246298294</v>
      </c>
      <c r="BH94" s="43">
        <f t="shared" si="148"/>
        <v>39.862478156904409</v>
      </c>
      <c r="BI94" s="41" t="str">
        <f t="shared" si="101"/>
        <v>4565,73036803715+3771,50802176863i</v>
      </c>
      <c r="BJ94" s="20">
        <f t="shared" si="149"/>
        <v>75.44937828396229</v>
      </c>
      <c r="BK94" s="43">
        <f t="shared" si="102"/>
        <v>39.55830830699346</v>
      </c>
      <c r="BL94">
        <f t="shared" si="150"/>
        <v>65.016978246298294</v>
      </c>
      <c r="BM94" s="43">
        <f t="shared" si="151"/>
        <v>39.862478156904409</v>
      </c>
    </row>
    <row r="95" spans="14:65" x14ac:dyDescent="0.25">
      <c r="N95" s="9">
        <v>77</v>
      </c>
      <c r="O95" s="34">
        <f t="shared" si="116"/>
        <v>58.884365535558949</v>
      </c>
      <c r="P95" s="33" t="str">
        <f t="shared" si="103"/>
        <v>66,7780509511648</v>
      </c>
      <c r="Q95" s="4" t="str">
        <f t="shared" si="104"/>
        <v>1+1,44196908824484i</v>
      </c>
      <c r="R95" s="4">
        <f t="shared" si="117"/>
        <v>1.7547862694509708</v>
      </c>
      <c r="S95" s="4">
        <f t="shared" si="118"/>
        <v>0.96444871776807928</v>
      </c>
      <c r="T95" s="4" t="str">
        <f t="shared" si="105"/>
        <v>1+0,000369981380355616i</v>
      </c>
      <c r="U95" s="4">
        <f t="shared" si="119"/>
        <v>1.0000000684431085</v>
      </c>
      <c r="V95" s="4">
        <f t="shared" si="120"/>
        <v>3.6998136347383298E-4</v>
      </c>
      <c r="W95" t="str">
        <f t="shared" si="106"/>
        <v>1-0,000804847098654588i</v>
      </c>
      <c r="X95" s="4">
        <f t="shared" si="121"/>
        <v>1.0000003238893735</v>
      </c>
      <c r="Y95" s="4">
        <f t="shared" si="122"/>
        <v>-8.0484692486701231E-4</v>
      </c>
      <c r="Z95" t="str">
        <f t="shared" si="107"/>
        <v>0,999999996532631+0,00015819297337635i</v>
      </c>
      <c r="AA95" s="4">
        <f t="shared" si="123"/>
        <v>1.0000000090451393</v>
      </c>
      <c r="AB95" s="4">
        <f t="shared" si="124"/>
        <v>1.5819297260526947E-4</v>
      </c>
      <c r="AC95" s="47" t="str">
        <f t="shared" si="125"/>
        <v>21,6677501290509-31,2838292037628i</v>
      </c>
      <c r="AD95" s="20">
        <f t="shared" si="126"/>
        <v>31.60819356140243</v>
      </c>
      <c r="AE95" s="43">
        <f t="shared" si="127"/>
        <v>-55.292820835917141</v>
      </c>
      <c r="AF95" t="str">
        <f t="shared" si="108"/>
        <v>223,849857273222</v>
      </c>
      <c r="AG95" t="str">
        <f t="shared" si="109"/>
        <v>1+1,46049507566594i</v>
      </c>
      <c r="AH95">
        <f t="shared" si="128"/>
        <v>1.7700412046176948</v>
      </c>
      <c r="AI95">
        <f t="shared" si="129"/>
        <v>0.97041324926019978</v>
      </c>
      <c r="AJ95" t="str">
        <f t="shared" si="110"/>
        <v>1+0,000369981380355616i</v>
      </c>
      <c r="AK95">
        <f t="shared" si="130"/>
        <v>1.0000000684431085</v>
      </c>
      <c r="AL95">
        <f t="shared" si="131"/>
        <v>3.6998136347383298E-4</v>
      </c>
      <c r="AM95" t="str">
        <f t="shared" si="111"/>
        <v>1-0,000243183555560655i</v>
      </c>
      <c r="AN95">
        <f t="shared" si="132"/>
        <v>1.0000000295691205</v>
      </c>
      <c r="AO95">
        <f t="shared" si="133"/>
        <v>-2.4318355076683921E-4</v>
      </c>
      <c r="AP95" s="41" t="str">
        <f t="shared" si="134"/>
        <v>71,4612365103871-104,340400349437i</v>
      </c>
      <c r="AQ95">
        <f t="shared" si="135"/>
        <v>42.039469760014072</v>
      </c>
      <c r="AR95" s="43">
        <f t="shared" si="136"/>
        <v>-55.593318586666726</v>
      </c>
      <c r="AS95" t="str">
        <f t="shared" si="112"/>
        <v>-0,0000166666666666667</v>
      </c>
      <c r="AT95" t="str">
        <f t="shared" si="113"/>
        <v>3,71091324496683E-07i</v>
      </c>
      <c r="AU95">
        <f t="shared" si="137"/>
        <v>3.7109132449668298E-7</v>
      </c>
      <c r="AV95">
        <f t="shared" si="138"/>
        <v>1.5707963267948966</v>
      </c>
      <c r="AW95" t="str">
        <f t="shared" si="114"/>
        <v>1+0,000243457339017654i</v>
      </c>
      <c r="AX95">
        <f t="shared" si="139"/>
        <v>1.0000000296357376</v>
      </c>
      <c r="AY95">
        <f t="shared" si="140"/>
        <v>2.4345733420762889E-4</v>
      </c>
      <c r="AZ95" t="str">
        <f t="shared" si="115"/>
        <v>1+0,0813959036782354i</v>
      </c>
      <c r="BA95">
        <f t="shared" si="141"/>
        <v>1.0033071778551157</v>
      </c>
      <c r="BB95">
        <f t="shared" si="142"/>
        <v>8.1216857639998141E-2</v>
      </c>
      <c r="BC95" s="41" t="str">
        <f t="shared" si="143"/>
        <v>-3,64476505611574+44,9134615993253i</v>
      </c>
      <c r="BD95">
        <f t="shared" si="144"/>
        <v>33.076037093041514</v>
      </c>
      <c r="BE95" s="43">
        <f t="shared" si="145"/>
        <v>94.639434090345119</v>
      </c>
      <c r="BF95" s="41" t="str">
        <f t="shared" si="146"/>
        <v>1326,09120310804+1087,19587086827i</v>
      </c>
      <c r="BG95" s="20">
        <f t="shared" si="147"/>
        <v>64.684230654443951</v>
      </c>
      <c r="BH95" s="43">
        <f t="shared" si="148"/>
        <v>39.346613254427957</v>
      </c>
      <c r="BI95" s="41" t="str">
        <f t="shared" si="101"/>
        <v>4425,82914665279+3589,86774698433i</v>
      </c>
      <c r="BJ95" s="20">
        <f t="shared" si="149"/>
        <v>75.115506853055592</v>
      </c>
      <c r="BK95" s="43">
        <f t="shared" si="102"/>
        <v>39.046115503678394</v>
      </c>
      <c r="BL95">
        <f t="shared" si="150"/>
        <v>64.684230654443951</v>
      </c>
      <c r="BM95" s="43">
        <f t="shared" si="151"/>
        <v>39.346613254427957</v>
      </c>
    </row>
    <row r="96" spans="14:65" x14ac:dyDescent="0.25">
      <c r="N96" s="9">
        <v>78</v>
      </c>
      <c r="O96" s="34">
        <f t="shared" si="116"/>
        <v>60.255958607435822</v>
      </c>
      <c r="P96" s="33" t="str">
        <f t="shared" si="103"/>
        <v>66,7780509511648</v>
      </c>
      <c r="Q96" s="4" t="str">
        <f t="shared" si="104"/>
        <v>1+1,47555686308642i</v>
      </c>
      <c r="R96" s="4">
        <f t="shared" si="117"/>
        <v>1.782489286419819</v>
      </c>
      <c r="S96" s="4">
        <f t="shared" si="118"/>
        <v>0.97518708925591135</v>
      </c>
      <c r="T96" s="4" t="str">
        <f t="shared" si="105"/>
        <v>1+0,000378599353792262i</v>
      </c>
      <c r="U96" s="4">
        <f t="shared" si="119"/>
        <v>1.0000000716687327</v>
      </c>
      <c r="V96" s="4">
        <f t="shared" si="120"/>
        <v>3.7859933570310564E-4</v>
      </c>
      <c r="W96" t="str">
        <f t="shared" si="106"/>
        <v>1-0,000823594395910736i</v>
      </c>
      <c r="X96" s="4">
        <f t="shared" si="121"/>
        <v>1.0000003391538068</v>
      </c>
      <c r="Y96" s="4">
        <f t="shared" si="122"/>
        <v>-8.2359420969399706E-4</v>
      </c>
      <c r="Z96" t="str">
        <f t="shared" si="107"/>
        <v>0,999999996369219+0,000161877761084075i</v>
      </c>
      <c r="AA96" s="4">
        <f t="shared" si="123"/>
        <v>1.0000000094714239</v>
      </c>
      <c r="AB96" s="4">
        <f t="shared" si="124"/>
        <v>1.6187776025784731E-4</v>
      </c>
      <c r="AC96" s="47" t="str">
        <f t="shared" si="125"/>
        <v>20,9986271773686-31,0251942324274i</v>
      </c>
      <c r="AD96" s="20">
        <f t="shared" si="126"/>
        <v>31.472139704930285</v>
      </c>
      <c r="AE96" s="43">
        <f t="shared" si="127"/>
        <v>-55.908875690655599</v>
      </c>
      <c r="AF96" t="str">
        <f t="shared" si="108"/>
        <v>223,849857273222</v>
      </c>
      <c r="AG96" t="str">
        <f t="shared" si="109"/>
        <v>1+1,4945143761895i</v>
      </c>
      <c r="AH96">
        <f t="shared" si="128"/>
        <v>1.7982138973540076</v>
      </c>
      <c r="AI96">
        <f t="shared" si="129"/>
        <v>0.98110155633617524</v>
      </c>
      <c r="AJ96" t="str">
        <f t="shared" si="110"/>
        <v>1+0,000378599353792262i</v>
      </c>
      <c r="AK96">
        <f t="shared" si="130"/>
        <v>1.0000000716687327</v>
      </c>
      <c r="AL96">
        <f t="shared" si="131"/>
        <v>3.7859933570310564E-4</v>
      </c>
      <c r="AM96" t="str">
        <f t="shared" si="111"/>
        <v>1-0,000248848028243136i</v>
      </c>
      <c r="AN96">
        <f t="shared" si="132"/>
        <v>1.00000003096267</v>
      </c>
      <c r="AO96">
        <f t="shared" si="133"/>
        <v>-2.4884802310646984E-4</v>
      </c>
      <c r="AP96" s="41" t="str">
        <f t="shared" si="134"/>
        <v>69,2402091991159-103,451443242742i</v>
      </c>
      <c r="AQ96">
        <f t="shared" si="135"/>
        <v>41.902310332651737</v>
      </c>
      <c r="AR96" s="43">
        <f t="shared" si="136"/>
        <v>-56.205544249181344</v>
      </c>
      <c r="AS96" t="str">
        <f t="shared" si="112"/>
        <v>-0,0000166666666666667</v>
      </c>
      <c r="AT96" t="str">
        <f t="shared" si="113"/>
        <v>3,79735151853639E-07i</v>
      </c>
      <c r="AU96">
        <f t="shared" si="137"/>
        <v>3.7973515185363898E-7</v>
      </c>
      <c r="AV96">
        <f t="shared" si="138"/>
        <v>1.5707963267948966</v>
      </c>
      <c r="AW96" t="str">
        <f t="shared" si="114"/>
        <v>1+0,000249128188936085i</v>
      </c>
      <c r="AX96">
        <f t="shared" si="139"/>
        <v>1.0000000310324269</v>
      </c>
      <c r="AY96">
        <f t="shared" si="140"/>
        <v>2.4912818378205022E-4</v>
      </c>
      <c r="AZ96" t="str">
        <f t="shared" si="115"/>
        <v>1+0,0832918578342976i</v>
      </c>
      <c r="BA96">
        <f t="shared" si="141"/>
        <v>1.0034627713978674</v>
      </c>
      <c r="BB96">
        <f t="shared" si="142"/>
        <v>8.3100042285971717E-2</v>
      </c>
      <c r="BC96" s="41" t="str">
        <f t="shared" si="143"/>
        <v>-3,64476504593452+43,8911472641769i</v>
      </c>
      <c r="BD96">
        <f t="shared" si="144"/>
        <v>32.877383990000368</v>
      </c>
      <c r="BE96" s="43">
        <f t="shared" si="145"/>
        <v>94.747007706856365</v>
      </c>
      <c r="BF96" s="41" t="str">
        <f t="shared" si="146"/>
        <v>1285,19630660648+1034,73338126911i</v>
      </c>
      <c r="BG96" s="20">
        <f t="shared" si="147"/>
        <v>64.349523694930639</v>
      </c>
      <c r="BH96" s="43">
        <f t="shared" si="148"/>
        <v>38.838132016200667</v>
      </c>
      <c r="BI96" s="41" t="str">
        <f t="shared" si="101"/>
        <v>4288,2382357967+3416,08842284344i</v>
      </c>
      <c r="BJ96" s="20">
        <f t="shared" si="149"/>
        <v>74.779694322652105</v>
      </c>
      <c r="BK96" s="43">
        <f t="shared" si="102"/>
        <v>38.541463457675029</v>
      </c>
      <c r="BL96">
        <f t="shared" si="150"/>
        <v>64.349523694930639</v>
      </c>
      <c r="BM96" s="43">
        <f t="shared" si="151"/>
        <v>38.838132016200667</v>
      </c>
    </row>
    <row r="97" spans="14:65" x14ac:dyDescent="0.25">
      <c r="N97" s="9">
        <v>79</v>
      </c>
      <c r="O97" s="34">
        <f t="shared" si="116"/>
        <v>61.659500186148257</v>
      </c>
      <c r="P97" s="33" t="str">
        <f t="shared" si="103"/>
        <v>66,7780509511648</v>
      </c>
      <c r="Q97" s="4" t="str">
        <f t="shared" si="104"/>
        <v>1+1,5099269977081i</v>
      </c>
      <c r="R97" s="4">
        <f t="shared" si="117"/>
        <v>1.8110437704284776</v>
      </c>
      <c r="S97" s="4">
        <f t="shared" si="118"/>
        <v>0.98583424394093577</v>
      </c>
      <c r="T97" s="4" t="str">
        <f t="shared" si="105"/>
        <v>1+0,000387418065617644i</v>
      </c>
      <c r="U97" s="4">
        <f t="shared" si="119"/>
        <v>1.000000075046376</v>
      </c>
      <c r="V97" s="4">
        <f t="shared" si="120"/>
        <v>3.8741804623476384E-4</v>
      </c>
      <c r="W97" t="str">
        <f t="shared" si="106"/>
        <v>1-0,000842778373817158i</v>
      </c>
      <c r="X97" s="4">
        <f t="shared" si="121"/>
        <v>1.0000003551376306</v>
      </c>
      <c r="Y97" s="4">
        <f t="shared" si="122"/>
        <v>-8.4277817428233105E-4</v>
      </c>
      <c r="Z97" t="str">
        <f t="shared" si="107"/>
        <v>0,999999996198106+0,000165648378523432i</v>
      </c>
      <c r="AA97" s="4">
        <f t="shared" si="123"/>
        <v>1.0000000099177986</v>
      </c>
      <c r="AB97" s="4">
        <f t="shared" si="124"/>
        <v>1.6564837763811304E-4</v>
      </c>
      <c r="AC97" s="47" t="str">
        <f t="shared" si="125"/>
        <v>20,3408232098806-30,7546278726029i</v>
      </c>
      <c r="AD97" s="20">
        <f t="shared" si="126"/>
        <v>31.334099498886165</v>
      </c>
      <c r="AE97" s="43">
        <f t="shared" si="127"/>
        <v>-56.519722643703595</v>
      </c>
      <c r="AF97" t="str">
        <f t="shared" si="108"/>
        <v>223,849857273222</v>
      </c>
      <c r="AG97" t="str">
        <f t="shared" si="109"/>
        <v>1+1,52932608801756i</v>
      </c>
      <c r="AH97">
        <f t="shared" si="128"/>
        <v>1.8272488291119779</v>
      </c>
      <c r="AI97">
        <f t="shared" si="129"/>
        <v>0.99169639780579133</v>
      </c>
      <c r="AJ97" t="str">
        <f t="shared" si="110"/>
        <v>1+0,000387418065617644i</v>
      </c>
      <c r="AK97">
        <f t="shared" si="130"/>
        <v>1.000000075046376</v>
      </c>
      <c r="AL97">
        <f t="shared" si="131"/>
        <v>3.8741804623476384E-4</v>
      </c>
      <c r="AM97" t="str">
        <f t="shared" si="111"/>
        <v>1-0,000254644443444084i</v>
      </c>
      <c r="AN97">
        <f t="shared" si="132"/>
        <v>1.0000000324218958</v>
      </c>
      <c r="AO97">
        <f t="shared" si="133"/>
        <v>-2.5464443794004707E-4</v>
      </c>
      <c r="AP97" s="41" t="str">
        <f t="shared" si="134"/>
        <v>67,0578548561632-102,523605481652i</v>
      </c>
      <c r="AQ97">
        <f t="shared" si="135"/>
        <v>41.763183524455243</v>
      </c>
      <c r="AR97" s="43">
        <f t="shared" si="136"/>
        <v>-56.812410785212535</v>
      </c>
      <c r="AS97" t="str">
        <f t="shared" si="112"/>
        <v>-0,0000166666666666667</v>
      </c>
      <c r="AT97" t="str">
        <f t="shared" si="113"/>
        <v>3,88580319814497E-07i</v>
      </c>
      <c r="AU97">
        <f t="shared" si="137"/>
        <v>3.8858031981449698E-7</v>
      </c>
      <c r="AV97">
        <f t="shared" si="138"/>
        <v>1.5707963267948966</v>
      </c>
      <c r="AW97" t="str">
        <f t="shared" si="114"/>
        <v>1+0,000254931129917891i</v>
      </c>
      <c r="AX97">
        <f t="shared" si="139"/>
        <v>1.0000000324949401</v>
      </c>
      <c r="AY97">
        <f t="shared" si="140"/>
        <v>2.5493112439524331E-4</v>
      </c>
      <c r="AZ97" t="str">
        <f t="shared" si="115"/>
        <v>1+0,0852319744358816i</v>
      </c>
      <c r="BA97">
        <f t="shared" si="141"/>
        <v>1.0036256719844501</v>
      </c>
      <c r="BB97">
        <f t="shared" si="142"/>
        <v>8.5026480453504277E-2</v>
      </c>
      <c r="BC97" s="41" t="str">
        <f t="shared" si="143"/>
        <v>-3,64476503527349+42,8921045962758i</v>
      </c>
      <c r="BD97">
        <f t="shared" si="144"/>
        <v>32.678793916679545</v>
      </c>
      <c r="BE97" s="43">
        <f t="shared" si="145"/>
        <v>94.857051999343</v>
      </c>
      <c r="BF97" s="41" t="str">
        <f t="shared" si="146"/>
        <v>1244,99319430717+984,554109035464i</v>
      </c>
      <c r="BG97" s="20">
        <f t="shared" si="147"/>
        <v>64.012893415565713</v>
      </c>
      <c r="BH97" s="43">
        <f t="shared" si="148"/>
        <v>38.337329355639419</v>
      </c>
      <c r="BI97" s="41" t="str">
        <f t="shared" si="101"/>
        <v>4153,04308518614+3249,92697704213i</v>
      </c>
      <c r="BJ97" s="20">
        <f t="shared" si="149"/>
        <v>74.441977441134796</v>
      </c>
      <c r="BK97" s="43">
        <f t="shared" si="102"/>
        <v>38.044641214130486</v>
      </c>
      <c r="BL97">
        <f t="shared" si="150"/>
        <v>64.012893415565713</v>
      </c>
      <c r="BM97" s="43">
        <f t="shared" si="151"/>
        <v>38.337329355639419</v>
      </c>
    </row>
    <row r="98" spans="14:65" x14ac:dyDescent="0.25">
      <c r="N98" s="9">
        <v>80</v>
      </c>
      <c r="O98" s="34">
        <f t="shared" si="116"/>
        <v>63.095734448019364</v>
      </c>
      <c r="P98" s="33" t="str">
        <f t="shared" si="103"/>
        <v>66,7780509511648</v>
      </c>
      <c r="Q98" s="4" t="str">
        <f t="shared" si="104"/>
        <v>1+1,54509771561022i</v>
      </c>
      <c r="R98" s="4">
        <f t="shared" si="117"/>
        <v>1.8404692202761557</v>
      </c>
      <c r="S98" s="4">
        <f t="shared" si="118"/>
        <v>0.99638617115903672</v>
      </c>
      <c r="T98" s="4" t="str">
        <f t="shared" si="105"/>
        <v>1+0,0003964421916295i</v>
      </c>
      <c r="U98" s="4">
        <f t="shared" si="119"/>
        <v>1.0000000785832026</v>
      </c>
      <c r="V98" s="4">
        <f t="shared" si="120"/>
        <v>3.9644217086036979E-4</v>
      </c>
      <c r="W98" t="str">
        <f t="shared" si="106"/>
        <v>1-0,000862409203972867i</v>
      </c>
      <c r="X98" s="4">
        <f t="shared" si="121"/>
        <v>1.0000003718747483</v>
      </c>
      <c r="Y98" s="4">
        <f t="shared" si="122"/>
        <v>-8.624089901674521E-4</v>
      </c>
      <c r="Z98" t="str">
        <f t="shared" si="107"/>
        <v>0,999999996018928+0,000169506824925697i</v>
      </c>
      <c r="AA98" s="4">
        <f t="shared" si="123"/>
        <v>1.0000000103852098</v>
      </c>
      <c r="AB98" s="4">
        <f t="shared" si="124"/>
        <v>1.6950682397706067E-4</v>
      </c>
      <c r="AC98" s="47" t="str">
        <f t="shared" si="125"/>
        <v>19,6947329000424-30,472722520557i</v>
      </c>
      <c r="AD98" s="20">
        <f t="shared" si="126"/>
        <v>31.194107430318962</v>
      </c>
      <c r="AE98" s="43">
        <f t="shared" si="127"/>
        <v>-57.125132330364472</v>
      </c>
      <c r="AF98" t="str">
        <f t="shared" si="108"/>
        <v>223,849857273222</v>
      </c>
      <c r="AG98" t="str">
        <f t="shared" si="109"/>
        <v>1+1,56494866878051i</v>
      </c>
      <c r="AH98">
        <f t="shared" si="128"/>
        <v>1.8571656727168664</v>
      </c>
      <c r="AI98">
        <f t="shared" si="129"/>
        <v>1.0021938768456422</v>
      </c>
      <c r="AJ98" t="str">
        <f t="shared" si="110"/>
        <v>1+0,0003964421916295i</v>
      </c>
      <c r="AK98">
        <f t="shared" si="130"/>
        <v>1.0000000785832026</v>
      </c>
      <c r="AL98">
        <f t="shared" si="131"/>
        <v>3.9644217086036979E-4</v>
      </c>
      <c r="AM98" t="str">
        <f t="shared" si="111"/>
        <v>1-0,000260575874499564i</v>
      </c>
      <c r="AN98">
        <f t="shared" si="132"/>
        <v>1.0000000339498927</v>
      </c>
      <c r="AO98">
        <f t="shared" si="133"/>
        <v>-2.6057586860188218E-4</v>
      </c>
      <c r="AP98" s="41" t="str">
        <f t="shared" si="134"/>
        <v>64,9154247069316-101,558893822736i</v>
      </c>
      <c r="AQ98">
        <f t="shared" si="135"/>
        <v>41.622124459678574</v>
      </c>
      <c r="AR98" s="43">
        <f t="shared" si="136"/>
        <v>-57.413694831411568</v>
      </c>
      <c r="AS98" t="str">
        <f t="shared" si="112"/>
        <v>-0,0000166666666666667</v>
      </c>
      <c r="AT98" t="str">
        <f t="shared" si="113"/>
        <v>3,97631518204389E-07i</v>
      </c>
      <c r="AU98">
        <f t="shared" si="137"/>
        <v>3.9763151820438899E-7</v>
      </c>
      <c r="AV98">
        <f t="shared" si="138"/>
        <v>1.5707963267948966</v>
      </c>
      <c r="AW98" t="str">
        <f t="shared" si="114"/>
        <v>1+0,000260869238759192i</v>
      </c>
      <c r="AX98">
        <f t="shared" si="139"/>
        <v>1.0000000340263793</v>
      </c>
      <c r="AY98">
        <f t="shared" si="140"/>
        <v>2.6086923284156834E-4</v>
      </c>
      <c r="AZ98" t="str">
        <f t="shared" si="115"/>
        <v>1+0,0872172821584899i</v>
      </c>
      <c r="BA98">
        <f t="shared" si="141"/>
        <v>1.0037962215047005</v>
      </c>
      <c r="BB98">
        <f t="shared" si="142"/>
        <v>8.6997136339191358E-2</v>
      </c>
      <c r="BC98" s="41" t="str">
        <f t="shared" si="143"/>
        <v>-3,64476502411002+41,9158038899754i</v>
      </c>
      <c r="BD98">
        <f t="shared" si="144"/>
        <v>32.480269800715483</v>
      </c>
      <c r="BE98" s="43">
        <f t="shared" si="145"/>
        <v>94.969622035913233</v>
      </c>
      <c r="BF98" s="41" t="str">
        <f t="shared" si="146"/>
        <v>1205,50598753204+936,58647513596i</v>
      </c>
      <c r="BG98" s="20">
        <f t="shared" si="147"/>
        <v>63.674377231034441</v>
      </c>
      <c r="BH98" s="43">
        <f t="shared" si="148"/>
        <v>37.844489705548796</v>
      </c>
      <c r="BI98" s="41" t="str">
        <f t="shared" si="101"/>
        <v>4020,32120725956+3091,14051554262i</v>
      </c>
      <c r="BJ98" s="20">
        <f t="shared" si="149"/>
        <v>74.10239426039405</v>
      </c>
      <c r="BK98" s="43">
        <f t="shared" si="102"/>
        <v>37.555927204501707</v>
      </c>
      <c r="BL98">
        <f t="shared" si="150"/>
        <v>63.674377231034441</v>
      </c>
      <c r="BM98" s="43">
        <f t="shared" si="151"/>
        <v>37.844489705548796</v>
      </c>
    </row>
    <row r="99" spans="14:65" x14ac:dyDescent="0.25">
      <c r="N99" s="9">
        <v>81</v>
      </c>
      <c r="O99" s="34">
        <f t="shared" si="116"/>
        <v>64.565422903465588</v>
      </c>
      <c r="P99" s="33" t="str">
        <f t="shared" si="103"/>
        <v>66,7780509511648</v>
      </c>
      <c r="Q99" s="4" t="str">
        <f t="shared" si="104"/>
        <v>1+1,58108766477294i</v>
      </c>
      <c r="R99" s="4">
        <f t="shared" si="117"/>
        <v>1.8707854510063808</v>
      </c>
      <c r="S99" s="4">
        <f t="shared" si="118"/>
        <v>1.0068390664360063</v>
      </c>
      <c r="T99" s="4" t="str">
        <f t="shared" si="105"/>
        <v>1+0,000405676516538891i</v>
      </c>
      <c r="U99" s="4">
        <f t="shared" si="119"/>
        <v>1.0000000822867146</v>
      </c>
      <c r="V99" s="4">
        <f t="shared" si="120"/>
        <v>4.0567649428436707E-4</v>
      </c>
      <c r="W99" t="str">
        <f t="shared" si="106"/>
        <v>1-0,000882497294903858i</v>
      </c>
      <c r="X99" s="4">
        <f t="shared" si="121"/>
        <v>1.0000003894006619</v>
      </c>
      <c r="Y99" s="4">
        <f t="shared" si="122"/>
        <v>-8.8249706580723335E-4</v>
      </c>
      <c r="Z99" t="str">
        <f t="shared" si="107"/>
        <v>0,999999995831306+0,000173455146090227i</v>
      </c>
      <c r="AA99" s="4">
        <f t="shared" si="123"/>
        <v>1.0000000108746498</v>
      </c>
      <c r="AB99" s="4">
        <f t="shared" si="124"/>
        <v>1.7345514507374483E-4</v>
      </c>
      <c r="AC99" s="47" t="str">
        <f t="shared" si="125"/>
        <v>19,0607126144639-30,1800817583961i</v>
      </c>
      <c r="AD99" s="20">
        <f t="shared" si="126"/>
        <v>31.052199110536627</v>
      </c>
      <c r="AE99" s="43">
        <f t="shared" si="127"/>
        <v>-57.72488720975592</v>
      </c>
      <c r="AF99" t="str">
        <f t="shared" si="108"/>
        <v>223,849857273222</v>
      </c>
      <c r="AG99" t="str">
        <f t="shared" si="109"/>
        <v>1+1,60140100604219i</v>
      </c>
      <c r="AH99">
        <f t="shared" si="128"/>
        <v>1.8879844231753975</v>
      </c>
      <c r="AI99">
        <f t="shared" si="129"/>
        <v>1.0125903048108167</v>
      </c>
      <c r="AJ99" t="str">
        <f t="shared" si="110"/>
        <v>1+0,000405676516538891i</v>
      </c>
      <c r="AK99">
        <f t="shared" si="130"/>
        <v>1.0000000822867146</v>
      </c>
      <c r="AL99">
        <f t="shared" si="131"/>
        <v>4.0567649428436707E-4</v>
      </c>
      <c r="AM99" t="str">
        <f t="shared" si="111"/>
        <v>1-0,000266645466332833i</v>
      </c>
      <c r="AN99">
        <f t="shared" si="132"/>
        <v>1.0000000355499017</v>
      </c>
      <c r="AO99">
        <f t="shared" si="133"/>
        <v>-2.6664546001335307E-4</v>
      </c>
      <c r="AP99" s="41" t="str">
        <f t="shared" si="134"/>
        <v>62,8140415732198-100,559347288185i</v>
      </c>
      <c r="AQ99">
        <f t="shared" si="135"/>
        <v>41.479169323217192</v>
      </c>
      <c r="AR99" s="43">
        <f t="shared" si="136"/>
        <v>-58.009184950040321</v>
      </c>
      <c r="AS99" t="str">
        <f t="shared" si="112"/>
        <v>-0,0000166666666666667</v>
      </c>
      <c r="AT99" t="str">
        <f t="shared" si="113"/>
        <v>4,06893546088508E-07i</v>
      </c>
      <c r="AU99">
        <f t="shared" si="137"/>
        <v>4.0689354608850802E-7</v>
      </c>
      <c r="AV99">
        <f t="shared" si="138"/>
        <v>1.5707963267948966</v>
      </c>
      <c r="AW99" t="str">
        <f t="shared" si="114"/>
        <v>1+0,000266945663923896i</v>
      </c>
      <c r="AX99">
        <f t="shared" si="139"/>
        <v>1.0000000356299932</v>
      </c>
      <c r="AY99">
        <f t="shared" si="140"/>
        <v>2.6694565758304806E-4</v>
      </c>
      <c r="AZ99" t="str">
        <f t="shared" si="115"/>
        <v>1+0,0892488336385559i</v>
      </c>
      <c r="BA99">
        <f t="shared" si="141"/>
        <v>1.0039747777239441</v>
      </c>
      <c r="BB99">
        <f t="shared" si="142"/>
        <v>8.9012993552790354E-2</v>
      </c>
      <c r="BC99" s="41" t="str">
        <f t="shared" si="143"/>
        <v>-3,64476501242042+40,9617274977186i</v>
      </c>
      <c r="BD99">
        <f t="shared" si="144"/>
        <v>32.281814703631511</v>
      </c>
      <c r="BE99" s="43">
        <f t="shared" si="145"/>
        <v>95.084773992861216</v>
      </c>
      <c r="BF99" s="41" t="str">
        <f t="shared" si="146"/>
        <v>1166,75646639729+890,759022090988i</v>
      </c>
      <c r="BG99" s="20">
        <f t="shared" si="147"/>
        <v>63.334013814168131</v>
      </c>
      <c r="BH99" s="43">
        <f t="shared" si="148"/>
        <v>37.359886783105324</v>
      </c>
      <c r="BI99" s="41" t="str">
        <f t="shared" si="101"/>
        <v>3890,14215995229+2939,48684462041i</v>
      </c>
      <c r="BJ99" s="20">
        <f t="shared" si="149"/>
        <v>73.760984026848703</v>
      </c>
      <c r="BK99" s="43">
        <f t="shared" si="102"/>
        <v>37.07558904282093</v>
      </c>
      <c r="BL99">
        <f t="shared" si="150"/>
        <v>63.334013814168131</v>
      </c>
      <c r="BM99" s="43">
        <f t="shared" si="151"/>
        <v>37.359886783105324</v>
      </c>
    </row>
    <row r="100" spans="14:65" x14ac:dyDescent="0.25">
      <c r="N100" s="9">
        <v>82</v>
      </c>
      <c r="O100" s="34">
        <f t="shared" si="116"/>
        <v>66.069344800759623</v>
      </c>
      <c r="P100" s="33" t="str">
        <f t="shared" si="103"/>
        <v>66,7780509511648</v>
      </c>
      <c r="Q100" s="4" t="str">
        <f t="shared" si="104"/>
        <v>1+1,61791592754369i</v>
      </c>
      <c r="R100" s="4">
        <f t="shared" si="117"/>
        <v>1.9020126047425552</v>
      </c>
      <c r="S100" s="4">
        <f t="shared" si="118"/>
        <v>1.0171893348600405</v>
      </c>
      <c r="T100" s="4" t="str">
        <f t="shared" si="105"/>
        <v>1+0,000415125936507115i</v>
      </c>
      <c r="U100" s="4">
        <f t="shared" si="119"/>
        <v>1.0000000861647678</v>
      </c>
      <c r="V100" s="4">
        <f t="shared" si="120"/>
        <v>4.151259126609631E-4</v>
      </c>
      <c r="W100" t="str">
        <f t="shared" si="106"/>
        <v>1-0,00090305329758184i</v>
      </c>
      <c r="X100" s="4">
        <f t="shared" si="121"/>
        <v>1.000000407752546</v>
      </c>
      <c r="Y100" s="4">
        <f t="shared" si="122"/>
        <v>-9.0305305210038923E-4</v>
      </c>
      <c r="Z100" t="str">
        <f t="shared" si="107"/>
        <v>0,999999995634842+0,000177495435469164i</v>
      </c>
      <c r="AA100" s="4">
        <f t="shared" si="123"/>
        <v>1.0000000113871568</v>
      </c>
      <c r="AB100" s="4">
        <f t="shared" si="124"/>
        <v>1.7749543437998365E-4</v>
      </c>
      <c r="AC100" s="47" t="str">
        <f t="shared" si="125"/>
        <v>18,4390804329125-29,8773175623692i</v>
      </c>
      <c r="AD100" s="20">
        <f t="shared" si="126"/>
        <v>30.908411160397907</v>
      </c>
      <c r="AE100" s="43">
        <f t="shared" si="127"/>
        <v>-58.318781758272351</v>
      </c>
      <c r="AF100" t="str">
        <f t="shared" si="108"/>
        <v>223,849857273222</v>
      </c>
      <c r="AG100" t="str">
        <f t="shared" si="109"/>
        <v>1+1,63870242731433i</v>
      </c>
      <c r="AH100">
        <f t="shared" si="128"/>
        <v>1.9197254088243656</v>
      </c>
      <c r="AI100">
        <f t="shared" si="129"/>
        <v>1.0228822040774888</v>
      </c>
      <c r="AJ100" t="str">
        <f t="shared" si="110"/>
        <v>1+0,000415125936507115i</v>
      </c>
      <c r="AK100">
        <f t="shared" si="130"/>
        <v>1.0000000861647678</v>
      </c>
      <c r="AL100">
        <f t="shared" si="131"/>
        <v>4.151259126609631E-4</v>
      </c>
      <c r="AM100" t="str">
        <f t="shared" si="111"/>
        <v>1-0,000272856437121822i</v>
      </c>
      <c r="AN100">
        <f t="shared" si="132"/>
        <v>1.0000000372253168</v>
      </c>
      <c r="AO100">
        <f t="shared" si="133"/>
        <v>-2.7285643035037727E-4</v>
      </c>
      <c r="AP100" s="41" t="str">
        <f t="shared" si="134"/>
        <v>60,7547003584159-99,5270279409593i</v>
      </c>
      <c r="AQ100">
        <f t="shared" si="135"/>
        <v>41.334355246036452</v>
      </c>
      <c r="AR100" s="43">
        <f t="shared" si="136"/>
        <v>-58.598681791789595</v>
      </c>
      <c r="AS100" t="str">
        <f t="shared" si="112"/>
        <v>-0,0000166666666666667</v>
      </c>
      <c r="AT100" t="str">
        <f t="shared" si="113"/>
        <v>4,16371314316636E-07i</v>
      </c>
      <c r="AU100">
        <f t="shared" si="137"/>
        <v>4.1637131431663602E-7</v>
      </c>
      <c r="AV100">
        <f t="shared" si="138"/>
        <v>1.5707963267948966</v>
      </c>
      <c r="AW100" t="str">
        <f t="shared" si="114"/>
        <v>1+0,000273163627213057i</v>
      </c>
      <c r="AX100">
        <f t="shared" si="139"/>
        <v>1.0000000373091829</v>
      </c>
      <c r="AY100">
        <f t="shared" si="140"/>
        <v>2.7316362041871601E-4</v>
      </c>
      <c r="AZ100" t="str">
        <f t="shared" si="115"/>
        <v>1+0,0913277060315652i</v>
      </c>
      <c r="BA100">
        <f t="shared" si="141"/>
        <v>1.0041617150085878</v>
      </c>
      <c r="BB100">
        <f t="shared" si="142"/>
        <v>9.1075055357768095E-2</v>
      </c>
      <c r="BC100" s="41" t="str">
        <f t="shared" si="143"/>
        <v>-3,64476500017994+40,0293695555732i</v>
      </c>
      <c r="BD100">
        <f t="shared" si="144"/>
        <v>32.083431826759956</v>
      </c>
      <c r="BE100" s="43">
        <f t="shared" si="145"/>
        <v>95.202565168353956</v>
      </c>
      <c r="BF100" s="41" t="str">
        <f t="shared" si="146"/>
        <v>1128,76407103591+847,000566264578i</v>
      </c>
      <c r="BG100" s="20">
        <f t="shared" si="147"/>
        <v>62.991842987157852</v>
      </c>
      <c r="BH100" s="43">
        <f t="shared" si="148"/>
        <v>36.883783410081662</v>
      </c>
      <c r="BI100" s="41" t="str">
        <f t="shared" si="101"/>
        <v>3762,56757675375+2794,72498089629i</v>
      </c>
      <c r="BJ100" s="20">
        <f t="shared" si="149"/>
        <v>73.417787072796415</v>
      </c>
      <c r="BK100" s="43">
        <f t="shared" si="102"/>
        <v>36.603883376564397</v>
      </c>
      <c r="BL100">
        <f t="shared" si="150"/>
        <v>62.991842987157852</v>
      </c>
      <c r="BM100" s="43">
        <f t="shared" si="151"/>
        <v>36.883783410081662</v>
      </c>
    </row>
    <row r="101" spans="14:65" x14ac:dyDescent="0.25">
      <c r="N101" s="9">
        <v>83</v>
      </c>
      <c r="O101" s="34">
        <f t="shared" si="116"/>
        <v>67.60829753919819</v>
      </c>
      <c r="P101" s="33" t="str">
        <f t="shared" si="103"/>
        <v>66,7780509511648</v>
      </c>
      <c r="Q101" s="4" t="str">
        <f t="shared" si="104"/>
        <v>1+1,65560203075488i</v>
      </c>
      <c r="R101" s="4">
        <f t="shared" si="117"/>
        <v>1.9341711620845978</v>
      </c>
      <c r="S101" s="4">
        <f t="shared" si="118"/>
        <v>1.0274335935041283</v>
      </c>
      <c r="T101" s="4" t="str">
        <f t="shared" si="105"/>
        <v>1+0,000424795461741716i</v>
      </c>
      <c r="U101" s="4">
        <f t="shared" si="119"/>
        <v>1.0000000902255881</v>
      </c>
      <c r="V101" s="4">
        <f t="shared" si="120"/>
        <v>4.2479543619010406E-4</v>
      </c>
      <c r="W101" t="str">
        <f t="shared" si="106"/>
        <v>1-0,000924088111071524i</v>
      </c>
      <c r="X101" s="4">
        <f t="shared" si="121"/>
        <v>1.0000004269693272</v>
      </c>
      <c r="Y101" s="4">
        <f t="shared" si="122"/>
        <v>-9.2408784803341647E-4</v>
      </c>
      <c r="Z101" t="str">
        <f t="shared" si="107"/>
        <v>0,999999995429118+0,000181629835277416i</v>
      </c>
      <c r="AA101" s="4">
        <f t="shared" si="123"/>
        <v>1.0000000119238164</v>
      </c>
      <c r="AB101" s="4">
        <f t="shared" si="124"/>
        <v>1.816298341103383E-4</v>
      </c>
      <c r="AC101" s="47" t="str">
        <f t="shared" si="125"/>
        <v>17,8301163905677-29,5650475847151i</v>
      </c>
      <c r="AD101" s="20">
        <f t="shared" si="126"/>
        <v>30.762781096000225</v>
      </c>
      <c r="AE101" s="43">
        <f t="shared" si="127"/>
        <v>-58.906622608616139</v>
      </c>
      <c r="AF101" t="str">
        <f t="shared" si="108"/>
        <v>223,849857273222</v>
      </c>
      <c r="AG101" t="str">
        <f t="shared" si="109"/>
        <v>1+1,67687271030421i</v>
      </c>
      <c r="AH101">
        <f t="shared" si="128"/>
        <v>1.9524093030312542</v>
      </c>
      <c r="AI101">
        <f t="shared" si="129"/>
        <v>1.0330663099504556</v>
      </c>
      <c r="AJ101" t="str">
        <f t="shared" si="110"/>
        <v>1+0,000424795461741716i</v>
      </c>
      <c r="AK101">
        <f t="shared" si="130"/>
        <v>1.0000000902255881</v>
      </c>
      <c r="AL101">
        <f t="shared" si="131"/>
        <v>4.2479543619010406E-4</v>
      </c>
      <c r="AM101" t="str">
        <f t="shared" si="111"/>
        <v>1-0,000279212080005454i</v>
      </c>
      <c r="AN101">
        <f t="shared" si="132"/>
        <v>1.0000000389796921</v>
      </c>
      <c r="AO101">
        <f t="shared" si="133"/>
        <v>-2.7921207274972029E-4</v>
      </c>
      <c r="AP101" s="41" t="str">
        <f t="shared" si="134"/>
        <v>58,7382692526374-98,4640119410255i</v>
      </c>
      <c r="AQ101">
        <f t="shared" si="135"/>
        <v>41.187720191359574</v>
      </c>
      <c r="AR101" s="43">
        <f t="shared" si="136"/>
        <v>-59.181998205022417</v>
      </c>
      <c r="AS101" t="str">
        <f t="shared" si="112"/>
        <v>-0,0000166666666666667</v>
      </c>
      <c r="AT101" t="str">
        <f t="shared" si="113"/>
        <v>4,26069848126941E-07i</v>
      </c>
      <c r="AU101">
        <f t="shared" si="137"/>
        <v>4.26069848126941E-7</v>
      </c>
      <c r="AV101">
        <f t="shared" si="138"/>
        <v>1.5707963267948966</v>
      </c>
      <c r="AW101" t="str">
        <f t="shared" si="114"/>
        <v>1+0,000279526425473113i</v>
      </c>
      <c r="AX101">
        <f t="shared" si="139"/>
        <v>1.0000000390675106</v>
      </c>
      <c r="AY101">
        <f t="shared" si="140"/>
        <v>2.7952641819284547E-4</v>
      </c>
      <c r="AZ101" t="str">
        <f t="shared" si="115"/>
        <v>1+0,0934550015831774i</v>
      </c>
      <c r="BA101">
        <f t="shared" si="141"/>
        <v>1.0043574250837755</v>
      </c>
      <c r="BB101">
        <f t="shared" si="142"/>
        <v>9.3184344903056548E-2</v>
      </c>
      <c r="BC101" s="41" t="str">
        <f t="shared" si="143"/>
        <v>-3,64476498736256+39,1182357150174i</v>
      </c>
      <c r="BD101">
        <f t="shared" si="144"/>
        <v>31.885124517407426</v>
      </c>
      <c r="BE101" s="43">
        <f t="shared" si="145"/>
        <v>95.323053995611687</v>
      </c>
      <c r="BF101" s="41" t="str">
        <f t="shared" si="146"/>
        <v>1091,54591640365+805,2403460789i</v>
      </c>
      <c r="BG101" s="20">
        <f t="shared" si="147"/>
        <v>62.647905613407644</v>
      </c>
      <c r="BH101" s="43">
        <f t="shared" si="148"/>
        <v>36.416431386995576</v>
      </c>
      <c r="BI101" s="41" t="str">
        <f t="shared" si="101"/>
        <v>3637,65124136504+2656,61564535473i</v>
      </c>
      <c r="BJ101" s="20">
        <f t="shared" si="149"/>
        <v>73.072844708767008</v>
      </c>
      <c r="BK101" s="43">
        <f t="shared" si="102"/>
        <v>36.141055790589284</v>
      </c>
      <c r="BL101">
        <f t="shared" si="150"/>
        <v>62.647905613407644</v>
      </c>
      <c r="BM101" s="43">
        <f t="shared" si="151"/>
        <v>36.416431386995576</v>
      </c>
    </row>
    <row r="102" spans="14:65" x14ac:dyDescent="0.25">
      <c r="N102" s="9">
        <v>84</v>
      </c>
      <c r="O102" s="34">
        <f t="shared" si="116"/>
        <v>69.183097091893657</v>
      </c>
      <c r="P102" s="33" t="str">
        <f t="shared" si="103"/>
        <v>66,7780509511648</v>
      </c>
      <c r="Q102" s="4" t="str">
        <f t="shared" si="104"/>
        <v>1+1,69416595607725i</v>
      </c>
      <c r="R102" s="4">
        <f t="shared" si="117"/>
        <v>1.9672819540500905</v>
      </c>
      <c r="S102" s="4">
        <f t="shared" si="118"/>
        <v>1.0375686729268851</v>
      </c>
      <c r="T102" s="4" t="str">
        <f t="shared" si="105"/>
        <v>1+0,000434690219152965i</v>
      </c>
      <c r="U102" s="4">
        <f t="shared" si="119"/>
        <v>1.0000000944777889</v>
      </c>
      <c r="V102" s="4">
        <f t="shared" si="120"/>
        <v>4.3469019177391961E-4</v>
      </c>
      <c r="W102" t="str">
        <f t="shared" si="106"/>
        <v>1-0,000945612888309449i</v>
      </c>
      <c r="X102" s="4">
        <f t="shared" si="121"/>
        <v>1.0000004470917674</v>
      </c>
      <c r="Y102" s="4">
        <f t="shared" si="122"/>
        <v>-9.4561260645904561E-4</v>
      </c>
      <c r="Z102" t="str">
        <f t="shared" si="107"/>
        <v>0,999999995213699+0,000185860537628487i</v>
      </c>
      <c r="AA102" s="4">
        <f t="shared" si="123"/>
        <v>1.0000000124857686</v>
      </c>
      <c r="AB102" s="4">
        <f t="shared" si="124"/>
        <v>1.8586053637794072E-4</v>
      </c>
      <c r="AC102" s="47" t="str">
        <f t="shared" si="125"/>
        <v>17,2340629288813-29,2438925272648i</v>
      </c>
      <c r="AD102" s="20">
        <f t="shared" si="126"/>
        <v>30.61534721540886</v>
      </c>
      <c r="AE102" s="43">
        <f t="shared" si="127"/>
        <v>-59.488228636032879</v>
      </c>
      <c r="AF102" t="str">
        <f t="shared" si="108"/>
        <v>223,849857273222</v>
      </c>
      <c r="AG102" t="str">
        <f t="shared" si="109"/>
        <v>1+1,71593209340113i</v>
      </c>
      <c r="AH102">
        <f t="shared" si="128"/>
        <v>1.9860571364298623</v>
      </c>
      <c r="AI102">
        <f t="shared" si="129"/>
        <v>1.0431395716675822</v>
      </c>
      <c r="AJ102" t="str">
        <f t="shared" si="110"/>
        <v>1+0,000434690219152965i</v>
      </c>
      <c r="AK102">
        <f t="shared" si="130"/>
        <v>1.0000000944777889</v>
      </c>
      <c r="AL102">
        <f t="shared" si="131"/>
        <v>4.3469019177391961E-4</v>
      </c>
      <c r="AM102" t="str">
        <f t="shared" si="111"/>
        <v>1-0,000285715764829715i</v>
      </c>
      <c r="AN102">
        <f t="shared" si="132"/>
        <v>1.0000000408167482</v>
      </c>
      <c r="AO102">
        <f t="shared" si="133"/>
        <v>-2.8571575705505626E-4</v>
      </c>
      <c r="AP102" s="41" t="str">
        <f t="shared" si="134"/>
        <v>56,7654916093483-97,3723809398358i</v>
      </c>
      <c r="AQ102">
        <f t="shared" si="135"/>
        <v>41.039302842235088</v>
      </c>
      <c r="AR102" s="43">
        <f t="shared" si="136"/>
        <v>-59.75895929327222</v>
      </c>
      <c r="AS102" t="str">
        <f t="shared" si="112"/>
        <v>-0,0000166666666666667</v>
      </c>
      <c r="AT102" t="str">
        <f t="shared" si="113"/>
        <v>4,35994289810424E-07i</v>
      </c>
      <c r="AU102">
        <f t="shared" si="137"/>
        <v>4.3599428981042399E-7</v>
      </c>
      <c r="AV102">
        <f t="shared" si="138"/>
        <v>1.5707963267948966</v>
      </c>
      <c r="AW102" t="str">
        <f t="shared" si="114"/>
        <v>1+0,000286037432343925i</v>
      </c>
      <c r="AX102">
        <f t="shared" si="139"/>
        <v>1.0000000409087055</v>
      </c>
      <c r="AY102">
        <f t="shared" si="140"/>
        <v>2.8603742454297781E-4</v>
      </c>
      <c r="AZ102" t="str">
        <f t="shared" si="115"/>
        <v>1+0,0956318482136522i</v>
      </c>
      <c r="BA102">
        <f t="shared" si="141"/>
        <v>1.0045623178244141</v>
      </c>
      <c r="BB102">
        <f t="shared" si="142"/>
        <v>9.5341905444871838E-2</v>
      </c>
      <c r="BC102" s="41" t="str">
        <f t="shared" si="143"/>
        <v>-3,64476497394111+38,2278428808282i</v>
      </c>
      <c r="BD102">
        <f t="shared" si="144"/>
        <v>31.686896275270342</v>
      </c>
      <c r="BE102" s="43">
        <f t="shared" si="145"/>
        <v>95.446300055517426</v>
      </c>
      <c r="BF102" s="41" t="str">
        <f t="shared" si="146"/>
        <v>1055,11681983422+765,408165028653i</v>
      </c>
      <c r="BG102" s="20">
        <f t="shared" si="147"/>
        <v>62.302243490679203</v>
      </c>
      <c r="BH102" s="43">
        <f t="shared" si="148"/>
        <v>35.958071419484597</v>
      </c>
      <c r="BI102" s="41" t="str">
        <f t="shared" si="101"/>
        <v>3515,43920395389+2524,9217377739i</v>
      </c>
      <c r="BJ102" s="20">
        <f t="shared" si="149"/>
        <v>72.726199117505416</v>
      </c>
      <c r="BK102" s="43">
        <f t="shared" si="102"/>
        <v>35.687340762245213</v>
      </c>
      <c r="BL102">
        <f t="shared" si="150"/>
        <v>62.302243490679203</v>
      </c>
      <c r="BM102" s="43">
        <f t="shared" si="151"/>
        <v>35.958071419484597</v>
      </c>
    </row>
    <row r="103" spans="14:65" x14ac:dyDescent="0.25">
      <c r="N103" s="9">
        <v>85</v>
      </c>
      <c r="O103" s="34">
        <f t="shared" si="116"/>
        <v>70.794578438413865</v>
      </c>
      <c r="P103" s="33" t="str">
        <f t="shared" si="103"/>
        <v>66,7780509511648</v>
      </c>
      <c r="Q103" s="4" t="str">
        <f t="shared" si="104"/>
        <v>1+1,73362815061448i</v>
      </c>
      <c r="R103" s="4">
        <f t="shared" si="117"/>
        <v>2.0013661745425253</v>
      </c>
      <c r="S103" s="4">
        <f t="shared" si="118"/>
        <v>1.0475916177863329</v>
      </c>
      <c r="T103" s="4" t="str">
        <f t="shared" si="105"/>
        <v>1+0,000444815455072215i</v>
      </c>
      <c r="U103" s="4">
        <f t="shared" si="119"/>
        <v>1.0000000989303897</v>
      </c>
      <c r="V103" s="4">
        <f t="shared" si="120"/>
        <v>4.448154257350395E-4</v>
      </c>
      <c r="W103" t="str">
        <f t="shared" si="106"/>
        <v>1-0,000967639042017424i</v>
      </c>
      <c r="X103" s="4">
        <f t="shared" si="121"/>
        <v>1.0000004681625483</v>
      </c>
      <c r="Y103" s="4">
        <f t="shared" si="122"/>
        <v>-9.6763874000928317E-4</v>
      </c>
      <c r="Z103" t="str">
        <f t="shared" si="107"/>
        <v>0,999999994988128+0,000190189785696765i</v>
      </c>
      <c r="AA103" s="4">
        <f t="shared" si="123"/>
        <v>1.0000000130742053</v>
      </c>
      <c r="AB103" s="4">
        <f t="shared" si="124"/>
        <v>1.9018978435678043E-4</v>
      </c>
      <c r="AC103" s="47" t="str">
        <f t="shared" si="125"/>
        <v>16,6511255399909-28,9144736229177i</v>
      </c>
      <c r="AD103" s="20">
        <f t="shared" si="126"/>
        <v>30.466148487028857</v>
      </c>
      <c r="AE103" s="43">
        <f t="shared" si="127"/>
        <v>-60.063430993728069</v>
      </c>
      <c r="AF103" t="str">
        <f t="shared" si="108"/>
        <v>223,849857273222</v>
      </c>
      <c r="AG103" t="str">
        <f t="shared" si="109"/>
        <v>1+1,75590128640703i</v>
      </c>
      <c r="AH103">
        <f t="shared" si="128"/>
        <v>2.0206903096728754</v>
      </c>
      <c r="AI103">
        <f t="shared" si="129"/>
        <v>1.053099152538524</v>
      </c>
      <c r="AJ103" t="str">
        <f t="shared" si="110"/>
        <v>1+0,000444815455072215i</v>
      </c>
      <c r="AK103">
        <f t="shared" si="130"/>
        <v>1.0000000989303897</v>
      </c>
      <c r="AL103">
        <f t="shared" si="131"/>
        <v>4.448154257350395E-4</v>
      </c>
      <c r="AM103" t="str">
        <f t="shared" si="111"/>
        <v>1-0,000292370939934383i</v>
      </c>
      <c r="AN103">
        <f t="shared" si="132"/>
        <v>1.0000000427403823</v>
      </c>
      <c r="AO103">
        <f t="shared" si="133"/>
        <v>-2.9237093160368609E-4</v>
      </c>
      <c r="AP103" s="41" t="str">
        <f t="shared" si="134"/>
        <v>54,8369884408795-96,254213863072i</v>
      </c>
      <c r="AQ103">
        <f t="shared" si="135"/>
        <v>40.889142491062273</v>
      </c>
      <c r="AR103" s="43">
        <f t="shared" si="136"/>
        <v>-60.329402423137374</v>
      </c>
      <c r="AS103" t="str">
        <f t="shared" si="112"/>
        <v>-0,0000166666666666667</v>
      </c>
      <c r="AT103" t="str">
        <f t="shared" si="113"/>
        <v>4,46149901437431E-07i</v>
      </c>
      <c r="AU103">
        <f t="shared" si="137"/>
        <v>4.4614990143743102E-7</v>
      </c>
      <c r="AV103">
        <f t="shared" si="138"/>
        <v>1.5707963267948966</v>
      </c>
      <c r="AW103" t="str">
        <f t="shared" si="114"/>
        <v>1+0,000292700100047519i</v>
      </c>
      <c r="AX103">
        <f t="shared" si="139"/>
        <v>1.0000000428366733</v>
      </c>
      <c r="AY103">
        <f t="shared" si="140"/>
        <v>2.9270009168865354E-4</v>
      </c>
      <c r="AZ103" t="str">
        <f t="shared" si="115"/>
        <v>1+0,0978594001158872i</v>
      </c>
      <c r="BA103">
        <f t="shared" si="141"/>
        <v>1.0047768220809241</v>
      </c>
      <c r="BB103">
        <f t="shared" si="142"/>
        <v>9.7548800557363882E-2</v>
      </c>
      <c r="BC103" s="41" t="str">
        <f t="shared" si="143"/>
        <v>-3,64476495988712+37,3577189549396i</v>
      </c>
      <c r="BD103">
        <f t="shared" si="144"/>
        <v>31.488750759110069</v>
      </c>
      <c r="BE103" s="43">
        <f t="shared" si="145"/>
        <v>95.572364088583484</v>
      </c>
      <c r="BF103" s="41" t="str">
        <f t="shared" si="146"/>
        <v>1019,48934042413+727,434528500788i</v>
      </c>
      <c r="BG103" s="20">
        <f t="shared" si="147"/>
        <v>61.954899246138908</v>
      </c>
      <c r="BH103" s="43">
        <f t="shared" si="148"/>
        <v>35.508933094855514</v>
      </c>
      <c r="BI103" s="41" t="str">
        <f t="shared" si="101"/>
        <v>3395,96993575024+2399,40878843925i</v>
      </c>
      <c r="BJ103" s="20">
        <f t="shared" si="149"/>
        <v>72.377893250172335</v>
      </c>
      <c r="BK103" s="43">
        <f t="shared" si="102"/>
        <v>35.242961665446096</v>
      </c>
      <c r="BL103">
        <f t="shared" si="150"/>
        <v>61.954899246138908</v>
      </c>
      <c r="BM103" s="43">
        <f t="shared" si="151"/>
        <v>35.508933094855514</v>
      </c>
    </row>
    <row r="104" spans="14:65" x14ac:dyDescent="0.25">
      <c r="N104" s="9">
        <v>86</v>
      </c>
      <c r="O104" s="34">
        <f t="shared" si="116"/>
        <v>72.443596007499011</v>
      </c>
      <c r="P104" s="33" t="str">
        <f t="shared" si="103"/>
        <v>66,7780509511648</v>
      </c>
      <c r="Q104" s="4" t="str">
        <f t="shared" si="104"/>
        <v>1+1,77400953774443i</v>
      </c>
      <c r="R104" s="4">
        <f t="shared" si="117"/>
        <v>2.0364453933283371</v>
      </c>
      <c r="S104" s="4">
        <f t="shared" si="118"/>
        <v>1.057499686606205</v>
      </c>
      <c r="T104" s="4" t="str">
        <f t="shared" si="105"/>
        <v>1+0,000455176538033571i</v>
      </c>
      <c r="U104" s="4">
        <f t="shared" si="119"/>
        <v>1.000000103592835</v>
      </c>
      <c r="V104" s="4">
        <f t="shared" si="120"/>
        <v>4.5517650659822128E-4</v>
      </c>
      <c r="W104" t="str">
        <f t="shared" si="106"/>
        <v>1-0,000990178250753689i</v>
      </c>
      <c r="X104" s="4">
        <f t="shared" si="121"/>
        <v>1.0000004902263639</v>
      </c>
      <c r="Y104" s="4">
        <f t="shared" si="122"/>
        <v>-9.9017792714614443E-4</v>
      </c>
      <c r="Z104" t="str">
        <f t="shared" si="107"/>
        <v>0,999999994751925+0,000194619874906877i</v>
      </c>
      <c r="AA104" s="4">
        <f t="shared" si="123"/>
        <v>1.0000000136903728</v>
      </c>
      <c r="AB104" s="4">
        <f t="shared" si="124"/>
        <v>1.9461987347105781E-4</v>
      </c>
      <c r="AC104" s="47" t="str">
        <f t="shared" si="125"/>
        <v>16,0814735885429-28,5774102389498i</v>
      </c>
      <c r="AD104" s="20">
        <f t="shared" si="126"/>
        <v>30.315224440176955</v>
      </c>
      <c r="AE104" s="43">
        <f t="shared" si="127"/>
        <v>-60.632073099732906</v>
      </c>
      <c r="AF104" t="str">
        <f t="shared" si="108"/>
        <v>223,849857273222</v>
      </c>
      <c r="AG104" t="str">
        <f t="shared" si="109"/>
        <v>1+1,79680148151707i</v>
      </c>
      <c r="AH104">
        <f t="shared" si="128"/>
        <v>2.056330606683161</v>
      </c>
      <c r="AI104">
        <f t="shared" si="129"/>
        <v>1.0629424292599599</v>
      </c>
      <c r="AJ104" t="str">
        <f t="shared" si="110"/>
        <v>1+0,000455176538033571i</v>
      </c>
      <c r="AK104">
        <f t="shared" si="130"/>
        <v>1.000000103592835</v>
      </c>
      <c r="AL104">
        <f t="shared" si="131"/>
        <v>4.5517650659822128E-4</v>
      </c>
      <c r="AM104" t="str">
        <f t="shared" si="111"/>
        <v>1-0,000299181133981391i</v>
      </c>
      <c r="AN104">
        <f t="shared" si="132"/>
        <v>1.0000000447546744</v>
      </c>
      <c r="AO104">
        <f t="shared" si="133"/>
        <v>-2.9918112505488846E-4</v>
      </c>
      <c r="AP104" s="41" t="str">
        <f t="shared" si="134"/>
        <v>52,9532614771261-95,1115791243287i</v>
      </c>
      <c r="AQ104">
        <f t="shared" si="135"/>
        <v>40.737278931602567</v>
      </c>
      <c r="AR104" s="43">
        <f t="shared" si="136"/>
        <v>-60.893177184992823</v>
      </c>
      <c r="AS104" t="str">
        <f t="shared" si="112"/>
        <v>-0,0000166666666666667</v>
      </c>
      <c r="AT104" t="str">
        <f t="shared" si="113"/>
        <v>4,56542067647672E-07i</v>
      </c>
      <c r="AU104">
        <f t="shared" si="137"/>
        <v>4.5654206764767201E-7</v>
      </c>
      <c r="AV104">
        <f t="shared" si="138"/>
        <v>1.5707963267948966</v>
      </c>
      <c r="AW104" t="str">
        <f t="shared" si="114"/>
        <v>1+0,000299517961218501i</v>
      </c>
      <c r="AX104">
        <f t="shared" si="139"/>
        <v>1.0000000448555035</v>
      </c>
      <c r="AY104">
        <f t="shared" si="140"/>
        <v>2.9951795226181531E-4</v>
      </c>
      <c r="AZ104" t="str">
        <f t="shared" si="115"/>
        <v>1+0,100138838367386i</v>
      </c>
      <c r="BA104">
        <f t="shared" si="141"/>
        <v>1.0050013865411178</v>
      </c>
      <c r="BB104">
        <f t="shared" si="142"/>
        <v>9.9806114330779627E-2</v>
      </c>
      <c r="BC104" s="41" t="str">
        <f t="shared" si="143"/>
        <v>-3,64476494517082+36,5074025861282i</v>
      </c>
      <c r="BD104">
        <f t="shared" si="144"/>
        <v>31.290691793694421</v>
      </c>
      <c r="BE104" s="43">
        <f t="shared" si="145"/>
        <v>95.701308006200847</v>
      </c>
      <c r="BF104" s="41" t="str">
        <f t="shared" si="146"/>
        <v>984,673829260071+691,250773537813i</v>
      </c>
      <c r="BG104" s="20">
        <f t="shared" si="147"/>
        <v>61.605916233871376</v>
      </c>
      <c r="BH104" s="43">
        <f t="shared" si="148"/>
        <v>35.069234906467919</v>
      </c>
      <c r="BI104" s="41" t="str">
        <f t="shared" si="101"/>
        <v>3279,27451852996+2279,84538446615i</v>
      </c>
      <c r="BJ104" s="20">
        <f t="shared" si="149"/>
        <v>72.027970725296981</v>
      </c>
      <c r="BK104" s="43">
        <f t="shared" si="102"/>
        <v>34.808130821208024</v>
      </c>
      <c r="BL104">
        <f t="shared" si="150"/>
        <v>61.605916233871376</v>
      </c>
      <c r="BM104" s="43">
        <f t="shared" si="151"/>
        <v>35.069234906467919</v>
      </c>
    </row>
    <row r="105" spans="14:65" x14ac:dyDescent="0.25">
      <c r="N105" s="9">
        <v>87</v>
      </c>
      <c r="O105" s="34">
        <f t="shared" si="116"/>
        <v>74.131024130091816</v>
      </c>
      <c r="P105" s="33" t="str">
        <f t="shared" si="103"/>
        <v>66,7780509511648</v>
      </c>
      <c r="Q105" s="4" t="str">
        <f t="shared" si="104"/>
        <v>1+1,8153315282131i</v>
      </c>
      <c r="R105" s="4">
        <f t="shared" si="117"/>
        <v>2.0725415695045801</v>
      </c>
      <c r="S105" s="4">
        <f t="shared" si="118"/>
        <v>1.0672903507389508</v>
      </c>
      <c r="T105" s="4" t="str">
        <f t="shared" si="105"/>
        <v>1+0,000465778961620368i</v>
      </c>
      <c r="U105" s="4">
        <f t="shared" si="119"/>
        <v>1.0000001084750147</v>
      </c>
      <c r="V105" s="4">
        <f t="shared" si="120"/>
        <v>4.6577892793678408E-4</v>
      </c>
      <c r="W105" t="str">
        <f t="shared" si="106"/>
        <v>1-0,00101324246510507i</v>
      </c>
      <c r="X105" s="4">
        <f t="shared" si="121"/>
        <v>1.0000005133300147</v>
      </c>
      <c r="Y105" s="4">
        <f t="shared" si="122"/>
        <v>-1.0132421183533483E-3</v>
      </c>
      <c r="Z105" t="str">
        <f t="shared" si="107"/>
        <v>0,999999994504591+0,000199153154150765i</v>
      </c>
      <c r="AA105" s="4">
        <f t="shared" si="123"/>
        <v>1.0000000143355805</v>
      </c>
      <c r="AB105" s="4">
        <f t="shared" si="124"/>
        <v>1.9915315261225699E-4</v>
      </c>
      <c r="AC105" s="47" t="str">
        <f t="shared" si="125"/>
        <v>15,5252412939663-28,2333176139036i</v>
      </c>
      <c r="AD105" s="20">
        <f t="shared" si="126"/>
        <v>30.162615058357321</v>
      </c>
      <c r="AE105" s="43">
        <f t="shared" si="127"/>
        <v>-61.194010577750262</v>
      </c>
      <c r="AF105" t="str">
        <f t="shared" si="108"/>
        <v>223,849857273222</v>
      </c>
      <c r="AG105" t="str">
        <f t="shared" si="109"/>
        <v>1+1,83865436455609i</v>
      </c>
      <c r="AH105">
        <f t="shared" si="128"/>
        <v>2.0930002083853596</v>
      </c>
      <c r="AI105">
        <f t="shared" si="129"/>
        <v>1.0726669904535693</v>
      </c>
      <c r="AJ105" t="str">
        <f t="shared" si="110"/>
        <v>1+0,000465778961620368i</v>
      </c>
      <c r="AK105">
        <f t="shared" si="130"/>
        <v>1.0000001084750147</v>
      </c>
      <c r="AL105">
        <f t="shared" si="131"/>
        <v>4.6577892793678408E-4</v>
      </c>
      <c r="AM105" t="str">
        <f t="shared" si="111"/>
        <v>1-0,000306149957825767i</v>
      </c>
      <c r="AN105">
        <f t="shared" si="132"/>
        <v>1.0000000468638972</v>
      </c>
      <c r="AO105">
        <f t="shared" si="133"/>
        <v>-3.061499482608472E-4</v>
      </c>
      <c r="AP105" s="41" t="str">
        <f t="shared" si="134"/>
        <v>51,1146967295446-93,9465273050219i</v>
      </c>
      <c r="AQ105">
        <f t="shared" si="135"/>
        <v>40.583752353953251</v>
      </c>
      <c r="AR105" s="43">
        <f t="shared" si="136"/>
        <v>-61.450145309165855</v>
      </c>
      <c r="AS105" t="str">
        <f t="shared" si="112"/>
        <v>-0,0000166666666666667</v>
      </c>
      <c r="AT105" t="str">
        <f t="shared" si="113"/>
        <v>4,67176298505229E-07i</v>
      </c>
      <c r="AU105">
        <f t="shared" si="137"/>
        <v>4.67176298505229E-7</v>
      </c>
      <c r="AV105">
        <f t="shared" si="138"/>
        <v>1.5707963267948966</v>
      </c>
      <c r="AW105" t="str">
        <f t="shared" si="114"/>
        <v>1+0,000306494630777112i</v>
      </c>
      <c r="AX105">
        <f t="shared" si="139"/>
        <v>1.0000000469694783</v>
      </c>
      <c r="AY105">
        <f t="shared" si="140"/>
        <v>3.0649462117985038E-4</v>
      </c>
      <c r="AZ105" t="str">
        <f t="shared" si="115"/>
        <v>1+0,102471371556481i</v>
      </c>
      <c r="BA105">
        <f t="shared" si="141"/>
        <v>1.005236480629641</v>
      </c>
      <c r="BB105">
        <f t="shared" si="142"/>
        <v>0.10211495155572795</v>
      </c>
      <c r="BC105" s="41" t="str">
        <f t="shared" si="143"/>
        <v>-3,64476492976092+35,6764429254002i</v>
      </c>
      <c r="BD105">
        <f t="shared" si="144"/>
        <v>31.092723377015364</v>
      </c>
      <c r="BE105" s="43">
        <f t="shared" si="145"/>
        <v>95.833194901088987</v>
      </c>
      <c r="BF105" s="41" t="str">
        <f t="shared" si="146"/>
        <v>950,678489452804+656,789190817212i</v>
      </c>
      <c r="BG105" s="20">
        <f t="shared" si="147"/>
        <v>61.255338435372693</v>
      </c>
      <c r="BH105" s="43">
        <f t="shared" si="148"/>
        <v>34.639184323338718</v>
      </c>
      <c r="BI105" s="41" t="str">
        <f t="shared" si="101"/>
        <v>3165,37686540196+2166,00356851491i</v>
      </c>
      <c r="BJ105" s="20">
        <f t="shared" si="149"/>
        <v>71.676475730968633</v>
      </c>
      <c r="BK105" s="43">
        <f t="shared" si="102"/>
        <v>34.383049591923132</v>
      </c>
      <c r="BL105">
        <f t="shared" si="150"/>
        <v>61.255338435372693</v>
      </c>
      <c r="BM105" s="43">
        <f t="shared" si="151"/>
        <v>34.639184323338718</v>
      </c>
    </row>
    <row r="106" spans="14:65" x14ac:dyDescent="0.25">
      <c r="N106" s="9">
        <v>88</v>
      </c>
      <c r="O106" s="34">
        <f t="shared" si="116"/>
        <v>75.857757502918361</v>
      </c>
      <c r="P106" s="33" t="str">
        <f t="shared" si="103"/>
        <v>66,7780509511648</v>
      </c>
      <c r="Q106" s="4" t="str">
        <f t="shared" si="104"/>
        <v>1+1,85761603148678i</v>
      </c>
      <c r="R106" s="4">
        <f t="shared" si="117"/>
        <v>2.1096770654383796</v>
      </c>
      <c r="S106" s="4">
        <f t="shared" si="118"/>
        <v>1.0769612925730834</v>
      </c>
      <c r="T106" s="4" t="str">
        <f t="shared" si="105"/>
        <v>1+0,000476628347377929i</v>
      </c>
      <c r="U106" s="4">
        <f t="shared" si="119"/>
        <v>1.0000001135872842</v>
      </c>
      <c r="V106" s="4">
        <f t="shared" si="120"/>
        <v>4.766283112853188E-4</v>
      </c>
      <c r="W106" t="str">
        <f t="shared" si="106"/>
        <v>1-0,00103684391402329i</v>
      </c>
      <c r="X106" s="4">
        <f t="shared" si="121"/>
        <v>1.0000005375225065</v>
      </c>
      <c r="Y106" s="4">
        <f t="shared" si="122"/>
        <v>-1.0368435424721366E-3</v>
      </c>
      <c r="Z106" t="str">
        <f t="shared" si="107"/>
        <v>0,999999994245601+0,000203792027033087i</v>
      </c>
      <c r="AA106" s="4">
        <f t="shared" si="123"/>
        <v>1.0000000150111961</v>
      </c>
      <c r="AB106" s="4">
        <f t="shared" si="124"/>
        <v>2.0379202538454584E-4</v>
      </c>
      <c r="AC106" s="47" t="str">
        <f t="shared" si="125"/>
        <v>14,9825288557377-27,8828047376277i</v>
      </c>
      <c r="AD106" s="20">
        <f t="shared" si="126"/>
        <v>30.008360675697364</v>
      </c>
      <c r="AE106" s="43">
        <f t="shared" si="127"/>
        <v>-61.749111154710405</v>
      </c>
      <c r="AF106" t="str">
        <f t="shared" si="108"/>
        <v>223,849857273222</v>
      </c>
      <c r="AG106" t="str">
        <f t="shared" si="109"/>
        <v>1+1,88148212647667i</v>
      </c>
      <c r="AH106">
        <f t="shared" si="128"/>
        <v>2.1307217068991369</v>
      </c>
      <c r="AI106">
        <f t="shared" si="129"/>
        <v>1.082270634476159</v>
      </c>
      <c r="AJ106" t="str">
        <f t="shared" si="110"/>
        <v>1+0,000476628347377929i</v>
      </c>
      <c r="AK106">
        <f t="shared" si="130"/>
        <v>1.0000001135872842</v>
      </c>
      <c r="AL106">
        <f t="shared" si="131"/>
        <v>4.766283112853188E-4</v>
      </c>
      <c r="AM106" t="str">
        <f t="shared" si="111"/>
        <v>1-0,000313281106430156i</v>
      </c>
      <c r="AN106">
        <f t="shared" si="132"/>
        <v>1.0000000490725247</v>
      </c>
      <c r="AO106">
        <f t="shared" si="133"/>
        <v>-3.1328109618115977E-4</v>
      </c>
      <c r="AP106" s="41" t="str">
        <f t="shared" si="134"/>
        <v>49,3215685013809-92,7610843285708i</v>
      </c>
      <c r="AQ106">
        <f t="shared" si="135"/>
        <v>40.428603242910384</v>
      </c>
      <c r="AR106" s="43">
        <f t="shared" si="136"/>
        <v>-62.000180540409048</v>
      </c>
      <c r="AS106" t="str">
        <f t="shared" si="112"/>
        <v>-0,0000166666666666667</v>
      </c>
      <c r="AT106" t="str">
        <f t="shared" si="113"/>
        <v>4,78058232420063E-07i</v>
      </c>
      <c r="AU106">
        <f t="shared" si="137"/>
        <v>4.7805823242006304E-7</v>
      </c>
      <c r="AV106">
        <f t="shared" si="138"/>
        <v>1.5707963267948966</v>
      </c>
      <c r="AW106" t="str">
        <f t="shared" si="114"/>
        <v>1+0,000313633807845895i</v>
      </c>
      <c r="AX106">
        <f t="shared" si="139"/>
        <v>1.0000000491830816</v>
      </c>
      <c r="AY106">
        <f t="shared" si="140"/>
        <v>3.1363379756224396E-4</v>
      </c>
      <c r="AZ106" t="str">
        <f t="shared" si="115"/>
        <v>1+0,104858236423144i</v>
      </c>
      <c r="BA106">
        <f t="shared" si="141"/>
        <v>1.0054825954464712</v>
      </c>
      <c r="BB106">
        <f t="shared" si="142"/>
        <v>0.10447643789203619</v>
      </c>
      <c r="BC106" s="41" t="str">
        <f t="shared" si="143"/>
        <v>-3,64476491362479+34,8643993869444i</v>
      </c>
      <c r="BD106">
        <f t="shared" si="144"/>
        <v>30.894849687789691</v>
      </c>
      <c r="BE106" s="43">
        <f t="shared" si="145"/>
        <v>95.968089056861373</v>
      </c>
      <c r="BF106" s="41" t="str">
        <f t="shared" si="146"/>
        <v>917,509444910074+623,983138254015i</v>
      </c>
      <c r="BG106" s="20">
        <f t="shared" si="147"/>
        <v>60.903210363487055</v>
      </c>
      <c r="BH106" s="43">
        <f t="shared" si="148"/>
        <v>34.218977902150968</v>
      </c>
      <c r="BI106" s="41" t="str">
        <f t="shared" si="101"/>
        <v>3054,29396923855+2057,65920813325i</v>
      </c>
      <c r="BJ106" s="20">
        <f t="shared" si="149"/>
        <v>71.323452930700086</v>
      </c>
      <c r="BK106" s="43">
        <f t="shared" si="102"/>
        <v>33.967908516452354</v>
      </c>
      <c r="BL106">
        <f t="shared" si="150"/>
        <v>60.903210363487055</v>
      </c>
      <c r="BM106" s="43">
        <f t="shared" si="151"/>
        <v>34.218977902150968</v>
      </c>
    </row>
    <row r="107" spans="14:65" x14ac:dyDescent="0.25">
      <c r="N107" s="9">
        <v>89</v>
      </c>
      <c r="O107" s="34">
        <f t="shared" si="116"/>
        <v>77.624711662869217</v>
      </c>
      <c r="P107" s="33" t="str">
        <f t="shared" si="103"/>
        <v>66,7780509511648</v>
      </c>
      <c r="Q107" s="4" t="str">
        <f t="shared" si="104"/>
        <v>1+1,9008854673688i</v>
      </c>
      <c r="R107" s="4">
        <f t="shared" si="117"/>
        <v>2.1478746611601669</v>
      </c>
      <c r="S107" s="4">
        <f t="shared" si="118"/>
        <v>1.0865104030356485</v>
      </c>
      <c r="T107" s="4" t="str">
        <f t="shared" si="105"/>
        <v>1+0,000487730447794192i</v>
      </c>
      <c r="U107" s="4">
        <f t="shared" si="119"/>
        <v>1.0000001189404879</v>
      </c>
      <c r="V107" s="4">
        <f t="shared" si="120"/>
        <v>4.8773040912026362E-4</v>
      </c>
      <c r="W107" t="str">
        <f t="shared" si="106"/>
        <v>1-0,00106099511130898i</v>
      </c>
      <c r="X107" s="4">
        <f t="shared" si="121"/>
        <v>1.0000005628551547</v>
      </c>
      <c r="Y107" s="4">
        <f t="shared" si="122"/>
        <v>-1.0609947131847584E-3</v>
      </c>
      <c r="Z107" t="str">
        <f t="shared" si="107"/>
        <v>0,999999993974404+0,000208538953145648i</v>
      </c>
      <c r="AA107" s="4">
        <f t="shared" si="123"/>
        <v>1.0000000157186513</v>
      </c>
      <c r="AB107" s="4">
        <f t="shared" si="124"/>
        <v>2.0853895137920445E-4</v>
      </c>
      <c r="AC107" s="47" t="str">
        <f t="shared" si="125"/>
        <v>14,4534037039204-27,5264723818783i</v>
      </c>
      <c r="AD107" s="20">
        <f t="shared" si="126"/>
        <v>29.852501876943663</v>
      </c>
      <c r="AE107" s="43">
        <f t="shared" si="127"/>
        <v>-62.297254517947302</v>
      </c>
      <c r="AF107" t="str">
        <f t="shared" si="108"/>
        <v>223,849857273222</v>
      </c>
      <c r="AG107" t="str">
        <f t="shared" si="109"/>
        <v>1+1,92530747512507i</v>
      </c>
      <c r="AH107">
        <f t="shared" si="128"/>
        <v>2.1695181201761078</v>
      </c>
      <c r="AI107">
        <f t="shared" si="129"/>
        <v>1.0917513665539706</v>
      </c>
      <c r="AJ107" t="str">
        <f t="shared" si="110"/>
        <v>1+0,000487730447794192i</v>
      </c>
      <c r="AK107">
        <f t="shared" si="130"/>
        <v>1.0000001189404879</v>
      </c>
      <c r="AL107">
        <f t="shared" si="131"/>
        <v>4.8773040912026362E-4</v>
      </c>
      <c r="AM107" t="str">
        <f t="shared" si="111"/>
        <v>1-0,00032057836082394i</v>
      </c>
      <c r="AN107">
        <f t="shared" si="132"/>
        <v>1.0000000513852414</v>
      </c>
      <c r="AO107">
        <f t="shared" si="133"/>
        <v>-3.2057834984194271E-4</v>
      </c>
      <c r="AP107" s="41" t="str">
        <f t="shared" si="134"/>
        <v>47,5740437846969-91,5572451497931i</v>
      </c>
      <c r="AQ107">
        <f t="shared" si="135"/>
        <v>40.271872280091813</v>
      </c>
      <c r="AR107" s="43">
        <f t="shared" si="136"/>
        <v>-62.543168473649054</v>
      </c>
      <c r="AS107" t="str">
        <f t="shared" si="112"/>
        <v>-0,0000166666666666667</v>
      </c>
      <c r="AT107" t="str">
        <f t="shared" si="113"/>
        <v>4,89193639137574E-07i</v>
      </c>
      <c r="AU107">
        <f t="shared" si="137"/>
        <v>4.8919363913757405E-7</v>
      </c>
      <c r="AV107">
        <f t="shared" si="138"/>
        <v>1.5707963267948966</v>
      </c>
      <c r="AW107" t="str">
        <f t="shared" si="114"/>
        <v>1+0,000320939277711034i</v>
      </c>
      <c r="AX107">
        <f t="shared" si="139"/>
        <v>1.0000000515010088</v>
      </c>
      <c r="AY107">
        <f t="shared" si="140"/>
        <v>3.2093926669190338E-4</v>
      </c>
      <c r="AZ107" t="str">
        <f t="shared" si="115"/>
        <v>1+0,107300698514722i</v>
      </c>
      <c r="BA107">
        <f t="shared" si="141"/>
        <v>1.0057402447460018</v>
      </c>
      <c r="BB107">
        <f t="shared" si="142"/>
        <v>0.10689172002058102</v>
      </c>
      <c r="BC107" s="41" t="str">
        <f t="shared" si="143"/>
        <v>-3,64476489672819+34,0708414145279i</v>
      </c>
      <c r="BD107">
        <f t="shared" si="144"/>
        <v>30.697075093251804</v>
      </c>
      <c r="BE107" s="43">
        <f t="shared" si="145"/>
        <v>96.106055956611854</v>
      </c>
      <c r="BF107" s="41" t="str">
        <f t="shared" si="146"/>
        <v>885,170816766067+592,76714576465i</v>
      </c>
      <c r="BG107" s="20">
        <f t="shared" si="147"/>
        <v>60.549576970195467</v>
      </c>
      <c r="BH107" s="43">
        <f t="shared" si="148"/>
        <v>33.808801438664567</v>
      </c>
      <c r="BI107" s="41" t="str">
        <f t="shared" si="101"/>
        <v>2946,03617506778+1954,59233439932i</v>
      </c>
      <c r="BJ107" s="20">
        <f t="shared" si="149"/>
        <v>70.96894737334361</v>
      </c>
      <c r="BK107" s="43">
        <f t="shared" si="102"/>
        <v>33.56288748296285</v>
      </c>
      <c r="BL107">
        <f t="shared" si="150"/>
        <v>60.549576970195467</v>
      </c>
      <c r="BM107" s="43">
        <f t="shared" si="151"/>
        <v>33.808801438664567</v>
      </c>
    </row>
    <row r="108" spans="14:65" x14ac:dyDescent="0.25">
      <c r="N108" s="9">
        <v>90</v>
      </c>
      <c r="O108" s="34">
        <f t="shared" si="116"/>
        <v>79.432823472428197</v>
      </c>
      <c r="P108" s="33" t="str">
        <f t="shared" si="103"/>
        <v>66,7780509511648</v>
      </c>
      <c r="Q108" s="4" t="str">
        <f t="shared" si="104"/>
        <v>1+1,94516277788682i</v>
      </c>
      <c r="R108" s="4">
        <f t="shared" si="117"/>
        <v>2.187157569192574</v>
      </c>
      <c r="S108" s="4">
        <f t="shared" si="118"/>
        <v>1.0959357784426325</v>
      </c>
      <c r="T108" s="4" t="str">
        <f t="shared" si="105"/>
        <v>1+0,000499091149349751i</v>
      </c>
      <c r="U108" s="4">
        <f t="shared" si="119"/>
        <v>1.00000012454598</v>
      </c>
      <c r="V108" s="4">
        <f t="shared" si="120"/>
        <v>4.9909110790989045E-4</v>
      </c>
      <c r="W108" t="str">
        <f t="shared" si="106"/>
        <v>1-0,00108570886224662i</v>
      </c>
      <c r="X108" s="4">
        <f t="shared" si="121"/>
        <v>1.000000589381693</v>
      </c>
      <c r="Y108" s="4">
        <f t="shared" si="122"/>
        <v>-1.0857084356488444E-3</v>
      </c>
      <c r="Z108" t="str">
        <f t="shared" si="107"/>
        <v>0,999999993690427+0,000213396449371506i</v>
      </c>
      <c r="AA108" s="4">
        <f t="shared" si="123"/>
        <v>1.0000000164594491</v>
      </c>
      <c r="AB108" s="4">
        <f t="shared" si="124"/>
        <v>2.1339644747872749E-4</v>
      </c>
      <c r="AC108" s="47" t="str">
        <f t="shared" si="125"/>
        <v>13,93790185728-27,1649112868261i</v>
      </c>
      <c r="AD108" s="20">
        <f t="shared" si="126"/>
        <v>29.695079401367611</v>
      </c>
      <c r="AE108" s="43">
        <f t="shared" si="127"/>
        <v>-62.838332135019563</v>
      </c>
      <c r="AF108" t="str">
        <f t="shared" si="108"/>
        <v>223,849857273222</v>
      </c>
      <c r="AG108" t="str">
        <f t="shared" si="109"/>
        <v>1+1,97015364728124i</v>
      </c>
      <c r="AH108">
        <f t="shared" si="128"/>
        <v>2.2094129070627728</v>
      </c>
      <c r="AI108">
        <f t="shared" si="129"/>
        <v>1.1011073952949411</v>
      </c>
      <c r="AJ108" t="str">
        <f t="shared" si="110"/>
        <v>1+0,000499091149349751i</v>
      </c>
      <c r="AK108">
        <f t="shared" si="130"/>
        <v>1.00000012454598</v>
      </c>
      <c r="AL108">
        <f t="shared" si="131"/>
        <v>4.9909110790989045E-4</v>
      </c>
      <c r="AM108" t="str">
        <f t="shared" si="111"/>
        <v>1-0,000328045590107989i</v>
      </c>
      <c r="AN108">
        <f t="shared" si="132"/>
        <v>1.0000000538069531</v>
      </c>
      <c r="AO108">
        <f t="shared" si="133"/>
        <v>-3.2804557834056701E-4</v>
      </c>
      <c r="AP108" s="41" t="str">
        <f t="shared" si="134"/>
        <v>45,872186985236-90,3369679737063i</v>
      </c>
      <c r="AQ108">
        <f t="shared" si="135"/>
        <v>40.113600250139854</v>
      </c>
      <c r="AR108" s="43">
        <f t="shared" si="136"/>
        <v>-63.079006354094432</v>
      </c>
      <c r="AS108" t="str">
        <f t="shared" si="112"/>
        <v>-0,0000166666666666667</v>
      </c>
      <c r="AT108" t="str">
        <f t="shared" si="113"/>
        <v>0,0000005005884227978i</v>
      </c>
      <c r="AU108">
        <f t="shared" si="137"/>
        <v>5.0058842279779996E-7</v>
      </c>
      <c r="AV108">
        <f t="shared" si="138"/>
        <v>1.5707963267948966</v>
      </c>
      <c r="AW108" t="str">
        <f t="shared" si="114"/>
        <v>1+0,000328414913829348i</v>
      </c>
      <c r="AX108">
        <f t="shared" si="139"/>
        <v>1.0000000539281764</v>
      </c>
      <c r="AY108">
        <f t="shared" si="140"/>
        <v>3.2841490202213685E-4</v>
      </c>
      <c r="AZ108" t="str">
        <f t="shared" si="115"/>
        <v>1+0,109800052856945i</v>
      </c>
      <c r="BA108">
        <f t="shared" si="141"/>
        <v>1.0060099659582842</v>
      </c>
      <c r="BB108">
        <f t="shared" si="142"/>
        <v>0.10936196577636807</v>
      </c>
      <c r="BC108" s="41" t="str">
        <f t="shared" si="143"/>
        <v>-3,64476487903529+33,2953482532097i</v>
      </c>
      <c r="BD108">
        <f t="shared" si="144"/>
        <v>30.499404157246438</v>
      </c>
      <c r="BE108" s="43">
        <f t="shared" si="145"/>
        <v>96.247162290424995</v>
      </c>
      <c r="BF108" s="41" t="str">
        <f t="shared" si="146"/>
        <v>853,664806385567+563,077010857529i</v>
      </c>
      <c r="BG108" s="20">
        <f t="shared" si="147"/>
        <v>60.194483558614053</v>
      </c>
      <c r="BH108" s="43">
        <f t="shared" si="148"/>
        <v>33.408830155405433</v>
      </c>
      <c r="BI108" s="41" t="str">
        <f t="shared" si="101"/>
        <v>2840,60747277527+1856,58744895889i</v>
      </c>
      <c r="BJ108" s="20">
        <f t="shared" si="149"/>
        <v>70.613004407386285</v>
      </c>
      <c r="BK108" s="43">
        <f t="shared" si="102"/>
        <v>33.168155936330656</v>
      </c>
      <c r="BL108">
        <f t="shared" si="150"/>
        <v>60.194483558614053</v>
      </c>
      <c r="BM108" s="43">
        <f t="shared" si="151"/>
        <v>33.408830155405433</v>
      </c>
    </row>
    <row r="109" spans="14:65" x14ac:dyDescent="0.25">
      <c r="N109" s="9">
        <v>91</v>
      </c>
      <c r="O109" s="34">
        <f t="shared" si="116"/>
        <v>81.283051616409963</v>
      </c>
      <c r="P109" s="33" t="str">
        <f t="shared" si="103"/>
        <v>66,7780509511648</v>
      </c>
      <c r="Q109" s="4" t="str">
        <f t="shared" si="104"/>
        <v>1+1,99047143945695i</v>
      </c>
      <c r="R109" s="4">
        <f t="shared" si="117"/>
        <v>2.2275494497976522</v>
      </c>
      <c r="S109" s="4">
        <f t="shared" si="118"/>
        <v>1.105235716751678</v>
      </c>
      <c r="T109" s="4" t="str">
        <f t="shared" si="105"/>
        <v>1+0,000510716475638947i</v>
      </c>
      <c r="U109" s="4">
        <f t="shared" si="119"/>
        <v>1.0000001304156507</v>
      </c>
      <c r="V109" s="4">
        <f t="shared" si="120"/>
        <v>5.1071643123533675E-4</v>
      </c>
      <c r="W109" t="str">
        <f t="shared" si="106"/>
        <v>1-0,00111099827039408i</v>
      </c>
      <c r="X109" s="4">
        <f t="shared" si="121"/>
        <v>1.0000006171583879</v>
      </c>
      <c r="Y109" s="4">
        <f t="shared" si="122"/>
        <v>-1.1109978132863431E-3</v>
      </c>
      <c r="Z109" t="str">
        <f t="shared" si="107"/>
        <v>0,999999993393066+0,000218367091219456i</v>
      </c>
      <c r="AA109" s="4">
        <f t="shared" si="123"/>
        <v>1.0000000172351593</v>
      </c>
      <c r="AB109" s="4">
        <f t="shared" si="124"/>
        <v>2.183670891913073E-4</v>
      </c>
      <c r="AC109" s="47" t="str">
        <f t="shared" si="125"/>
        <v>13,4360293715086-26,7987005068361i</v>
      </c>
      <c r="AD109" s="20">
        <f t="shared" si="126"/>
        <v>29.536134050875809</v>
      </c>
      <c r="AE109" s="43">
        <f t="shared" si="127"/>
        <v>-63.372247039294727</v>
      </c>
      <c r="AF109" t="str">
        <f t="shared" si="108"/>
        <v>223,849857273222</v>
      </c>
      <c r="AG109" t="str">
        <f t="shared" si="109"/>
        <v>1+2,01604442097926i</v>
      </c>
      <c r="AH109">
        <f t="shared" si="128"/>
        <v>2.2504299827725363</v>
      </c>
      <c r="AI109">
        <f t="shared" si="129"/>
        <v>1.1103371286338279</v>
      </c>
      <c r="AJ109" t="str">
        <f t="shared" si="110"/>
        <v>1+0,000510716475638947i</v>
      </c>
      <c r="AK109">
        <f t="shared" si="130"/>
        <v>1.0000001304156507</v>
      </c>
      <c r="AL109">
        <f t="shared" si="131"/>
        <v>5.1071643123533675E-4</v>
      </c>
      <c r="AM109" t="str">
        <f t="shared" si="111"/>
        <v>1-0,000335686753506109i</v>
      </c>
      <c r="AN109">
        <f t="shared" si="132"/>
        <v>1.0000000563427967</v>
      </c>
      <c r="AO109">
        <f t="shared" si="133"/>
        <v>-3.3568674089708915E-4</v>
      </c>
      <c r="AP109" s="41" t="str">
        <f t="shared" si="134"/>
        <v>44,2159649173569-89,102169011534i</v>
      </c>
      <c r="AQ109">
        <f t="shared" si="135"/>
        <v>39.953827951271073</v>
      </c>
      <c r="AR109" s="43">
        <f t="shared" si="136"/>
        <v>-63.607602844846859</v>
      </c>
      <c r="AS109" t="str">
        <f t="shared" si="112"/>
        <v>-0,0000166666666666667</v>
      </c>
      <c r="AT109" t="str">
        <f t="shared" si="113"/>
        <v>5,12248625065864E-07i</v>
      </c>
      <c r="AU109">
        <f t="shared" si="137"/>
        <v>5.1224862506586405E-7</v>
      </c>
      <c r="AV109">
        <f t="shared" si="138"/>
        <v>1.5707963267948966</v>
      </c>
      <c r="AW109" t="str">
        <f t="shared" si="114"/>
        <v>1+0,000336064679882059i</v>
      </c>
      <c r="AX109">
        <f t="shared" si="139"/>
        <v>1.0000000564697329</v>
      </c>
      <c r="AY109">
        <f t="shared" si="140"/>
        <v>3.3606466723040435E-4</v>
      </c>
      <c r="AZ109" t="str">
        <f t="shared" si="115"/>
        <v>1+0,112357624640568i</v>
      </c>
      <c r="BA109">
        <f t="shared" si="141"/>
        <v>1.0062923212540533</v>
      </c>
      <c r="BB109">
        <f t="shared" si="142"/>
        <v>0.11188836426102647</v>
      </c>
      <c r="BC109" s="41" t="str">
        <f t="shared" si="143"/>
        <v>-3,64476486050852+32,5375087262511i</v>
      </c>
      <c r="BD109">
        <f t="shared" si="144"/>
        <v>30.301841648629345</v>
      </c>
      <c r="BE109" s="43">
        <f t="shared" si="145"/>
        <v>96.391475961703421</v>
      </c>
      <c r="BF109" s="41" t="str">
        <f t="shared" si="146"/>
        <v>822,991783875334+534,849884836235i</v>
      </c>
      <c r="BG109" s="20">
        <f t="shared" si="147"/>
        <v>59.837975699505151</v>
      </c>
      <c r="BH109" s="43">
        <f t="shared" si="148"/>
        <v>33.019228922408686</v>
      </c>
      <c r="BI109" s="41" t="str">
        <f t="shared" si="101"/>
        <v>2738,00580653643+1763,43379894644i</v>
      </c>
      <c r="BJ109" s="20">
        <f t="shared" si="149"/>
        <v>70.255669599900415</v>
      </c>
      <c r="BK109" s="43">
        <f t="shared" si="102"/>
        <v>32.783873116856498</v>
      </c>
      <c r="BL109">
        <f t="shared" si="150"/>
        <v>59.837975699505151</v>
      </c>
      <c r="BM109" s="43">
        <f t="shared" si="151"/>
        <v>33.019228922408686</v>
      </c>
    </row>
    <row r="110" spans="14:65" x14ac:dyDescent="0.25">
      <c r="N110" s="9">
        <v>92</v>
      </c>
      <c r="O110" s="34">
        <f t="shared" si="116"/>
        <v>83.176377110267126</v>
      </c>
      <c r="P110" s="33" t="str">
        <f t="shared" si="103"/>
        <v>66,7780509511648</v>
      </c>
      <c r="Q110" s="4" t="str">
        <f t="shared" si="104"/>
        <v>1+2,03683547533128i</v>
      </c>
      <c r="R110" s="4">
        <f t="shared" si="117"/>
        <v>2.2690744266259757</v>
      </c>
      <c r="S110" s="4">
        <f t="shared" si="118"/>
        <v>1.1144087132723484</v>
      </c>
      <c r="T110" s="4" t="str">
        <f t="shared" si="105"/>
        <v>1+0,000522612590563659i</v>
      </c>
      <c r="U110" s="4">
        <f t="shared" si="119"/>
        <v>1.0000001365619506</v>
      </c>
      <c r="V110" s="4">
        <f t="shared" si="120"/>
        <v>5.226125429843337E-4</v>
      </c>
      <c r="W110" t="str">
        <f t="shared" si="106"/>
        <v>1-0,0011368767445303i</v>
      </c>
      <c r="X110" s="4">
        <f t="shared" si="121"/>
        <v>1.0000006462441573</v>
      </c>
      <c r="Y110" s="4">
        <f t="shared" si="122"/>
        <v>-1.1368762547305524E-3</v>
      </c>
      <c r="Z110" t="str">
        <f t="shared" si="107"/>
        <v>0,99999999308169+0,000223453514189602i</v>
      </c>
      <c r="AA110" s="4">
        <f t="shared" si="123"/>
        <v>1.0000000180474264</v>
      </c>
      <c r="AB110" s="4">
        <f t="shared" si="124"/>
        <v>2.2345351201640169E-4</v>
      </c>
      <c r="AC110" s="47" t="str">
        <f t="shared" si="125"/>
        <v>12,9477638605369-26,4284059170435i</v>
      </c>
      <c r="AD110" s="20">
        <f t="shared" si="126"/>
        <v>29.375706602570393</v>
      </c>
      <c r="AE110" s="43">
        <f t="shared" si="127"/>
        <v>-63.89891358445734</v>
      </c>
      <c r="AF110" t="str">
        <f t="shared" si="108"/>
        <v>223,849857273222</v>
      </c>
      <c r="AG110" t="str">
        <f t="shared" si="109"/>
        <v>1+2,06300412811479i</v>
      </c>
      <c r="AH110">
        <f t="shared" si="128"/>
        <v>2.2925937347508096</v>
      </c>
      <c r="AI110">
        <f t="shared" si="129"/>
        <v>1.1194391692656183</v>
      </c>
      <c r="AJ110" t="str">
        <f t="shared" si="110"/>
        <v>1+0,000522612590563659i</v>
      </c>
      <c r="AK110">
        <f t="shared" si="130"/>
        <v>1.0000001365619506</v>
      </c>
      <c r="AL110">
        <f t="shared" si="131"/>
        <v>5.226125429843337E-4</v>
      </c>
      <c r="AM110" t="str">
        <f t="shared" si="111"/>
        <v>1-0,000343505902464279i</v>
      </c>
      <c r="AN110">
        <f t="shared" si="132"/>
        <v>1.0000000589981508</v>
      </c>
      <c r="AO110">
        <f t="shared" si="133"/>
        <v>-3.4350588895347086E-4</v>
      </c>
      <c r="AP110" s="41" t="str">
        <f t="shared" si="134"/>
        <v>42,6052520130749-87,8547177757767i</v>
      </c>
      <c r="AQ110">
        <f t="shared" si="135"/>
        <v>39.792596110388416</v>
      </c>
      <c r="AR110" s="43">
        <f t="shared" si="136"/>
        <v>-64.128877765192215</v>
      </c>
      <c r="AS110" t="str">
        <f t="shared" si="112"/>
        <v>-0,0000166666666666667</v>
      </c>
      <c r="AT110" t="str">
        <f t="shared" si="113"/>
        <v>5,2418042833535E-07i</v>
      </c>
      <c r="AU110">
        <f t="shared" si="137"/>
        <v>5.2418042833535002E-7</v>
      </c>
      <c r="AV110">
        <f t="shared" si="138"/>
        <v>1.5707963267948966</v>
      </c>
      <c r="AW110" t="str">
        <f t="shared" si="114"/>
        <v>1+0,000343892631876386i</v>
      </c>
      <c r="AX110">
        <f t="shared" si="139"/>
        <v>1.0000000591310694</v>
      </c>
      <c r="AY110">
        <f t="shared" si="140"/>
        <v>3.4389261831989387E-4</v>
      </c>
      <c r="AZ110" t="str">
        <f t="shared" si="115"/>
        <v>1+0,114974769924005i</v>
      </c>
      <c r="BA110">
        <f t="shared" si="141"/>
        <v>1.0065878986551935</v>
      </c>
      <c r="BB110">
        <f t="shared" si="142"/>
        <v>0.11447212593275052</v>
      </c>
      <c r="BC110" s="41" t="str">
        <f t="shared" si="143"/>
        <v>-3,64476484110866+31,7969210171032i</v>
      </c>
      <c r="BD110">
        <f t="shared" si="144"/>
        <v>30.104392549983451</v>
      </c>
      <c r="BE110" s="43">
        <f t="shared" si="145"/>
        <v>96.539066092201253</v>
      </c>
      <c r="BF110" s="41" t="str">
        <f t="shared" si="146"/>
        <v>793,150381062313+508,024349514583i</v>
      </c>
      <c r="BG110" s="20">
        <f t="shared" si="147"/>
        <v>59.480099152553841</v>
      </c>
      <c r="BH110" s="43">
        <f t="shared" si="148"/>
        <v>32.640152507743899</v>
      </c>
      <c r="BI110" s="41" t="str">
        <f t="shared" si="101"/>
        <v>2638,22339751243+1674,92561964819i</v>
      </c>
      <c r="BJ110" s="20">
        <f t="shared" si="149"/>
        <v>69.896988660371846</v>
      </c>
      <c r="BK110" s="43">
        <f t="shared" si="102"/>
        <v>32.410188327009017</v>
      </c>
      <c r="BL110">
        <f t="shared" si="150"/>
        <v>59.480099152553841</v>
      </c>
      <c r="BM110" s="43">
        <f t="shared" si="151"/>
        <v>32.640152507743899</v>
      </c>
    </row>
    <row r="111" spans="14:65" x14ac:dyDescent="0.25">
      <c r="N111" s="9">
        <v>93</v>
      </c>
      <c r="O111" s="34">
        <f t="shared" si="116"/>
        <v>85.113803820237734</v>
      </c>
      <c r="P111" s="33" t="str">
        <f t="shared" si="103"/>
        <v>66,7780509511648</v>
      </c>
      <c r="Q111" s="4" t="str">
        <f t="shared" si="104"/>
        <v>1+2,08427946833534i</v>
      </c>
      <c r="R111" s="4">
        <f t="shared" si="117"/>
        <v>2.3117571027519839</v>
      </c>
      <c r="S111" s="4">
        <f t="shared" si="118"/>
        <v>1.1234534558893587</v>
      </c>
      <c r="T111" s="4" t="str">
        <f t="shared" si="105"/>
        <v>1+0,000534785801601484i</v>
      </c>
      <c r="U111" s="4">
        <f t="shared" si="119"/>
        <v>1.0000001429979166</v>
      </c>
      <c r="V111" s="4">
        <f t="shared" si="120"/>
        <v>5.3478575061931884E-4</v>
      </c>
      <c r="W111" t="str">
        <f t="shared" si="106"/>
        <v>1-0,00116335800576481i</v>
      </c>
      <c r="X111" s="4">
        <f t="shared" si="121"/>
        <v>1.0000006767006957</v>
      </c>
      <c r="Y111" s="4">
        <f t="shared" si="122"/>
        <v>-1.1633574809349441E-3</v>
      </c>
      <c r="Z111" t="str">
        <f t="shared" si="107"/>
        <v>0,99999999275564+0,000228658415170728i</v>
      </c>
      <c r="AA111" s="4">
        <f t="shared" si="123"/>
        <v>1.0000000188979752</v>
      </c>
      <c r="AB111" s="4">
        <f t="shared" si="124"/>
        <v>2.2865841284210194E-4</v>
      </c>
      <c r="AC111" s="47" t="str">
        <f t="shared" si="125"/>
        <v>12,4730560745253-26,0545788805354i</v>
      </c>
      <c r="AD111" s="20">
        <f t="shared" si="126"/>
        <v>29.213837725951684</v>
      </c>
      <c r="AE111" s="43">
        <f t="shared" si="127"/>
        <v>-64.418257171121411</v>
      </c>
      <c r="AF111" t="str">
        <f t="shared" si="108"/>
        <v>223,849857273222</v>
      </c>
      <c r="AG111" t="str">
        <f t="shared" si="109"/>
        <v>1+2,11105766734613i</v>
      </c>
      <c r="AH111">
        <f t="shared" si="128"/>
        <v>2.3359290389181098</v>
      </c>
      <c r="AI111">
        <f t="shared" si="129"/>
        <v>1.1284123096225152</v>
      </c>
      <c r="AJ111" t="str">
        <f t="shared" si="110"/>
        <v>1+0,000534785801601484i</v>
      </c>
      <c r="AK111">
        <f t="shared" si="130"/>
        <v>1.0000001429979166</v>
      </c>
      <c r="AL111">
        <f t="shared" si="131"/>
        <v>5.3478575061931884E-4</v>
      </c>
      <c r="AM111" t="str">
        <f t="shared" si="111"/>
        <v>1-0,000351507182798773i</v>
      </c>
      <c r="AN111">
        <f t="shared" si="132"/>
        <v>1.0000000617786478</v>
      </c>
      <c r="AO111">
        <f t="shared" si="133"/>
        <v>-3.5150716832168133E-4</v>
      </c>
      <c r="AP111" s="41" t="str">
        <f t="shared" si="134"/>
        <v>41,039835691629-86,5964329107786i</v>
      </c>
      <c r="AQ111">
        <f t="shared" si="135"/>
        <v>39.629945302924114</v>
      </c>
      <c r="AR111" s="43">
        <f t="shared" si="136"/>
        <v>-64.642761802738832</v>
      </c>
      <c r="AS111" t="str">
        <f t="shared" si="112"/>
        <v>-0,0000166666666666667</v>
      </c>
      <c r="AT111" t="str">
        <f t="shared" si="113"/>
        <v>5,36390159006288E-07i</v>
      </c>
      <c r="AU111">
        <f t="shared" si="137"/>
        <v>5.36390159006288E-7</v>
      </c>
      <c r="AV111">
        <f t="shared" si="138"/>
        <v>1.5707963267948966</v>
      </c>
      <c r="AW111" t="str">
        <f t="shared" si="114"/>
        <v>1+0,000351902920296091i</v>
      </c>
      <c r="AX111">
        <f t="shared" si="139"/>
        <v>1.0000000619178306</v>
      </c>
      <c r="AY111">
        <f t="shared" si="140"/>
        <v>3.5190290577004796E-4</v>
      </c>
      <c r="AZ111" t="str">
        <f t="shared" si="115"/>
        <v>1+0,117652876352326i</v>
      </c>
      <c r="BA111">
        <f t="shared" si="141"/>
        <v>1.0068973131923511</v>
      </c>
      <c r="BB111">
        <f t="shared" si="142"/>
        <v>0.11711448267159884</v>
      </c>
      <c r="BC111" s="41" t="str">
        <f t="shared" si="143"/>
        <v>-3,64476482079446+31,0731924563599i</v>
      </c>
      <c r="BD111">
        <f t="shared" si="144"/>
        <v>29.907062066659083</v>
      </c>
      <c r="BE111" s="43">
        <f t="shared" si="145"/>
        <v>96.690003025641616</v>
      </c>
      <c r="BF111" s="41" t="str">
        <f t="shared" si="146"/>
        <v>764,13758793606+482,540484447083i</v>
      </c>
      <c r="BG111" s="20">
        <f t="shared" si="147"/>
        <v>59.120899792610757</v>
      </c>
      <c r="BH111" s="43">
        <f t="shared" si="148"/>
        <v>32.271745854520205</v>
      </c>
      <c r="BI111" s="41" t="str">
        <f t="shared" si="101"/>
        <v>2541,24707649085+1590,86234510287i</v>
      </c>
      <c r="BJ111" s="20">
        <f t="shared" si="149"/>
        <v>69.537007369583208</v>
      </c>
      <c r="BK111" s="43">
        <f t="shared" si="102"/>
        <v>32.047241222902791</v>
      </c>
      <c r="BL111">
        <f t="shared" si="150"/>
        <v>59.120899792610757</v>
      </c>
      <c r="BM111" s="43">
        <f t="shared" si="151"/>
        <v>32.271745854520205</v>
      </c>
    </row>
    <row r="112" spans="14:65" x14ac:dyDescent="0.25">
      <c r="N112" s="9">
        <v>94</v>
      </c>
      <c r="O112" s="34">
        <f t="shared" si="116"/>
        <v>87.096358995608071</v>
      </c>
      <c r="P112" s="33" t="str">
        <f t="shared" si="103"/>
        <v>66,7780509511648</v>
      </c>
      <c r="Q112" s="4" t="str">
        <f t="shared" si="104"/>
        <v>1+2,13282857390221i</v>
      </c>
      <c r="R112" s="4">
        <f t="shared" si="117"/>
        <v>2.3556225770810006</v>
      </c>
      <c r="S112" s="4">
        <f t="shared" si="118"/>
        <v>1.132368819853864</v>
      </c>
      <c r="T112" s="4" t="str">
        <f t="shared" si="105"/>
        <v>1+0,000547242563150043i</v>
      </c>
      <c r="U112" s="4">
        <f t="shared" si="119"/>
        <v>1.0000001497372002</v>
      </c>
      <c r="V112" s="4">
        <f t="shared" si="120"/>
        <v>5.4724250852166919E-4</v>
      </c>
      <c r="W112" t="str">
        <f t="shared" si="106"/>
        <v>1-0,00119045609481284i</v>
      </c>
      <c r="X112" s="4">
        <f t="shared" si="121"/>
        <v>1.0000007085926057</v>
      </c>
      <c r="Y112" s="4">
        <f t="shared" si="122"/>
        <v>-1.1904555324475281E-3</v>
      </c>
      <c r="Z112" t="str">
        <f t="shared" si="107"/>
        <v>0,999999992414224+0,000233984553870229i</v>
      </c>
      <c r="AA112" s="4">
        <f t="shared" si="123"/>
        <v>1.0000000197886094</v>
      </c>
      <c r="AB112" s="4">
        <f t="shared" si="124"/>
        <v>2.3398455137506118E-4</v>
      </c>
      <c r="AC112" s="47" t="str">
        <f t="shared" si="125"/>
        <v>12,0118315189049-25,6777550744046i</v>
      </c>
      <c r="AD112" s="20">
        <f t="shared" si="126"/>
        <v>29.050567904911446</v>
      </c>
      <c r="AE112" s="43">
        <f t="shared" si="127"/>
        <v>-64.930213948700086</v>
      </c>
      <c r="AF112" t="str">
        <f t="shared" si="108"/>
        <v>223,849857273222</v>
      </c>
      <c r="AG112" t="str">
        <f t="shared" si="109"/>
        <v>1+2,16023051729585i</v>
      </c>
      <c r="AH112">
        <f t="shared" si="128"/>
        <v>2.3804612762774142</v>
      </c>
      <c r="AI112">
        <f t="shared" si="129"/>
        <v>1.1372555264492223</v>
      </c>
      <c r="AJ112" t="str">
        <f t="shared" si="110"/>
        <v>1+0,000547242563150043i</v>
      </c>
      <c r="AK112">
        <f t="shared" si="130"/>
        <v>1.0000001497372002</v>
      </c>
      <c r="AL112">
        <f t="shared" si="131"/>
        <v>5.4724250852166919E-4</v>
      </c>
      <c r="AM112" t="str">
        <f t="shared" si="111"/>
        <v>1-0,000359694836894334i</v>
      </c>
      <c r="AN112">
        <f t="shared" si="132"/>
        <v>1.0000000646901859</v>
      </c>
      <c r="AO112">
        <f t="shared" si="133"/>
        <v>-3.596948213818508E-4</v>
      </c>
      <c r="AP112" s="41" t="str">
        <f t="shared" si="134"/>
        <v>39,5194218387978-85,3290785503048i</v>
      </c>
      <c r="AQ112">
        <f t="shared" si="135"/>
        <v>39.465915877532474</v>
      </c>
      <c r="AR112" s="43">
        <f t="shared" si="136"/>
        <v>-65.149196202538448</v>
      </c>
      <c r="AS112" t="str">
        <f t="shared" si="112"/>
        <v>-0,0000166666666666667</v>
      </c>
      <c r="AT112" t="str">
        <f t="shared" si="113"/>
        <v>5,48884290839493E-07i</v>
      </c>
      <c r="AU112">
        <f t="shared" si="137"/>
        <v>5.48884290839493E-7</v>
      </c>
      <c r="AV112">
        <f t="shared" si="138"/>
        <v>1.5707963267948966</v>
      </c>
      <c r="AW112" t="str">
        <f t="shared" si="114"/>
        <v>1+0,000360099792302122i</v>
      </c>
      <c r="AX112">
        <f t="shared" si="139"/>
        <v>1.0000000648359282</v>
      </c>
      <c r="AY112">
        <f t="shared" si="140"/>
        <v>3.6009977673718651E-4</v>
      </c>
      <c r="AZ112" t="str">
        <f t="shared" si="115"/>
        <v>1+0,120393363893009i</v>
      </c>
      <c r="BA112">
        <f t="shared" si="141"/>
        <v>1.0072212081114429</v>
      </c>
      <c r="BB112">
        <f t="shared" si="142"/>
        <v>0.11981668781793899</v>
      </c>
      <c r="BC112" s="41" t="str">
        <f t="shared" si="143"/>
        <v>-3,64476479952291+30,3659393135589i</v>
      </c>
      <c r="BD112">
        <f t="shared" si="144"/>
        <v>29.709855636144606</v>
      </c>
      <c r="BE112" s="43">
        <f t="shared" si="145"/>
        <v>96.844358329793806</v>
      </c>
      <c r="BF112" s="41" t="str">
        <f t="shared" si="146"/>
        <v>735,948851599895+458,339924773721i</v>
      </c>
      <c r="BG112" s="20">
        <f t="shared" si="147"/>
        <v>58.760423541056056</v>
      </c>
      <c r="BH112" s="43">
        <f t="shared" si="148"/>
        <v>31.914144381093724</v>
      </c>
      <c r="BI112" s="41" t="str">
        <f t="shared" si="101"/>
        <v>2447,05862332491+1511,04878713974i</v>
      </c>
      <c r="BJ112" s="20">
        <f t="shared" si="149"/>
        <v>69.175771513677077</v>
      </c>
      <c r="BK112" s="43">
        <f t="shared" si="102"/>
        <v>31.695162127255276</v>
      </c>
      <c r="BL112">
        <f t="shared" si="150"/>
        <v>58.760423541056056</v>
      </c>
      <c r="BM112" s="43">
        <f t="shared" si="151"/>
        <v>31.914144381093724</v>
      </c>
    </row>
    <row r="113" spans="14:65" x14ac:dyDescent="0.25">
      <c r="N113" s="9">
        <v>95</v>
      </c>
      <c r="O113" s="34">
        <f t="shared" si="116"/>
        <v>89.125093813374562</v>
      </c>
      <c r="P113" s="33" t="str">
        <f t="shared" si="103"/>
        <v>66,7780509511648</v>
      </c>
      <c r="Q113" s="4" t="str">
        <f t="shared" si="104"/>
        <v>1+2,18250853341028i</v>
      </c>
      <c r="R113" s="4">
        <f t="shared" si="117"/>
        <v>2.4006964611147099</v>
      </c>
      <c r="S113" s="4">
        <f t="shared" si="118"/>
        <v>1.14115386219708</v>
      </c>
      <c r="T113" s="4" t="str">
        <f t="shared" si="105"/>
        <v>1+0,000559989479949197i</v>
      </c>
      <c r="U113" s="4">
        <f t="shared" si="119"/>
        <v>1.0000001567940966</v>
      </c>
      <c r="V113" s="4">
        <f t="shared" si="120"/>
        <v>5.5998942141384045E-4</v>
      </c>
      <c r="W113" t="str">
        <f t="shared" si="106"/>
        <v>1-0,0012181853794399i</v>
      </c>
      <c r="X113" s="4">
        <f t="shared" si="121"/>
        <v>1.0000007419875341</v>
      </c>
      <c r="Y113" s="4">
        <f t="shared" si="122"/>
        <v>-1.2181847768546357E-3</v>
      </c>
      <c r="Z113" t="str">
        <f t="shared" si="107"/>
        <v>0,999999992056718+0,000239434754277344i</v>
      </c>
      <c r="AA113" s="4">
        <f t="shared" si="123"/>
        <v>1.0000000207212185</v>
      </c>
      <c r="AB113" s="4">
        <f t="shared" si="124"/>
        <v>2.3943475160372336E-4</v>
      </c>
      <c r="AC113" s="47" t="str">
        <f t="shared" si="125"/>
        <v>11,5639920997232-25,2984534715415i</v>
      </c>
      <c r="AD113" s="20">
        <f t="shared" si="126"/>
        <v>28.88593736461528</v>
      </c>
      <c r="AE113" s="43">
        <f t="shared" si="127"/>
        <v>-65.43473049564372</v>
      </c>
      <c r="AF113" t="str">
        <f t="shared" si="108"/>
        <v>223,849857273222</v>
      </c>
      <c r="AG113" t="str">
        <f t="shared" si="109"/>
        <v>1+2,21054875005987i</v>
      </c>
      <c r="AH113">
        <f t="shared" si="128"/>
        <v>2.4262163498730387</v>
      </c>
      <c r="AI113">
        <f t="shared" si="129"/>
        <v>1.1459679750300877</v>
      </c>
      <c r="AJ113" t="str">
        <f t="shared" si="110"/>
        <v>1+0,000559989479949197i</v>
      </c>
      <c r="AK113">
        <f t="shared" si="130"/>
        <v>1.0000001567940966</v>
      </c>
      <c r="AL113">
        <f t="shared" si="131"/>
        <v>5.5998942141384045E-4</v>
      </c>
      <c r="AM113" t="str">
        <f t="shared" si="111"/>
        <v>1-0,00036807320595354i</v>
      </c>
      <c r="AN113">
        <f t="shared" si="132"/>
        <v>1.0000000677389402</v>
      </c>
      <c r="AO113">
        <f t="shared" si="133"/>
        <v>-3.6807318933161485E-4</v>
      </c>
      <c r="AP113" s="41" t="str">
        <f t="shared" si="134"/>
        <v>38,0436403483887-84,0543611893155i</v>
      </c>
      <c r="AQ113">
        <f t="shared" si="135"/>
        <v>39.300547885710266</v>
      </c>
      <c r="AR113" s="43">
        <f t="shared" si="136"/>
        <v>-65.648132436258962</v>
      </c>
      <c r="AS113" t="str">
        <f t="shared" si="112"/>
        <v>-0,0000166666666666667</v>
      </c>
      <c r="AT113" t="str">
        <f t="shared" si="113"/>
        <v>5,61669448389045E-07i</v>
      </c>
      <c r="AU113">
        <f t="shared" si="137"/>
        <v>5.6166944838904497E-7</v>
      </c>
      <c r="AV113">
        <f t="shared" si="138"/>
        <v>1.5707963267948966</v>
      </c>
      <c r="AW113" t="str">
        <f t="shared" si="114"/>
        <v>1+0,000368487593984516i</v>
      </c>
      <c r="AX113">
        <f t="shared" si="139"/>
        <v>1.0000000678915513</v>
      </c>
      <c r="AY113">
        <f t="shared" si="140"/>
        <v>3.6848757730638724E-4</v>
      </c>
      <c r="AZ113" t="str">
        <f t="shared" si="115"/>
        <v>1+0,123197685588823i</v>
      </c>
      <c r="BA113">
        <f t="shared" si="141"/>
        <v>1.0075602561308394</v>
      </c>
      <c r="BB113">
        <f t="shared" si="142"/>
        <v>0.1225800161816631</v>
      </c>
      <c r="BC113" s="41" t="str">
        <f t="shared" si="143"/>
        <v>-3,64476477724884+29,6747865937217i</v>
      </c>
      <c r="BD113">
        <f t="shared" si="144"/>
        <v>29.512778937774652</v>
      </c>
      <c r="BE113" s="43">
        <f t="shared" si="145"/>
        <v>97.002204796871936</v>
      </c>
      <c r="BF113" s="41" t="str">
        <f t="shared" si="146"/>
        <v>708,578176829737+435,365909862713i</v>
      </c>
      <c r="BG113" s="20">
        <f t="shared" si="147"/>
        <v>58.398716302389929</v>
      </c>
      <c r="BH113" s="43">
        <f t="shared" si="148"/>
        <v>31.567474301228241</v>
      </c>
      <c r="BI113" s="41" t="str">
        <f t="shared" si="101"/>
        <v>2355,63511022441+1435,2952836237i</v>
      </c>
      <c r="BJ113" s="20">
        <f t="shared" si="149"/>
        <v>68.813326823484914</v>
      </c>
      <c r="BK113" s="43">
        <f t="shared" si="102"/>
        <v>31.354072360612943</v>
      </c>
      <c r="BL113">
        <f t="shared" si="150"/>
        <v>58.398716302389929</v>
      </c>
      <c r="BM113" s="43">
        <f t="shared" si="151"/>
        <v>31.567474301228241</v>
      </c>
    </row>
    <row r="114" spans="14:65" x14ac:dyDescent="0.25">
      <c r="N114" s="9">
        <v>96</v>
      </c>
      <c r="O114" s="34">
        <f t="shared" si="116"/>
        <v>91.201083935590972</v>
      </c>
      <c r="P114" s="33" t="str">
        <f t="shared" si="103"/>
        <v>66,7780509511648</v>
      </c>
      <c r="Q114" s="4" t="str">
        <f t="shared" si="104"/>
        <v>1+2,23334568783169i</v>
      </c>
      <c r="R114" s="4">
        <f t="shared" si="117"/>
        <v>2.4470048960630231</v>
      </c>
      <c r="S114" s="4">
        <f t="shared" si="118"/>
        <v>1.1498078158191929</v>
      </c>
      <c r="T114" s="4" t="str">
        <f t="shared" si="105"/>
        <v>1+0,000573033310582957i</v>
      </c>
      <c r="U114" s="4">
        <f t="shared" si="119"/>
        <v>1.0000001641835741</v>
      </c>
      <c r="V114" s="4">
        <f t="shared" si="120"/>
        <v>5.7303324786119286E-4</v>
      </c>
      <c r="W114" t="str">
        <f t="shared" si="106"/>
        <v>1-0,00124656056207972i</v>
      </c>
      <c r="X114" s="4">
        <f t="shared" si="121"/>
        <v>1.0000007769563157</v>
      </c>
      <c r="Y114" s="4">
        <f t="shared" si="122"/>
        <v>-1.2465599163980037E-3</v>
      </c>
      <c r="Z114" t="str">
        <f t="shared" si="107"/>
        <v>0,999999991682362+0,00024501190616047i</v>
      </c>
      <c r="AA114" s="4">
        <f t="shared" si="123"/>
        <v>1.0000000216977787</v>
      </c>
      <c r="AB114" s="4">
        <f t="shared" si="124"/>
        <v>2.4501190329563404E-4</v>
      </c>
      <c r="AC114" s="47" t="str">
        <f t="shared" si="125"/>
        <v>11,1294177815468-24,917175473817i</v>
      </c>
      <c r="AD114" s="20">
        <f t="shared" si="126"/>
        <v>28.71998600333319</v>
      </c>
      <c r="AE114" s="43">
        <f t="shared" si="127"/>
        <v>-65.931763481081262</v>
      </c>
      <c r="AF114" t="str">
        <f t="shared" si="108"/>
        <v>223,849857273222</v>
      </c>
      <c r="AG114" t="str">
        <f t="shared" si="109"/>
        <v>1+2,26203904503124i</v>
      </c>
      <c r="AH114">
        <f t="shared" si="128"/>
        <v>2.4732207020898569</v>
      </c>
      <c r="AI114">
        <f t="shared" si="129"/>
        <v>1.1545489831202003</v>
      </c>
      <c r="AJ114" t="str">
        <f t="shared" si="110"/>
        <v>1+0,000573033310582957i</v>
      </c>
      <c r="AK114">
        <f t="shared" si="130"/>
        <v>1.0000001641835741</v>
      </c>
      <c r="AL114">
        <f t="shared" si="131"/>
        <v>5.7303324786119286E-4</v>
      </c>
      <c r="AM114" t="str">
        <f t="shared" si="111"/>
        <v>1-0,000376646732298569i</v>
      </c>
      <c r="AN114">
        <f t="shared" si="132"/>
        <v>1.0000000709313779</v>
      </c>
      <c r="AO114">
        <f t="shared" si="133"/>
        <v>-3.7664671448785539E-4</v>
      </c>
      <c r="AP114" s="41" t="str">
        <f t="shared" si="134"/>
        <v>36,6120506817814-82,7739270533329i</v>
      </c>
      <c r="AQ114">
        <f t="shared" si="135"/>
        <v>39.133881016379853</v>
      </c>
      <c r="AR114" s="43">
        <f t="shared" si="136"/>
        <v>-66.139531854392928</v>
      </c>
      <c r="AS114" t="str">
        <f t="shared" si="112"/>
        <v>-0,0000166666666666667</v>
      </c>
      <c r="AT114" t="str">
        <f t="shared" si="113"/>
        <v>5,74752410514706E-07i</v>
      </c>
      <c r="AU114">
        <f t="shared" si="137"/>
        <v>5.7475241051470596E-7</v>
      </c>
      <c r="AV114">
        <f t="shared" si="138"/>
        <v>1.5707963267948966</v>
      </c>
      <c r="AW114" t="str">
        <f t="shared" si="114"/>
        <v>1+0,000377070772666751i</v>
      </c>
      <c r="AX114">
        <f t="shared" si="139"/>
        <v>1.0000000710911814</v>
      </c>
      <c r="AY114">
        <f t="shared" si="140"/>
        <v>3.7707075479581414E-4</v>
      </c>
      <c r="AZ114" t="str">
        <f t="shared" si="115"/>
        <v>1+0,12606732832825i</v>
      </c>
      <c r="BA114">
        <f t="shared" si="141"/>
        <v>1.0079151607510539</v>
      </c>
      <c r="BB114">
        <f t="shared" si="142"/>
        <v>0.12540576401967574</v>
      </c>
      <c r="BC114" s="41" t="str">
        <f t="shared" si="143"/>
        <v>-3,64476475392504+28,9993678385281i</v>
      </c>
      <c r="BD114">
        <f t="shared" si="144"/>
        <v>29.315837902783713</v>
      </c>
      <c r="BE114" s="43">
        <f t="shared" si="145"/>
        <v>97.163616442113323</v>
      </c>
      <c r="BF114" s="41" t="str">
        <f t="shared" si="146"/>
        <v>682,018227400481+413,563323010065i</v>
      </c>
      <c r="BG114" s="20">
        <f t="shared" si="147"/>
        <v>58.035823906116903</v>
      </c>
      <c r="BH114" s="43">
        <f t="shared" si="148"/>
        <v>31.231852961032097</v>
      </c>
      <c r="BI114" s="41" t="str">
        <f t="shared" ref="BI114:BI177" si="152">IMPRODUCT(AP114,BC114)</f>
        <v>2266,94924616522+1363,41781691176i</v>
      </c>
      <c r="BJ114" s="20">
        <f t="shared" si="149"/>
        <v>68.449718919163558</v>
      </c>
      <c r="BK114" s="43">
        <f t="shared" ref="BK114:BK177" si="153">(180/PI())*IMARGUMENT(BI114)</f>
        <v>31.024084587720345</v>
      </c>
      <c r="BL114">
        <f t="shared" si="150"/>
        <v>58.035823906116903</v>
      </c>
      <c r="BM114" s="43">
        <f t="shared" si="151"/>
        <v>31.231852961032097</v>
      </c>
    </row>
    <row r="115" spans="14:65" x14ac:dyDescent="0.25">
      <c r="N115" s="9">
        <v>97</v>
      </c>
      <c r="O115" s="34">
        <f t="shared" si="116"/>
        <v>93.325430079699174</v>
      </c>
      <c r="P115" s="33" t="str">
        <f t="shared" si="103"/>
        <v>66,7780509511648</v>
      </c>
      <c r="Q115" s="4" t="str">
        <f t="shared" si="104"/>
        <v>1+2,28536699169861i</v>
      </c>
      <c r="R115" s="4">
        <f t="shared" si="117"/>
        <v>2.4945745702916065</v>
      </c>
      <c r="S115" s="4">
        <f t="shared" si="118"/>
        <v>1.1583300833048118</v>
      </c>
      <c r="T115" s="4" t="str">
        <f t="shared" si="105"/>
        <v>1+0,000586380971062982i</v>
      </c>
      <c r="U115" s="4">
        <f t="shared" si="119"/>
        <v>1.0000001719213067</v>
      </c>
      <c r="V115" s="4">
        <f t="shared" si="120"/>
        <v>5.8638090385540161E-4</v>
      </c>
      <c r="W115" t="str">
        <f t="shared" si="106"/>
        <v>1-0,00127559668762974i</v>
      </c>
      <c r="X115" s="4">
        <f t="shared" si="121"/>
        <v>1.0000008135731238</v>
      </c>
      <c r="Y115" s="4">
        <f t="shared" si="122"/>
        <v>-1.2755959957693461E-3</v>
      </c>
      <c r="Z115" t="str">
        <f t="shared" si="107"/>
        <v>0,999999991290364+0,000250718966599359i</v>
      </c>
      <c r="AA115" s="4">
        <f t="shared" si="123"/>
        <v>1.0000000227203638</v>
      </c>
      <c r="AB115" s="4">
        <f t="shared" si="124"/>
        <v>2.5071896352963193E-4</v>
      </c>
      <c r="AC115" s="47" t="str">
        <f t="shared" si="125"/>
        <v>10,7079682452363-24,5344041912533i</v>
      </c>
      <c r="AD115" s="20">
        <f t="shared" si="126"/>
        <v>28.552753329236907</v>
      </c>
      <c r="AE115" s="43">
        <f t="shared" si="127"/>
        <v>-66.421279310800315</v>
      </c>
      <c r="AF115" t="str">
        <f t="shared" si="108"/>
        <v>223,849857273222</v>
      </c>
      <c r="AG115" t="str">
        <f t="shared" si="109"/>
        <v>1+2,31472870304593i</v>
      </c>
      <c r="AH115">
        <f t="shared" si="128"/>
        <v>2.5215013322829503</v>
      </c>
      <c r="AI115">
        <f t="shared" si="129"/>
        <v>1.1629980446306256</v>
      </c>
      <c r="AJ115" t="str">
        <f t="shared" si="110"/>
        <v>1+0,000586380971062982i</v>
      </c>
      <c r="AK115">
        <f t="shared" si="130"/>
        <v>1.0000001719213067</v>
      </c>
      <c r="AL115">
        <f t="shared" si="131"/>
        <v>5.8638090385540161E-4</v>
      </c>
      <c r="AM115" t="str">
        <f t="shared" si="111"/>
        <v>1-0,000385419961726571i</v>
      </c>
      <c r="AN115">
        <f t="shared" si="132"/>
        <v>1.0000000742742707</v>
      </c>
      <c r="AO115">
        <f t="shared" si="133"/>
        <v>-3.8541994264204761E-4</v>
      </c>
      <c r="AP115" s="41" t="str">
        <f t="shared" si="134"/>
        <v>35,2241474050705-81,48935994558i</v>
      </c>
      <c r="AQ115">
        <f t="shared" si="135"/>
        <v>38.965954535432608</v>
      </c>
      <c r="AR115" s="43">
        <f t="shared" si="136"/>
        <v>-66.623365324377758</v>
      </c>
      <c r="AS115" t="str">
        <f t="shared" si="112"/>
        <v>-0,0000166666666666667</v>
      </c>
      <c r="AT115" t="str">
        <f t="shared" si="113"/>
        <v>5,88140113976171E-07i</v>
      </c>
      <c r="AU115">
        <f t="shared" si="137"/>
        <v>5.8814011397617102E-7</v>
      </c>
      <c r="AV115">
        <f t="shared" si="138"/>
        <v>1.5707963267948966</v>
      </c>
      <c r="AW115" t="str">
        <f t="shared" si="114"/>
        <v>1+0,000385853879263777i</v>
      </c>
      <c r="AX115">
        <f t="shared" si="139"/>
        <v>1.0000000744416053</v>
      </c>
      <c r="AY115">
        <f t="shared" si="140"/>
        <v>3.8585386011472317E-4</v>
      </c>
      <c r="AZ115" t="str">
        <f t="shared" si="115"/>
        <v>1+0,129003813633856i</v>
      </c>
      <c r="BA115">
        <f t="shared" si="141"/>
        <v>1.0082866576187937</v>
      </c>
      <c r="BB115">
        <f t="shared" si="142"/>
        <v>0.12829524897899725</v>
      </c>
      <c r="BC115" s="41" t="str">
        <f t="shared" si="143"/>
        <v>-3,64476472950206+28,3393249320134i</v>
      </c>
      <c r="BD115">
        <f t="shared" si="144"/>
        <v>29.119038724709355</v>
      </c>
      <c r="BE115" s="43">
        <f t="shared" si="145"/>
        <v>97.328668500383245</v>
      </c>
      <c r="BF115" s="41" t="str">
        <f t="shared" si="146"/>
        <v>656,260427404413+392,87872251906i</v>
      </c>
      <c r="BG115" s="20">
        <f t="shared" si="147"/>
        <v>57.671792053946255</v>
      </c>
      <c r="BH115" s="43">
        <f t="shared" si="148"/>
        <v>30.907389189582926</v>
      </c>
      <c r="BI115" s="41" t="str">
        <f t="shared" si="152"/>
        <v>2180,96971991081+1295,23810372478i</v>
      </c>
      <c r="BJ115" s="20">
        <f t="shared" si="149"/>
        <v>68.084993260141971</v>
      </c>
      <c r="BK115" s="43">
        <f t="shared" si="153"/>
        <v>30.705303176005511</v>
      </c>
      <c r="BL115">
        <f t="shared" si="150"/>
        <v>57.671792053946255</v>
      </c>
      <c r="BM115" s="43">
        <f t="shared" si="151"/>
        <v>30.907389189582926</v>
      </c>
    </row>
    <row r="116" spans="14:65" x14ac:dyDescent="0.25">
      <c r="N116" s="9">
        <v>98</v>
      </c>
      <c r="O116" s="34">
        <f t="shared" si="116"/>
        <v>95.499258602143655</v>
      </c>
      <c r="P116" s="33" t="str">
        <f t="shared" si="103"/>
        <v>66,7780509511648</v>
      </c>
      <c r="Q116" s="4" t="str">
        <f t="shared" si="104"/>
        <v>1+2,33860002739494i</v>
      </c>
      <c r="R116" s="4">
        <f t="shared" si="117"/>
        <v>2.5434327370959933</v>
      </c>
      <c r="S116" s="4">
        <f t="shared" si="118"/>
        <v>1.1667202305142634</v>
      </c>
      <c r="T116" s="4" t="str">
        <f t="shared" si="105"/>
        <v>1+0,000600039538495533i</v>
      </c>
      <c r="U116" s="4">
        <f t="shared" si="119"/>
        <v>1.0000001800237077</v>
      </c>
      <c r="V116" s="4">
        <f t="shared" si="120"/>
        <v>6.0003946648131377E-4</v>
      </c>
      <c r="W116" t="str">
        <f t="shared" si="106"/>
        <v>1-0,00130530915142805i</v>
      </c>
      <c r="X116" s="4">
        <f t="shared" si="121"/>
        <v>1.0000008519156276</v>
      </c>
      <c r="Y116" s="4">
        <f t="shared" si="122"/>
        <v>-1.3053084100863154E-3</v>
      </c>
      <c r="Z116" t="str">
        <f t="shared" si="107"/>
        <v>0,999999990879892+0,000256558961552997i</v>
      </c>
      <c r="AA116" s="4">
        <f t="shared" si="123"/>
        <v>1.0000000237911422</v>
      </c>
      <c r="AB116" s="4">
        <f t="shared" si="124"/>
        <v>2.5655895826372504E-4</v>
      </c>
      <c r="AC116" s="47" t="str">
        <f t="shared" si="125"/>
        <v>10,299484534016-24,1506038608899i</v>
      </c>
      <c r="AD116" s="20">
        <f t="shared" si="126"/>
        <v>28.38427840214457</v>
      </c>
      <c r="AE116" s="43">
        <f t="shared" si="127"/>
        <v>-66.903253760392744</v>
      </c>
      <c r="AF116" t="str">
        <f t="shared" si="108"/>
        <v>223,849857273222</v>
      </c>
      <c r="AG116" t="str">
        <f t="shared" si="109"/>
        <v>1+2,36864566085801i</v>
      </c>
      <c r="AH116">
        <f t="shared" si="128"/>
        <v>2.571085814729154</v>
      </c>
      <c r="AI116">
        <f t="shared" si="129"/>
        <v>1.1713148131157771</v>
      </c>
      <c r="AJ116" t="str">
        <f t="shared" si="110"/>
        <v>1+0,000600039538495533i</v>
      </c>
      <c r="AK116">
        <f t="shared" si="130"/>
        <v>1.0000001800237077</v>
      </c>
      <c r="AL116">
        <f t="shared" si="131"/>
        <v>6.0003946648131377E-4</v>
      </c>
      <c r="AM116" t="str">
        <f t="shared" si="111"/>
        <v>1-0,000394397545919917i</v>
      </c>
      <c r="AN116">
        <f t="shared" si="132"/>
        <v>1.0000000777747091</v>
      </c>
      <c r="AO116">
        <f t="shared" si="133"/>
        <v>-3.9439752547048185E-4</v>
      </c>
      <c r="AP116" s="41" t="str">
        <f t="shared" si="134"/>
        <v>33,8793656671428-80,2021795494122i</v>
      </c>
      <c r="AQ116">
        <f t="shared" si="135"/>
        <v>38.796807230196485</v>
      </c>
      <c r="AR116" s="43">
        <f t="shared" si="136"/>
        <v>-67.099612857377991</v>
      </c>
      <c r="AS116" t="str">
        <f t="shared" si="112"/>
        <v>-0,0000166666666666667</v>
      </c>
      <c r="AT116" t="str">
        <f t="shared" si="113"/>
        <v>6,01839657111019E-07i</v>
      </c>
      <c r="AU116">
        <f t="shared" si="137"/>
        <v>6.0183965711101899E-7</v>
      </c>
      <c r="AV116">
        <f t="shared" si="138"/>
        <v>1.5707963267948966</v>
      </c>
      <c r="AW116" t="str">
        <f t="shared" si="114"/>
        <v>1+0,000394841570694967i</v>
      </c>
      <c r="AX116">
        <f t="shared" si="139"/>
        <v>1.0000000779499298</v>
      </c>
      <c r="AY116">
        <f t="shared" si="140"/>
        <v>3.9484155017638627E-4</v>
      </c>
      <c r="AZ116" t="str">
        <f t="shared" si="115"/>
        <v>1+0,132008698469017i</v>
      </c>
      <c r="BA116">
        <f t="shared" si="141"/>
        <v>1.0086755159472662</v>
      </c>
      <c r="BB116">
        <f t="shared" si="142"/>
        <v>0.13124981000265418</v>
      </c>
      <c r="BC116" s="41" t="str">
        <f t="shared" si="143"/>
        <v>-3,64476470392801+27,6943079106924i</v>
      </c>
      <c r="BD116">
        <f t="shared" si="144"/>
        <v>28.922387870152683</v>
      </c>
      <c r="BE116" s="43">
        <f t="shared" si="145"/>
        <v>97.497437420644488</v>
      </c>
      <c r="BF116" s="41" t="str">
        <f t="shared" si="146"/>
        <v>631,295061854408+373,260364537172i</v>
      </c>
      <c r="BG116" s="20">
        <f t="shared" si="147"/>
        <v>57.30666627229725</v>
      </c>
      <c r="BH116" s="43">
        <f t="shared" si="148"/>
        <v>30.594183660251691</v>
      </c>
      <c r="BI116" s="41" t="str">
        <f t="shared" si="152"/>
        <v>2097,66153937499+1230,58365780459i</v>
      </c>
      <c r="BJ116" s="20">
        <f t="shared" si="149"/>
        <v>67.719195100349182</v>
      </c>
      <c r="BK116" s="43">
        <f t="shared" si="153"/>
        <v>30.397824563266497</v>
      </c>
      <c r="BL116">
        <f t="shared" si="150"/>
        <v>57.30666627229725</v>
      </c>
      <c r="BM116" s="43">
        <f t="shared" si="151"/>
        <v>30.594183660251691</v>
      </c>
    </row>
    <row r="117" spans="14:65" x14ac:dyDescent="0.25">
      <c r="N117" s="9">
        <v>99</v>
      </c>
      <c r="O117" s="34">
        <f t="shared" si="116"/>
        <v>97.723722095581124</v>
      </c>
      <c r="P117" s="33" t="str">
        <f t="shared" si="103"/>
        <v>66,7780509511648</v>
      </c>
      <c r="Q117" s="4" t="str">
        <f t="shared" si="104"/>
        <v>1+2,39307301978082i</v>
      </c>
      <c r="R117" s="4">
        <f t="shared" si="117"/>
        <v>2.5936072327942972</v>
      </c>
      <c r="S117" s="4">
        <f t="shared" si="118"/>
        <v>1.1749779799976463</v>
      </c>
      <c r="T117" s="4" t="str">
        <f t="shared" si="105"/>
        <v>1+0,000614016254833856i</v>
      </c>
      <c r="U117" s="4">
        <f t="shared" si="119"/>
        <v>1.0000001885079628</v>
      </c>
      <c r="V117" s="4">
        <f t="shared" si="120"/>
        <v>6.1401617766923056E-4</v>
      </c>
      <c r="W117" t="str">
        <f t="shared" si="106"/>
        <v>1-0,00133571370741626i</v>
      </c>
      <c r="X117" s="4">
        <f t="shared" si="121"/>
        <v>1.0000008920651562</v>
      </c>
      <c r="Y117" s="4">
        <f t="shared" si="122"/>
        <v>-1.3357129130543181E-3</v>
      </c>
      <c r="Z117" t="str">
        <f t="shared" si="107"/>
        <v>0,999999990450074+0,000262534987464009i</v>
      </c>
      <c r="AA117" s="4">
        <f t="shared" si="123"/>
        <v>1.0000000249123837</v>
      </c>
      <c r="AB117" s="4">
        <f t="shared" si="124"/>
        <v>2.6253498393949073E-4</v>
      </c>
      <c r="AC117" s="47" t="str">
        <f t="shared" si="125"/>
        <v>9,90379067740843-23,7662193983356i</v>
      </c>
      <c r="AD117" s="20">
        <f t="shared" si="126"/>
        <v>28.21459978016383</v>
      </c>
      <c r="AE117" s="43">
        <f t="shared" si="127"/>
        <v>-67.377671598252135</v>
      </c>
      <c r="AF117" t="str">
        <f t="shared" si="108"/>
        <v>223,849857273222</v>
      </c>
      <c r="AG117" t="str">
        <f t="shared" si="109"/>
        <v>1+2,42381850595222i</v>
      </c>
      <c r="AH117">
        <f t="shared" si="128"/>
        <v>2.6220023168937989</v>
      </c>
      <c r="AI117">
        <f t="shared" si="129"/>
        <v>1.1794990951085615</v>
      </c>
      <c r="AJ117" t="str">
        <f t="shared" si="110"/>
        <v>1+0,000614016254833856i</v>
      </c>
      <c r="AK117">
        <f t="shared" si="130"/>
        <v>1.0000001885079628</v>
      </c>
      <c r="AL117">
        <f t="shared" si="131"/>
        <v>6.1401617766923056E-4</v>
      </c>
      <c r="AM117" t="str">
        <f t="shared" si="111"/>
        <v>1-0,000403584244912577i</v>
      </c>
      <c r="AN117">
        <f t="shared" si="132"/>
        <v>1.0000000814401182</v>
      </c>
      <c r="AO117">
        <f t="shared" si="133"/>
        <v>-4.0358422300061257E-4</v>
      </c>
      <c r="AP117" s="41" t="str">
        <f t="shared" si="134"/>
        <v>32,5770865858544-78,9138401614152i</v>
      </c>
      <c r="AQ117">
        <f t="shared" si="135"/>
        <v>38.626477358759267</v>
      </c>
      <c r="AR117" s="43">
        <f t="shared" si="136"/>
        <v>-67.568263226343063</v>
      </c>
      <c r="AS117" t="str">
        <f t="shared" si="112"/>
        <v>-0,0000166666666666667</v>
      </c>
      <c r="AT117" t="str">
        <f t="shared" si="113"/>
        <v>6,15858303598358E-07i</v>
      </c>
      <c r="AU117">
        <f t="shared" si="137"/>
        <v>6.1585830359835799E-7</v>
      </c>
      <c r="AV117">
        <f t="shared" si="138"/>
        <v>1.5707963267948966</v>
      </c>
      <c r="AW117" t="str">
        <f t="shared" si="114"/>
        <v>1+0,000404038612353285i</v>
      </c>
      <c r="AX117">
        <f t="shared" si="139"/>
        <v>1.0000000816235968</v>
      </c>
      <c r="AY117">
        <f t="shared" si="140"/>
        <v>4.0403859036722972E-4</v>
      </c>
      <c r="AZ117" t="str">
        <f t="shared" si="115"/>
        <v>1+0,135083576063448i</v>
      </c>
      <c r="BA117">
        <f t="shared" si="141"/>
        <v>1.0090825399946672</v>
      </c>
      <c r="BB117">
        <f t="shared" si="142"/>
        <v>0.13427080719539652</v>
      </c>
      <c r="BC117" s="41" t="str">
        <f t="shared" si="143"/>
        <v>-3,64476467714871+27,0639747780021i</v>
      </c>
      <c r="BD117">
        <f t="shared" si="144"/>
        <v>28.725892089898885</v>
      </c>
      <c r="BE117" s="43">
        <f t="shared" si="145"/>
        <v>97.670000858122535</v>
      </c>
      <c r="BF117" s="41" t="str">
        <f t="shared" si="146"/>
        <v>607,111375934126+354,658218072414i</v>
      </c>
      <c r="BG117" s="20">
        <f t="shared" si="147"/>
        <v>56.940491870062715</v>
      </c>
      <c r="BH117" s="43">
        <f t="shared" si="148"/>
        <v>30.292329259870396</v>
      </c>
      <c r="BI117" s="41" t="str">
        <f t="shared" si="152"/>
        <v>2016,98636529129+1169,28782685884i</v>
      </c>
      <c r="BJ117" s="20">
        <f t="shared" si="149"/>
        <v>67.352369448658152</v>
      </c>
      <c r="BK117" s="43">
        <f t="shared" si="153"/>
        <v>30.101737631779521</v>
      </c>
      <c r="BL117">
        <f t="shared" si="150"/>
        <v>56.940491870062715</v>
      </c>
      <c r="BM117" s="43">
        <f t="shared" si="151"/>
        <v>30.292329259870396</v>
      </c>
    </row>
    <row r="118" spans="14:65" x14ac:dyDescent="0.25">
      <c r="N118" s="9">
        <v>100</v>
      </c>
      <c r="O118" s="34">
        <f t="shared" si="116"/>
        <v>100</v>
      </c>
      <c r="P118" s="33" t="str">
        <f t="shared" si="103"/>
        <v>66,7780509511648</v>
      </c>
      <c r="Q118" s="4" t="str">
        <f t="shared" si="104"/>
        <v>1+2,44881485115785i</v>
      </c>
      <c r="R118" s="4">
        <f t="shared" si="117"/>
        <v>2.6451264951323674</v>
      </c>
      <c r="S118" s="4">
        <f t="shared" si="118"/>
        <v>1.1831032042761116</v>
      </c>
      <c r="T118" s="4" t="str">
        <f t="shared" si="105"/>
        <v>1+0,000628318530717959i</v>
      </c>
      <c r="U118" s="4">
        <f t="shared" si="119"/>
        <v>1.0000001973920685</v>
      </c>
      <c r="V118" s="4">
        <f t="shared" si="120"/>
        <v>6.2831844803457417E-4</v>
      </c>
      <c r="W118" t="str">
        <f t="shared" si="106"/>
        <v>1-0,0013668264764924i</v>
      </c>
      <c r="X118" s="4">
        <f t="shared" si="121"/>
        <v>1.0000009341068721</v>
      </c>
      <c r="Y118" s="4">
        <f t="shared" si="122"/>
        <v>-1.3668256253182868E-3</v>
      </c>
      <c r="Z118" t="str">
        <f t="shared" si="107"/>
        <v>0,99999999+0,000268650212900436i</v>
      </c>
      <c r="AA118" s="4">
        <f t="shared" si="123"/>
        <v>1.0000000260864681</v>
      </c>
      <c r="AB118" s="4">
        <f t="shared" si="124"/>
        <v>2.6865020912384666E-4</v>
      </c>
      <c r="AC118" s="47" t="str">
        <f t="shared" si="125"/>
        <v>9,5206952837425-23,3816760744177i</v>
      </c>
      <c r="AD118" s="20">
        <f t="shared" si="126"/>
        <v>28.043755471150867</v>
      </c>
      <c r="AE118" s="43">
        <f t="shared" si="127"/>
        <v>-67.844526200971814</v>
      </c>
      <c r="AF118" t="str">
        <f t="shared" si="108"/>
        <v>223,849857273222</v>
      </c>
      <c r="AG118" t="str">
        <f t="shared" si="109"/>
        <v>1+2,48027649170131i</v>
      </c>
      <c r="AH118">
        <f t="shared" si="128"/>
        <v>2.6742796180067181</v>
      </c>
      <c r="AI118">
        <f t="shared" si="129"/>
        <v>1.1875508433461854</v>
      </c>
      <c r="AJ118" t="str">
        <f t="shared" si="110"/>
        <v>1+0,000628318530717959i</v>
      </c>
      <c r="AK118">
        <f t="shared" si="130"/>
        <v>1.0000001973920685</v>
      </c>
      <c r="AL118">
        <f t="shared" si="131"/>
        <v>6.2831844803457417E-4</v>
      </c>
      <c r="AM118" t="str">
        <f t="shared" si="111"/>
        <v>1-0,00041298492961396i</v>
      </c>
      <c r="AN118">
        <f t="shared" si="132"/>
        <v>1.0000000852782724</v>
      </c>
      <c r="AO118">
        <f t="shared" si="133"/>
        <v>-4.129849061348672E-4</v>
      </c>
      <c r="AP118" s="41" t="str">
        <f t="shared" si="134"/>
        <v>31,3166425133168-77,6257298289203i</v>
      </c>
      <c r="AQ118">
        <f t="shared" si="135"/>
        <v>38.455002604052979</v>
      </c>
      <c r="AR118" s="43">
        <f t="shared" si="136"/>
        <v>-68.02931357779957</v>
      </c>
      <c r="AS118" t="str">
        <f t="shared" si="112"/>
        <v>-0,0000166666666666667</v>
      </c>
      <c r="AT118" t="str">
        <f t="shared" si="113"/>
        <v>6,30203486310113E-07i</v>
      </c>
      <c r="AU118">
        <f t="shared" si="137"/>
        <v>6.3020348631011301E-7</v>
      </c>
      <c r="AV118">
        <f t="shared" si="138"/>
        <v>1.5707963267948966</v>
      </c>
      <c r="AW118" t="str">
        <f t="shared" si="114"/>
        <v>1+0,000413449880631957i</v>
      </c>
      <c r="AX118">
        <f t="shared" si="139"/>
        <v>1.0000000854703983</v>
      </c>
      <c r="AY118">
        <f t="shared" si="140"/>
        <v>4.134498570734744E-4</v>
      </c>
      <c r="AZ118" t="str">
        <f t="shared" si="115"/>
        <v>1+0,138230076757951i</v>
      </c>
      <c r="BA118">
        <f t="shared" si="141"/>
        <v>1.0095085706028002</v>
      </c>
      <c r="BB118">
        <f t="shared" si="142"/>
        <v>0.13735962164607035</v>
      </c>
      <c r="BC118" s="41" t="str">
        <f t="shared" si="143"/>
        <v>-3,64476464910734+26,4479913229719i</v>
      </c>
      <c r="BD118">
        <f t="shared" si="144"/>
        <v>28.529558430404059</v>
      </c>
      <c r="BE118" s="43">
        <f t="shared" si="145"/>
        <v>97.846437663983053</v>
      </c>
      <c r="BF118" s="41" t="str">
        <f t="shared" si="146"/>
        <v>583,697672327631+337,023972645998i</v>
      </c>
      <c r="BG118" s="20">
        <f t="shared" si="147"/>
        <v>56.573313901554918</v>
      </c>
      <c r="BH118" s="43">
        <f t="shared" si="148"/>
        <v>30.0019114630113</v>
      </c>
      <c r="BI118" s="41" t="str">
        <f t="shared" si="152"/>
        <v>1938,90283739338+1111,18980539842i</v>
      </c>
      <c r="BJ118" s="20">
        <f t="shared" si="149"/>
        <v>66.984561034457045</v>
      </c>
      <c r="BK118" s="43">
        <f t="shared" si="153"/>
        <v>29.817124086183412</v>
      </c>
      <c r="BL118">
        <f t="shared" si="150"/>
        <v>56.573313901554918</v>
      </c>
      <c r="BM118" s="43">
        <f t="shared" si="151"/>
        <v>30.0019114630113</v>
      </c>
    </row>
    <row r="119" spans="14:65" x14ac:dyDescent="0.25">
      <c r="N119" s="9">
        <v>1</v>
      </c>
      <c r="O119" s="34">
        <f>10^(2+(N119/100))</f>
        <v>102.32929922807544</v>
      </c>
      <c r="P119" s="33" t="str">
        <f t="shared" si="103"/>
        <v>66,7780509511648</v>
      </c>
      <c r="Q119" s="4" t="str">
        <f t="shared" si="104"/>
        <v>1+2,50585507658287i</v>
      </c>
      <c r="R119" s="4">
        <f t="shared" si="117"/>
        <v>2.6980195819964208</v>
      </c>
      <c r="S119" s="4">
        <f t="shared" si="118"/>
        <v>1.191095919032106</v>
      </c>
      <c r="T119" s="4" t="str">
        <f t="shared" si="105"/>
        <v>1+0,000642953949403827i</v>
      </c>
      <c r="U119" s="4">
        <f t="shared" si="119"/>
        <v>1.0000002066948692</v>
      </c>
      <c r="V119" s="4">
        <f t="shared" si="120"/>
        <v>6.4295386080698486E-4</v>
      </c>
      <c r="W119" t="str">
        <f t="shared" si="106"/>
        <v>1-0,00139866395505847i</v>
      </c>
      <c r="X119" s="4">
        <f t="shared" si="121"/>
        <v>1.0000009781299513</v>
      </c>
      <c r="Y119" s="4">
        <f t="shared" si="122"/>
        <v>-1.3986630430090237E-3</v>
      </c>
      <c r="Z119" t="str">
        <f t="shared" si="107"/>
        <v>0,999999989528714+0,000274907880235749i</v>
      </c>
      <c r="AA119" s="4">
        <f t="shared" si="123"/>
        <v>1.0000000273158851</v>
      </c>
      <c r="AB119" s="4">
        <f t="shared" si="124"/>
        <v>2.7490787618906072E-4</v>
      </c>
      <c r="AC119" s="47" t="str">
        <f t="shared" si="125"/>
        <v>9,1499930930865-22,9973793089246i</v>
      </c>
      <c r="AD119" s="20">
        <f t="shared" si="126"/>
        <v>27.871782888880414</v>
      </c>
      <c r="AE119" s="43">
        <f t="shared" si="127"/>
        <v>-68.303819163535707</v>
      </c>
      <c r="AF119" t="str">
        <f t="shared" si="108"/>
        <v>223,849857273222</v>
      </c>
      <c r="AG119" t="str">
        <f t="shared" si="109"/>
        <v>1+2,53804955287665i</v>
      </c>
      <c r="AH119">
        <f t="shared" si="128"/>
        <v>2.7279471279438985</v>
      </c>
      <c r="AI119">
        <f t="shared" si="129"/>
        <v>1.1954701499269014</v>
      </c>
      <c r="AJ119" t="str">
        <f t="shared" si="110"/>
        <v>1+0,000642953949403827i</v>
      </c>
      <c r="AK119">
        <f t="shared" si="130"/>
        <v>1.0000002066948692</v>
      </c>
      <c r="AL119">
        <f t="shared" si="131"/>
        <v>6.4295386080698486E-4</v>
      </c>
      <c r="AM119" t="str">
        <f t="shared" si="111"/>
        <v>1-0,000422604584391526i</v>
      </c>
      <c r="AN119">
        <f t="shared" si="132"/>
        <v>1.0000000892973135</v>
      </c>
      <c r="AO119">
        <f t="shared" si="133"/>
        <v>-4.2260455923322487E-4</v>
      </c>
      <c r="AP119" s="41" t="str">
        <f t="shared" si="134"/>
        <v>30,0973221550539-76,3391698645107i</v>
      </c>
      <c r="AQ119">
        <f t="shared" si="135"/>
        <v>38.28242003257931</v>
      </c>
      <c r="AR119" s="43">
        <f t="shared" si="136"/>
        <v>-68.482769039684356</v>
      </c>
      <c r="AS119" t="str">
        <f t="shared" si="112"/>
        <v>-0,0000166666666666667</v>
      </c>
      <c r="AT119" t="str">
        <f t="shared" si="113"/>
        <v>6,44882811252039E-07i</v>
      </c>
      <c r="AU119">
        <f t="shared" si="137"/>
        <v>6.4488281125203896E-7</v>
      </c>
      <c r="AV119">
        <f t="shared" si="138"/>
        <v>1.5707963267948966</v>
      </c>
      <c r="AW119" t="str">
        <f t="shared" si="114"/>
        <v>1+0,000423080365509996i</v>
      </c>
      <c r="AX119">
        <f t="shared" si="139"/>
        <v>1.0000000894984937</v>
      </c>
      <c r="AY119">
        <f t="shared" si="140"/>
        <v>4.2308034026662726E-4</v>
      </c>
      <c r="AZ119" t="str">
        <f t="shared" si="115"/>
        <v>1+0,141449868868842i</v>
      </c>
      <c r="BA119">
        <f t="shared" si="141"/>
        <v>1.0099544867978025</v>
      </c>
      <c r="BB119">
        <f t="shared" si="142"/>
        <v>0.14051765520333262</v>
      </c>
      <c r="BC119" s="41" t="str">
        <f t="shared" si="143"/>
        <v>-3,64476461974442+25,8460309430209i</v>
      </c>
      <c r="BD119">
        <f t="shared" si="144"/>
        <v>28.333394245650425</v>
      </c>
      <c r="BE119" s="43">
        <f t="shared" si="145"/>
        <v>98.0268278723332</v>
      </c>
      <c r="BF119" s="41" t="str">
        <f t="shared" si="146"/>
        <v>561,041406130266+320,311039064352i</v>
      </c>
      <c r="BG119" s="20">
        <f t="shared" si="147"/>
        <v>56.205177134530828</v>
      </c>
      <c r="BH119" s="43">
        <f t="shared" si="148"/>
        <v>29.723008708797508</v>
      </c>
      <c r="BI119" s="41" t="str">
        <f t="shared" si="152"/>
        <v>1863,36689154288+1056,13462514442i</v>
      </c>
      <c r="BJ119" s="20">
        <f t="shared" si="149"/>
        <v>66.61581427822972</v>
      </c>
      <c r="BK119" s="43">
        <f t="shared" si="153"/>
        <v>29.544058832648883</v>
      </c>
      <c r="BL119">
        <f t="shared" si="150"/>
        <v>56.205177134530828</v>
      </c>
      <c r="BM119" s="43">
        <f t="shared" si="151"/>
        <v>29.723008708797508</v>
      </c>
    </row>
    <row r="120" spans="14:65" x14ac:dyDescent="0.25">
      <c r="N120" s="9">
        <v>2</v>
      </c>
      <c r="O120" s="34">
        <f t="shared" ref="O120:O183" si="154">10^(2+(N120/100))</f>
        <v>104.71285480508998</v>
      </c>
      <c r="P120" s="33" t="str">
        <f t="shared" si="103"/>
        <v>66,7780509511648</v>
      </c>
      <c r="Q120" s="4" t="str">
        <f t="shared" si="104"/>
        <v>1+2,5642239395384i</v>
      </c>
      <c r="R120" s="4">
        <f t="shared" si="117"/>
        <v>2.7523161904297684</v>
      </c>
      <c r="S120" s="4">
        <f t="shared" si="118"/>
        <v>1.1989562762475074</v>
      </c>
      <c r="T120" s="4" t="str">
        <f t="shared" si="105"/>
        <v>1+0,000657930270784171i</v>
      </c>
      <c r="U120" s="4">
        <f t="shared" si="119"/>
        <v>1.0000002164360973</v>
      </c>
      <c r="V120" s="4">
        <f t="shared" si="120"/>
        <v>6.5793017585094528E-4</v>
      </c>
      <c r="W120" t="str">
        <f t="shared" si="106"/>
        <v>1-0,00143124302376702i</v>
      </c>
      <c r="X120" s="4">
        <f t="shared" si="121"/>
        <v>1.0000010242277719</v>
      </c>
      <c r="Y120" s="4">
        <f t="shared" si="122"/>
        <v>-1.431242046488485E-3</v>
      </c>
      <c r="Z120" t="str">
        <f t="shared" si="107"/>
        <v>0,999999989035218+0,000281311307367998i</v>
      </c>
      <c r="AA120" s="4">
        <f t="shared" si="123"/>
        <v>1.0000000286032436</v>
      </c>
      <c r="AB120" s="4">
        <f t="shared" si="124"/>
        <v>2.8131130303189322E-4</v>
      </c>
      <c r="AC120" s="47" t="str">
        <f t="shared" si="125"/>
        <v>8,79146648356657-22,6137145731417i</v>
      </c>
      <c r="AD120" s="20">
        <f t="shared" si="126"/>
        <v>27.698718813796503</v>
      </c>
      <c r="AE120" s="43">
        <f t="shared" si="127"/>
        <v>-68.755559906531346</v>
      </c>
      <c r="AF120" t="str">
        <f t="shared" si="108"/>
        <v>223,849857273222</v>
      </c>
      <c r="AG120" t="str">
        <f t="shared" si="109"/>
        <v>1+2,59716832151998i</v>
      </c>
      <c r="AH120">
        <f t="shared" si="128"/>
        <v>2.7830349064118671</v>
      </c>
      <c r="AI120">
        <f t="shared" si="129"/>
        <v>1.2032572394349714</v>
      </c>
      <c r="AJ120" t="str">
        <f t="shared" si="110"/>
        <v>1+0,000657930270784171i</v>
      </c>
      <c r="AK120">
        <f t="shared" si="130"/>
        <v>1.0000002164360973</v>
      </c>
      <c r="AL120">
        <f t="shared" si="131"/>
        <v>6.5793017585094528E-4</v>
      </c>
      <c r="AM120" t="str">
        <f t="shared" si="111"/>
        <v>1-0,000432448309713569i</v>
      </c>
      <c r="AN120">
        <f t="shared" si="132"/>
        <v>1.0000000935057658</v>
      </c>
      <c r="AO120">
        <f t="shared" si="133"/>
        <v>-4.3244828275596382E-4</v>
      </c>
      <c r="AP120" s="41" t="str">
        <f t="shared" si="134"/>
        <v>28,9183755214649-75,0554147093641i</v>
      </c>
      <c r="AQ120">
        <f t="shared" si="135"/>
        <v>38.108766057635847</v>
      </c>
      <c r="AR120" s="43">
        <f t="shared" si="136"/>
        <v>-68.928642327355263</v>
      </c>
      <c r="AS120" t="str">
        <f t="shared" si="112"/>
        <v>-0,0000166666666666667</v>
      </c>
      <c r="AT120" t="str">
        <f t="shared" si="113"/>
        <v>6,59904061596523E-07i</v>
      </c>
      <c r="AU120">
        <f t="shared" si="137"/>
        <v>6.5990406159652299E-7</v>
      </c>
      <c r="AV120">
        <f t="shared" si="138"/>
        <v>1.5707963267948966</v>
      </c>
      <c r="AW120" t="str">
        <f t="shared" si="114"/>
        <v>1+0,000432935173197959i</v>
      </c>
      <c r="AX120">
        <f t="shared" si="139"/>
        <v>1.0000000937164277</v>
      </c>
      <c r="AY120">
        <f t="shared" si="140"/>
        <v>4.3293514614920218E-4</v>
      </c>
      <c r="AZ120" t="str">
        <f t="shared" si="115"/>
        <v>1+0,144744659572517i</v>
      </c>
      <c r="BA120">
        <f t="shared" si="141"/>
        <v>1.0104212074549721</v>
      </c>
      <c r="BB120">
        <f t="shared" si="142"/>
        <v>0.14374633020120317</v>
      </c>
      <c r="BC120" s="41" t="str">
        <f t="shared" si="143"/>
        <v>-3,64476458899767+25,2577744707872i</v>
      </c>
      <c r="BD120">
        <f t="shared" si="144"/>
        <v>28.137407209371823</v>
      </c>
      <c r="BE120" s="43">
        <f t="shared" si="145"/>
        <v>98.211252684345652</v>
      </c>
      <c r="BF120" s="41" t="str">
        <f t="shared" si="146"/>
        <v>539,129276910504+304,474543811296i</v>
      </c>
      <c r="BG120" s="20">
        <f t="shared" si="147"/>
        <v>55.836126023168326</v>
      </c>
      <c r="BH120" s="43">
        <f t="shared" si="148"/>
        <v>29.45569277781426</v>
      </c>
      <c r="BI120" s="41" t="str">
        <f t="shared" si="152"/>
        <v>1790,33206646855+1003,97312472792i</v>
      </c>
      <c r="BJ120" s="20">
        <f t="shared" si="149"/>
        <v>66.246173267007663</v>
      </c>
      <c r="BK120" s="43">
        <f t="shared" si="153"/>
        <v>29.282610356990446</v>
      </c>
      <c r="BL120">
        <f t="shared" si="150"/>
        <v>55.836126023168326</v>
      </c>
      <c r="BM120" s="43">
        <f t="shared" si="151"/>
        <v>29.45569277781426</v>
      </c>
    </row>
    <row r="121" spans="14:65" x14ac:dyDescent="0.25">
      <c r="N121" s="9">
        <v>3</v>
      </c>
      <c r="O121" s="34">
        <f t="shared" si="154"/>
        <v>107.15193052376065</v>
      </c>
      <c r="P121" s="33" t="str">
        <f t="shared" si="103"/>
        <v>66,7780509511648</v>
      </c>
      <c r="Q121" s="4" t="str">
        <f t="shared" si="104"/>
        <v>1+2,6239523879682i</v>
      </c>
      <c r="R121" s="4">
        <f t="shared" si="117"/>
        <v>2.8080466759518115</v>
      </c>
      <c r="S121" s="4">
        <f t="shared" si="118"/>
        <v>1.2066845573257172</v>
      </c>
      <c r="T121" s="4" t="str">
        <f t="shared" si="105"/>
        <v>1+0,000673255435502821i</v>
      </c>
      <c r="U121" s="4">
        <f t="shared" si="119"/>
        <v>1.000000226636415</v>
      </c>
      <c r="V121" s="4">
        <f t="shared" si="120"/>
        <v>6.7325533378003821E-4</v>
      </c>
      <c r="W121" t="str">
        <f t="shared" si="106"/>
        <v>1-0,00146458095647151i</v>
      </c>
      <c r="X121" s="4">
        <f t="shared" si="121"/>
        <v>1.0000010724981139</v>
      </c>
      <c r="Y121" s="4">
        <f t="shared" si="122"/>
        <v>-1.4645799092987538E-3</v>
      </c>
      <c r="Z121" t="str">
        <f t="shared" si="107"/>
        <v>0,999999988518464+0,00028786388947901i</v>
      </c>
      <c r="AA121" s="4">
        <f t="shared" si="123"/>
        <v>1.000000029951273</v>
      </c>
      <c r="AB121" s="4">
        <f t="shared" si="124"/>
        <v>2.8786388483279001E-4</v>
      </c>
      <c r="AC121" s="47" t="str">
        <f t="shared" si="125"/>
        <v>8,44488692510515-22,2310473927189i</v>
      </c>
      <c r="AD121" s="20">
        <f t="shared" si="126"/>
        <v>27.524599358195619</v>
      </c>
      <c r="AE121" s="43">
        <f t="shared" si="127"/>
        <v>-69.199765282453058</v>
      </c>
      <c r="AF121" t="str">
        <f t="shared" si="108"/>
        <v>223,849857273222</v>
      </c>
      <c r="AG121" t="str">
        <f t="shared" si="109"/>
        <v>1+2,65766414318496i</v>
      </c>
      <c r="AH121">
        <f t="shared" si="128"/>
        <v>2.8395736824338695</v>
      </c>
      <c r="AI121">
        <f t="shared" si="129"/>
        <v>1.21091246206831</v>
      </c>
      <c r="AJ121" t="str">
        <f t="shared" si="110"/>
        <v>1+0,000673255435502821i</v>
      </c>
      <c r="AK121">
        <f t="shared" si="130"/>
        <v>1.000000226636415</v>
      </c>
      <c r="AL121">
        <f t="shared" si="131"/>
        <v>6.7325533378003821E-4</v>
      </c>
      <c r="AM121" t="str">
        <f t="shared" si="111"/>
        <v>1-0,000442521324853552i</v>
      </c>
      <c r="AN121">
        <f t="shared" si="132"/>
        <v>1.0000000979125567</v>
      </c>
      <c r="AO121">
        <f t="shared" si="133"/>
        <v>-4.425212959679578E-4</v>
      </c>
      <c r="AP121" s="41" t="str">
        <f t="shared" si="134"/>
        <v>27,7790186935328-73,7756521169299i</v>
      </c>
      <c r="AQ121">
        <f t="shared" si="135"/>
        <v>37.934076406884643</v>
      </c>
      <c r="AR121" s="43">
        <f t="shared" si="136"/>
        <v>-69.366953349752905</v>
      </c>
      <c r="AS121" t="str">
        <f t="shared" si="112"/>
        <v>-0,0000166666666666667</v>
      </c>
      <c r="AT121" t="str">
        <f t="shared" si="113"/>
        <v>6,75275201809329E-07i</v>
      </c>
      <c r="AU121">
        <f t="shared" si="137"/>
        <v>6.7527520180932903E-7</v>
      </c>
      <c r="AV121">
        <f t="shared" si="138"/>
        <v>1.5707963267948966</v>
      </c>
      <c r="AW121" t="str">
        <f t="shared" si="114"/>
        <v>1+0,000443019528845326i</v>
      </c>
      <c r="AX121">
        <f t="shared" si="139"/>
        <v>1.0000000981331467</v>
      </c>
      <c r="AY121">
        <f t="shared" si="140"/>
        <v>4.4301949986206104E-4</v>
      </c>
      <c r="AZ121" t="str">
        <f t="shared" si="115"/>
        <v>1+0,14811619581062i</v>
      </c>
      <c r="BA121">
        <f t="shared" si="141"/>
        <v>1.0109096930297039</v>
      </c>
      <c r="BB121">
        <f t="shared" si="142"/>
        <v>0.14704708913075729</v>
      </c>
      <c r="BC121" s="41" t="str">
        <f t="shared" si="143"/>
        <v>-3,64476455680187+24,6829100049031i</v>
      </c>
      <c r="BD121">
        <f t="shared" si="144"/>
        <v>27.941605327652468</v>
      </c>
      <c r="BE121" s="43">
        <f t="shared" si="145"/>
        <v>98.399794449292287</v>
      </c>
      <c r="BF121" s="41" t="str">
        <f t="shared" si="146"/>
        <v>517,947317558394+289,471317571518i</v>
      </c>
      <c r="BG121" s="20">
        <f t="shared" si="147"/>
        <v>55.466204685848098</v>
      </c>
      <c r="BH121" s="43">
        <f t="shared" si="148"/>
        <v>29.200029166839236</v>
      </c>
      <c r="BI121" s="41" t="str">
        <f t="shared" si="152"/>
        <v>1719,74979899829+954,561900427722i</v>
      </c>
      <c r="BJ121" s="20">
        <f t="shared" si="149"/>
        <v>65.875681734537096</v>
      </c>
      <c r="BK121" s="43">
        <f t="shared" si="153"/>
        <v>29.032841099539468</v>
      </c>
      <c r="BL121">
        <f t="shared" si="150"/>
        <v>55.466204685848098</v>
      </c>
      <c r="BM121" s="43">
        <f t="shared" si="151"/>
        <v>29.200029166839236</v>
      </c>
    </row>
    <row r="122" spans="14:65" x14ac:dyDescent="0.25">
      <c r="N122" s="9">
        <v>4</v>
      </c>
      <c r="O122" s="34">
        <f t="shared" si="154"/>
        <v>109.64781961431861</v>
      </c>
      <c r="P122" s="33" t="str">
        <f t="shared" si="103"/>
        <v>66,7780509511648</v>
      </c>
      <c r="Q122" s="4" t="str">
        <f t="shared" si="104"/>
        <v>1+2,68507209068621i</v>
      </c>
      <c r="R122" s="4">
        <f t="shared" si="117"/>
        <v>2.865242072178547</v>
      </c>
      <c r="S122" s="4">
        <f t="shared" si="118"/>
        <v>1.2142811662307911</v>
      </c>
      <c r="T122" s="4" t="str">
        <f t="shared" si="105"/>
        <v>1+0,000688937569164964i</v>
      </c>
      <c r="U122" s="4">
        <f t="shared" si="119"/>
        <v>1.000000237317459</v>
      </c>
      <c r="V122" s="4">
        <f t="shared" si="120"/>
        <v>6.8893746016703992E-4</v>
      </c>
      <c r="W122" t="str">
        <f t="shared" si="106"/>
        <v>1-0,00149869542938514i</v>
      </c>
      <c r="X122" s="4">
        <f t="shared" si="121"/>
        <v>1.0000011230433643</v>
      </c>
      <c r="Y122" s="4">
        <f t="shared" si="122"/>
        <v>-1.498694307319384E-3</v>
      </c>
      <c r="Z122" t="str">
        <f t="shared" si="107"/>
        <v>0,999999987977356+0,000294569100834552i</v>
      </c>
      <c r="AA122" s="4">
        <f t="shared" si="123"/>
        <v>1.0000000313628332</v>
      </c>
      <c r="AB122" s="4">
        <f t="shared" si="124"/>
        <v>2.9456909585603747E-4</v>
      </c>
      <c r="AC122" s="47" t="str">
        <f t="shared" si="125"/>
        <v>8,11001637564238-21,8497234423519i</v>
      </c>
      <c r="AD122" s="20">
        <f t="shared" si="126"/>
        <v>27.349459935677185</v>
      </c>
      <c r="AE122" s="43">
        <f t="shared" si="127"/>
        <v>-69.636459182989014</v>
      </c>
      <c r="AF122" t="str">
        <f t="shared" si="108"/>
        <v>223,849857273222</v>
      </c>
      <c r="AG122" t="str">
        <f t="shared" si="109"/>
        <v>1+2,719569093557i</v>
      </c>
      <c r="AH122">
        <f t="shared" si="128"/>
        <v>2.897594874137936</v>
      </c>
      <c r="AI122">
        <f t="shared" si="129"/>
        <v>1.2184362868002725</v>
      </c>
      <c r="AJ122" t="str">
        <f t="shared" si="110"/>
        <v>1+0,000688937569164964i</v>
      </c>
      <c r="AK122">
        <f t="shared" si="130"/>
        <v>1.000000237317459</v>
      </c>
      <c r="AL122">
        <f t="shared" si="131"/>
        <v>6.8893746016703992E-4</v>
      </c>
      <c r="AM122" t="str">
        <f t="shared" si="111"/>
        <v>1-0,000452828970657435i</v>
      </c>
      <c r="AN122">
        <f t="shared" si="132"/>
        <v>1.0000001025270331</v>
      </c>
      <c r="AO122">
        <f t="shared" si="133"/>
        <v>-4.5282893970596333E-4</v>
      </c>
      <c r="AP122" s="41" t="str">
        <f t="shared" si="134"/>
        <v>26,6784383880587-72,5010036284521i</v>
      </c>
      <c r="AQ122">
        <f t="shared" si="135"/>
        <v>37.758386094090703</v>
      </c>
      <c r="AR122" s="43">
        <f t="shared" si="136"/>
        <v>-69.797728817517637</v>
      </c>
      <c r="AS122" t="str">
        <f t="shared" si="112"/>
        <v>-0,0000166666666666667</v>
      </c>
      <c r="AT122" t="str">
        <f t="shared" si="113"/>
        <v>6,91004381872459E-07i</v>
      </c>
      <c r="AU122">
        <f t="shared" si="137"/>
        <v>6.9100438187245901E-7</v>
      </c>
      <c r="AV122">
        <f t="shared" si="138"/>
        <v>1.5707963267948966</v>
      </c>
      <c r="AW122" t="str">
        <f t="shared" si="114"/>
        <v>1+0,000453338779310943i</v>
      </c>
      <c r="AX122">
        <f t="shared" si="139"/>
        <v>1.0000001027580192</v>
      </c>
      <c r="AY122">
        <f t="shared" si="140"/>
        <v>4.5333874825481527E-4</v>
      </c>
      <c r="AZ122" t="str">
        <f t="shared" si="115"/>
        <v>1+0,151566265216292i</v>
      </c>
      <c r="BA122">
        <f t="shared" si="141"/>
        <v>1.0114209473565472</v>
      </c>
      <c r="BB122">
        <f t="shared" si="142"/>
        <v>0.15042139425407555</v>
      </c>
      <c r="BC122" s="41" t="str">
        <f t="shared" si="143"/>
        <v>-3,64476452308874+24,1211327446189i</v>
      </c>
      <c r="BD122">
        <f t="shared" si="144"/>
        <v>27.745996951896483</v>
      </c>
      <c r="BE122" s="43">
        <f t="shared" si="145"/>
        <v>98.592536642267163</v>
      </c>
      <c r="BF122" s="41" t="str">
        <f t="shared" si="146"/>
        <v>497,480979618572+275,259878399887i</v>
      </c>
      <c r="BG122" s="20">
        <f t="shared" si="147"/>
        <v>55.095456887573668</v>
      </c>
      <c r="BH122" s="43">
        <f t="shared" si="148"/>
        <v>28.956077459278092</v>
      </c>
      <c r="BI122" s="41" t="str">
        <f t="shared" si="152"/>
        <v>1651,56970687178+907,763239690811i</v>
      </c>
      <c r="BJ122" s="20">
        <f t="shared" si="149"/>
        <v>65.504383045987169</v>
      </c>
      <c r="BK122" s="43">
        <f t="shared" si="153"/>
        <v>28.794807824749618</v>
      </c>
      <c r="BL122">
        <f t="shared" si="150"/>
        <v>55.095456887573668</v>
      </c>
      <c r="BM122" s="43">
        <f t="shared" si="151"/>
        <v>28.956077459278092</v>
      </c>
    </row>
    <row r="123" spans="14:65" x14ac:dyDescent="0.25">
      <c r="N123" s="9">
        <v>5</v>
      </c>
      <c r="O123" s="34">
        <f t="shared" si="154"/>
        <v>112.20184543019634</v>
      </c>
      <c r="P123" s="33" t="str">
        <f t="shared" si="103"/>
        <v>66,7780509511648</v>
      </c>
      <c r="Q123" s="4" t="str">
        <f t="shared" si="104"/>
        <v>1+2,74761545416783i</v>
      </c>
      <c r="R123" s="4">
        <f t="shared" si="117"/>
        <v>2.9239341107456389</v>
      </c>
      <c r="S123" s="4">
        <f t="shared" si="118"/>
        <v>1.2217466226738225</v>
      </c>
      <c r="T123" s="4" t="str">
        <f t="shared" si="105"/>
        <v>1+0,000704984986645445i</v>
      </c>
      <c r="U123" s="4">
        <f t="shared" si="119"/>
        <v>1.0000002485018848</v>
      </c>
      <c r="V123" s="4">
        <f t="shared" si="120"/>
        <v>7.0498486985206665E-4</v>
      </c>
      <c r="W123" t="str">
        <f t="shared" si="106"/>
        <v>1-0,00153360453045301i</v>
      </c>
      <c r="X123" s="4">
        <f t="shared" si="121"/>
        <v>1.0000011759707363</v>
      </c>
      <c r="Y123" s="4">
        <f t="shared" si="122"/>
        <v>-1.5336033281379668E-3</v>
      </c>
      <c r="Z123" t="str">
        <f t="shared" si="107"/>
        <v>0,999999987410746+0,00030143049662644i</v>
      </c>
      <c r="AA123" s="4">
        <f t="shared" si="123"/>
        <v>1.0000000328409178</v>
      </c>
      <c r="AB123" s="4">
        <f t="shared" si="124"/>
        <v>3.0143049129186569E-4</v>
      </c>
      <c r="AC123" s="47" t="str">
        <f t="shared" si="125"/>
        <v>7,78660861586869-21,4700687238043i</v>
      </c>
      <c r="AD123" s="20">
        <f t="shared" si="126"/>
        <v>27.173335234682735</v>
      </c>
      <c r="AE123" s="43">
        <f t="shared" si="127"/>
        <v>-70.065672149026312</v>
      </c>
      <c r="AF123" t="str">
        <f t="shared" si="108"/>
        <v>223,849857273222</v>
      </c>
      <c r="AG123" t="str">
        <f t="shared" si="109"/>
        <v>1+2,78291599546021i</v>
      </c>
      <c r="AH123">
        <f t="shared" si="128"/>
        <v>2.9571306088484302</v>
      </c>
      <c r="AI123">
        <f t="shared" si="129"/>
        <v>1.2258292946041591</v>
      </c>
      <c r="AJ123" t="str">
        <f t="shared" si="110"/>
        <v>1+0,000704984986645445i</v>
      </c>
      <c r="AK123">
        <f t="shared" si="130"/>
        <v>1.0000002485018848</v>
      </c>
      <c r="AL123">
        <f t="shared" si="131"/>
        <v>7.0498486985206665E-4</v>
      </c>
      <c r="AM123" t="str">
        <f t="shared" si="111"/>
        <v>1-0,000463376712375461i</v>
      </c>
      <c r="AN123">
        <f t="shared" si="132"/>
        <v>1.000000107358983</v>
      </c>
      <c r="AO123">
        <f t="shared" si="133"/>
        <v>-4.6337667921036177E-4</v>
      </c>
      <c r="AP123" s="41" t="str">
        <f t="shared" si="134"/>
        <v>25,615796310834-71,2325253121592i</v>
      </c>
      <c r="AQ123">
        <f t="shared" si="135"/>
        <v>37.58172939484578</v>
      </c>
      <c r="AR123" s="43">
        <f t="shared" si="136"/>
        <v>-70.221001854697576</v>
      </c>
      <c r="AS123" t="str">
        <f t="shared" si="112"/>
        <v>-0,0000166666666666667</v>
      </c>
      <c r="AT123" t="str">
        <f t="shared" si="113"/>
        <v>7,07099941605381E-07i</v>
      </c>
      <c r="AU123">
        <f t="shared" si="137"/>
        <v>7.0709994160538098E-7</v>
      </c>
      <c r="AV123">
        <f t="shared" si="138"/>
        <v>1.5707963267948966</v>
      </c>
      <c r="AW123" t="str">
        <f t="shared" si="114"/>
        <v>1+0,000463898395998i</v>
      </c>
      <c r="AX123">
        <f t="shared" si="139"/>
        <v>1.0000001076008551</v>
      </c>
      <c r="AY123">
        <f t="shared" si="140"/>
        <v>4.6389836272075976E-4</v>
      </c>
      <c r="AZ123" t="str">
        <f t="shared" si="115"/>
        <v>1+0,155096697061998i</v>
      </c>
      <c r="BA123">
        <f t="shared" si="141"/>
        <v>1.0119560195184083</v>
      </c>
      <c r="BB123">
        <f t="shared" si="142"/>
        <v>0.15387072715638114</v>
      </c>
      <c r="BC123" s="41" t="str">
        <f t="shared" si="143"/>
        <v>-3,64476448778676+23,5721448281954i</v>
      </c>
      <c r="BD123">
        <f t="shared" si="144"/>
        <v>27.550590792169171</v>
      </c>
      <c r="BE123" s="43">
        <f t="shared" si="145"/>
        <v>98.789563838362753</v>
      </c>
      <c r="BF123" s="41" t="str">
        <f t="shared" si="146"/>
        <v>477,715214865411+261,800410048594i</v>
      </c>
      <c r="BG123" s="20">
        <f t="shared" si="147"/>
        <v>54.723926026851906</v>
      </c>
      <c r="BH123" s="43">
        <f t="shared" si="148"/>
        <v>28.723891689336423</v>
      </c>
      <c r="BI123" s="41" t="str">
        <f t="shared" si="152"/>
        <v>1585,7398584162+863,445039161662i</v>
      </c>
      <c r="BJ123" s="20">
        <f t="shared" si="149"/>
        <v>65.132320187014926</v>
      </c>
      <c r="BK123" s="43">
        <f t="shared" si="153"/>
        <v>28.568561983665255</v>
      </c>
      <c r="BL123">
        <f t="shared" si="150"/>
        <v>54.723926026851906</v>
      </c>
      <c r="BM123" s="43">
        <f t="shared" si="151"/>
        <v>28.723891689336423</v>
      </c>
    </row>
    <row r="124" spans="14:65" x14ac:dyDescent="0.25">
      <c r="N124" s="9">
        <v>6</v>
      </c>
      <c r="O124" s="34">
        <f t="shared" si="154"/>
        <v>114.81536214968835</v>
      </c>
      <c r="P124" s="33" t="str">
        <f t="shared" si="103"/>
        <v>66,7780509511648</v>
      </c>
      <c r="Q124" s="4" t="str">
        <f t="shared" si="104"/>
        <v>1+2,81161563973224i</v>
      </c>
      <c r="R124" s="4">
        <f t="shared" si="117"/>
        <v>2.9841552415360253</v>
      </c>
      <c r="S124" s="4">
        <f t="shared" si="118"/>
        <v>1.2290815553738399</v>
      </c>
      <c r="T124" s="4" t="str">
        <f t="shared" si="105"/>
        <v>1+0,000721406196497425i</v>
      </c>
      <c r="U124" s="4">
        <f t="shared" si="119"/>
        <v>1.0000002602134164</v>
      </c>
      <c r="V124" s="4">
        <f t="shared" si="120"/>
        <v>7.2140607135106716E-4</v>
      </c>
      <c r="W124" t="str">
        <f t="shared" si="106"/>
        <v>1-0,00156932676894258i</v>
      </c>
      <c r="X124" s="4">
        <f t="shared" si="121"/>
        <v>1.0000012313924957</v>
      </c>
      <c r="Y124" s="4">
        <f t="shared" si="122"/>
        <v>-1.569325480638886E-3</v>
      </c>
      <c r="Z124" t="str">
        <f t="shared" si="107"/>
        <v>0,999999986817433+0,000308451714857544i</v>
      </c>
      <c r="AA124" s="4">
        <f t="shared" si="123"/>
        <v>1.0000000343886626</v>
      </c>
      <c r="AB124" s="4">
        <f t="shared" si="124"/>
        <v>3.0845170914144463E-4</v>
      </c>
      <c r="AC124" s="47" t="str">
        <f t="shared" si="125"/>
        <v>7,47441051940843-21,0923898189298i</v>
      </c>
      <c r="AD124" s="20">
        <f t="shared" si="126"/>
        <v>26.996259195935224</v>
      </c>
      <c r="AE124" s="43">
        <f t="shared" si="127"/>
        <v>-70.487440984932704</v>
      </c>
      <c r="AF124" t="str">
        <f t="shared" si="108"/>
        <v>223,849857273222</v>
      </c>
      <c r="AG124" t="str">
        <f t="shared" si="109"/>
        <v>1+2,84773843626045i</v>
      </c>
      <c r="AH124">
        <f t="shared" si="128"/>
        <v>3.0182137434839031</v>
      </c>
      <c r="AI124">
        <f t="shared" si="129"/>
        <v>1.2330921717661361</v>
      </c>
      <c r="AJ124" t="str">
        <f t="shared" si="110"/>
        <v>1+0,000721406196497425i</v>
      </c>
      <c r="AK124">
        <f t="shared" si="130"/>
        <v>1.0000002602134164</v>
      </c>
      <c r="AL124">
        <f t="shared" si="131"/>
        <v>7.2140607135106716E-4</v>
      </c>
      <c r="AM124" t="str">
        <f t="shared" si="111"/>
        <v>1-0,000474170142559904i</v>
      </c>
      <c r="AN124">
        <f t="shared" si="132"/>
        <v>1.0000001124186557</v>
      </c>
      <c r="AO124">
        <f t="shared" si="133"/>
        <v>-4.7417010702286008E-4</v>
      </c>
      <c r="AP124" s="41" t="str">
        <f t="shared" si="134"/>
        <v>24,5902332890761-69,9712087385265i</v>
      </c>
      <c r="AQ124">
        <f t="shared" si="135"/>
        <v>37.404139826083721</v>
      </c>
      <c r="AR124" s="43">
        <f t="shared" si="136"/>
        <v>-70.636811615520514</v>
      </c>
      <c r="AS124" t="str">
        <f t="shared" si="112"/>
        <v>-0,0000166666666666667</v>
      </c>
      <c r="AT124" t="str">
        <f t="shared" si="113"/>
        <v>7,23570415086917E-07i</v>
      </c>
      <c r="AU124">
        <f t="shared" si="137"/>
        <v>7.23570415086917E-7</v>
      </c>
      <c r="AV124">
        <f t="shared" si="138"/>
        <v>1.5707963267948966</v>
      </c>
      <c r="AW124" t="str">
        <f t="shared" si="114"/>
        <v>1+0,000474703977755035i</v>
      </c>
      <c r="AX124">
        <f t="shared" si="139"/>
        <v>1.0000001126719269</v>
      </c>
      <c r="AY124">
        <f t="shared" si="140"/>
        <v>4.7470394209782991E-4</v>
      </c>
      <c r="AZ124" t="str">
        <f t="shared" si="115"/>
        <v>1+0,158709363229433i</v>
      </c>
      <c r="BA124">
        <f t="shared" si="141"/>
        <v>1.0125160057879046</v>
      </c>
      <c r="BB124">
        <f t="shared" si="142"/>
        <v>0.15739658823209093</v>
      </c>
      <c r="BC124" s="41" t="str">
        <f t="shared" si="143"/>
        <v>-3,64476445082102+23,0356551749726i</v>
      </c>
      <c r="BD124">
        <f t="shared" si="144"/>
        <v>27.35539593090482</v>
      </c>
      <c r="BE124" s="43">
        <f t="shared" si="145"/>
        <v>98.990961683056852</v>
      </c>
      <c r="BF124" s="41" t="str">
        <f t="shared" si="146"/>
        <v>458,634552932987+249,054735956175i</v>
      </c>
      <c r="BG124" s="20">
        <f t="shared" si="147"/>
        <v>54.351655126840043</v>
      </c>
      <c r="BH124" s="43">
        <f t="shared" si="148"/>
        <v>28.503520698124166</v>
      </c>
      <c r="BI124" s="41" t="str">
        <f t="shared" si="152"/>
        <v>1522,20702854731+821,480708910448i</v>
      </c>
      <c r="BJ124" s="20">
        <f t="shared" si="149"/>
        <v>64.759535756988555</v>
      </c>
      <c r="BK124" s="43">
        <f t="shared" si="153"/>
        <v>28.354150067536281</v>
      </c>
      <c r="BL124">
        <f t="shared" si="150"/>
        <v>54.351655126840043</v>
      </c>
      <c r="BM124" s="43">
        <f t="shared" si="151"/>
        <v>28.503520698124166</v>
      </c>
    </row>
    <row r="125" spans="14:65" x14ac:dyDescent="0.25">
      <c r="N125" s="9">
        <v>7</v>
      </c>
      <c r="O125" s="34">
        <f t="shared" si="154"/>
        <v>117.48975549395293</v>
      </c>
      <c r="P125" s="33" t="str">
        <f t="shared" si="103"/>
        <v>66,7780509511648</v>
      </c>
      <c r="Q125" s="4" t="str">
        <f t="shared" si="104"/>
        <v>1+2,87710658112497i</v>
      </c>
      <c r="R125" s="4">
        <f t="shared" si="117"/>
        <v>3.045938653215559</v>
      </c>
      <c r="S125" s="4">
        <f t="shared" si="118"/>
        <v>1.2362866954176659</v>
      </c>
      <c r="T125" s="4" t="str">
        <f t="shared" si="105"/>
        <v>1+0,000738209905463727i</v>
      </c>
      <c r="U125" s="4">
        <f t="shared" si="119"/>
        <v>1.000000272476895</v>
      </c>
      <c r="V125" s="4">
        <f t="shared" si="120"/>
        <v>7.3820977136699055E-4</v>
      </c>
      <c r="W125" t="str">
        <f t="shared" si="106"/>
        <v>1-0,00160588108525754i</v>
      </c>
      <c r="X125" s="4">
        <f t="shared" si="121"/>
        <v>1.0000012894261987</v>
      </c>
      <c r="Y125" s="4">
        <f t="shared" si="122"/>
        <v>-1.6058797048153571E-3</v>
      </c>
      <c r="Z125" t="str">
        <f t="shared" si="107"/>
        <v>0,999999986196157+0,000315636478270706i</v>
      </c>
      <c r="AA125" s="4">
        <f t="shared" si="123"/>
        <v>1.0000000360093497</v>
      </c>
      <c r="AB125" s="4">
        <f t="shared" si="124"/>
        <v>3.1563647214579539E-4</v>
      </c>
      <c r="AC125" s="47" t="str">
        <f t="shared" si="125"/>
        <v>7,17316325622928-20,7169742095585i</v>
      </c>
      <c r="AD125" s="20">
        <f t="shared" si="126"/>
        <v>26.818264993581629</v>
      </c>
      <c r="AE125" s="43">
        <f t="shared" si="127"/>
        <v>-70.901808378519036</v>
      </c>
      <c r="AF125" t="str">
        <f t="shared" si="108"/>
        <v>223,849857273222</v>
      </c>
      <c r="AG125" t="str">
        <f t="shared" si="109"/>
        <v>1+2,91407078567387i</v>
      </c>
      <c r="AH125">
        <f t="shared" si="128"/>
        <v>3.080877885265485</v>
      </c>
      <c r="AI125">
        <f t="shared" si="129"/>
        <v>1.240225703309485</v>
      </c>
      <c r="AJ125" t="str">
        <f t="shared" si="110"/>
        <v>1+0,000738209905463727i</v>
      </c>
      <c r="AK125">
        <f t="shared" si="130"/>
        <v>1.000000272476895</v>
      </c>
      <c r="AL125">
        <f t="shared" si="131"/>
        <v>7.3820977136699055E-4</v>
      </c>
      <c r="AM125" t="str">
        <f t="shared" si="111"/>
        <v>1-0,000485214984030315i</v>
      </c>
      <c r="AN125">
        <f t="shared" si="132"/>
        <v>1.0000001177167834</v>
      </c>
      <c r="AO125">
        <f t="shared" si="133"/>
        <v>-4.852149459516867E-4</v>
      </c>
      <c r="AP125" s="41" t="str">
        <f t="shared" si="134"/>
        <v>23,6008731771343-68,7179821648274i</v>
      </c>
      <c r="AQ125">
        <f t="shared" si="135"/>
        <v>37.225650129187201</v>
      </c>
      <c r="AR125" s="43">
        <f t="shared" si="136"/>
        <v>-71.045202907542759</v>
      </c>
      <c r="AS125" t="str">
        <f t="shared" si="112"/>
        <v>-0,0000166666666666667</v>
      </c>
      <c r="AT125" t="str">
        <f t="shared" si="113"/>
        <v>7,40424535180118E-07i</v>
      </c>
      <c r="AU125">
        <f t="shared" si="137"/>
        <v>7.4042453518011795E-7</v>
      </c>
      <c r="AV125">
        <f t="shared" si="138"/>
        <v>1.5707963267948966</v>
      </c>
      <c r="AW125" t="str">
        <f t="shared" si="114"/>
        <v>1+0,000485761253844526i</v>
      </c>
      <c r="AX125">
        <f t="shared" si="139"/>
        <v>1.0000001179819908</v>
      </c>
      <c r="AY125">
        <f t="shared" si="140"/>
        <v>4.8576121563714261E-4</v>
      </c>
      <c r="AZ125" t="str">
        <f t="shared" si="115"/>
        <v>1+0,16240617920202i</v>
      </c>
      <c r="BA125">
        <f t="shared" si="141"/>
        <v>1.013102051642873</v>
      </c>
      <c r="BB125">
        <f t="shared" si="142"/>
        <v>0.16100049610030653</v>
      </c>
      <c r="BC125" s="41" t="str">
        <f t="shared" si="143"/>
        <v>-3,64476441211317+22,5113793310349i</v>
      </c>
      <c r="BD125">
        <f t="shared" si="144"/>
        <v>27.16042183697736</v>
      </c>
      <c r="BE125" s="43">
        <f t="shared" si="145"/>
        <v>99.19681685855285</v>
      </c>
      <c r="BF125" s="41" t="str">
        <f t="shared" si="146"/>
        <v>440,223174864056+236,986289390084i</v>
      </c>
      <c r="BG125" s="20">
        <f t="shared" si="147"/>
        <v>53.978686830558978</v>
      </c>
      <c r="BH125" s="43">
        <f t="shared" si="148"/>
        <v>28.295008480033818</v>
      </c>
      <c r="BI125" s="41" t="str">
        <f t="shared" si="152"/>
        <v>1460,91694072491+781,749064500708i</v>
      </c>
      <c r="BJ125" s="20">
        <f t="shared" si="149"/>
        <v>64.386071966164579</v>
      </c>
      <c r="BK125" s="43">
        <f t="shared" si="153"/>
        <v>28.151613951010031</v>
      </c>
      <c r="BL125">
        <f t="shared" si="150"/>
        <v>53.978686830558978</v>
      </c>
      <c r="BM125" s="43">
        <f t="shared" si="151"/>
        <v>28.295008480033818</v>
      </c>
    </row>
    <row r="126" spans="14:65" x14ac:dyDescent="0.25">
      <c r="N126" s="9">
        <v>8</v>
      </c>
      <c r="O126" s="34">
        <f t="shared" si="154"/>
        <v>120.22644346174135</v>
      </c>
      <c r="P126" s="33" t="str">
        <f t="shared" si="103"/>
        <v>66,7780509511648</v>
      </c>
      <c r="Q126" s="4" t="str">
        <f t="shared" si="104"/>
        <v>1+2,94412300251002i</v>
      </c>
      <c r="R126" s="4">
        <f t="shared" si="117"/>
        <v>3.1093182940812949</v>
      </c>
      <c r="S126" s="4">
        <f t="shared" si="118"/>
        <v>1.2433628697404222</v>
      </c>
      <c r="T126" s="4" t="str">
        <f t="shared" si="105"/>
        <v>1+0,000755405023093271i</v>
      </c>
      <c r="U126" s="4">
        <f t="shared" si="119"/>
        <v>1.0000002853183338</v>
      </c>
      <c r="V126" s="4">
        <f t="shared" si="120"/>
        <v>7.5540487940603139E-4</v>
      </c>
      <c r="W126" t="str">
        <f t="shared" si="106"/>
        <v>1-0,00164328686098025i</v>
      </c>
      <c r="X126" s="4">
        <f t="shared" si="121"/>
        <v>1.0000013501949423</v>
      </c>
      <c r="Y126" s="4">
        <f t="shared" si="122"/>
        <v>-1.6432853818099092E-3</v>
      </c>
      <c r="Z126" t="str">
        <f t="shared" si="107"/>
        <v>0,999999985545602+0,00032298859632259i</v>
      </c>
      <c r="AA126" s="4">
        <f t="shared" si="123"/>
        <v>1.000000037706418</v>
      </c>
      <c r="AB126" s="4">
        <f t="shared" si="124"/>
        <v>3.2298858975963004E-4</v>
      </c>
      <c r="AC126" s="47" t="str">
        <f t="shared" si="125"/>
        <v>6,88260342782358-20,3440906563798i</v>
      </c>
      <c r="AD126" s="20">
        <f t="shared" si="126"/>
        <v>26.639385019836478</v>
      </c>
      <c r="AE126" s="43">
        <f t="shared" si="127"/>
        <v>-71.30882252792432</v>
      </c>
      <c r="AF126" t="str">
        <f t="shared" si="108"/>
        <v>223,849857273222</v>
      </c>
      <c r="AG126" t="str">
        <f t="shared" si="109"/>
        <v>1+2,98194821399014i</v>
      </c>
      <c r="AH126">
        <f t="shared" si="128"/>
        <v>3.1451574127408923</v>
      </c>
      <c r="AI126">
        <f t="shared" si="129"/>
        <v>1.2472307665503513</v>
      </c>
      <c r="AJ126" t="str">
        <f t="shared" si="110"/>
        <v>1+0,000755405023093271i</v>
      </c>
      <c r="AK126">
        <f t="shared" si="130"/>
        <v>1.0000002853183338</v>
      </c>
      <c r="AL126">
        <f t="shared" si="131"/>
        <v>7.5540487940603139E-4</v>
      </c>
      <c r="AM126" t="str">
        <f t="shared" si="111"/>
        <v>1-0,00049651709290784i</v>
      </c>
      <c r="AN126">
        <f t="shared" si="132"/>
        <v>1.0000001232646041</v>
      </c>
      <c r="AO126">
        <f t="shared" si="133"/>
        <v>-4.9651705210585493E-4</v>
      </c>
      <c r="AP126" s="41" t="str">
        <f t="shared" si="134"/>
        <v>22,6468265319228-67,4737119031899i</v>
      </c>
      <c r="AQ126">
        <f t="shared" si="135"/>
        <v>37.046292256482019</v>
      </c>
      <c r="AR126" s="43">
        <f t="shared" si="136"/>
        <v>-71.44622582232995</v>
      </c>
      <c r="AS126" t="str">
        <f t="shared" si="112"/>
        <v>-0,0000166666666666667</v>
      </c>
      <c r="AT126" t="str">
        <f t="shared" si="113"/>
        <v>7,5767123816255E-07i</v>
      </c>
      <c r="AU126">
        <f t="shared" si="137"/>
        <v>7.5767123816254999E-7</v>
      </c>
      <c r="AV126">
        <f t="shared" si="138"/>
        <v>1.5707963267948966</v>
      </c>
      <c r="AW126" t="str">
        <f t="shared" si="114"/>
        <v>1+0,000497076086980617i</v>
      </c>
      <c r="AX126">
        <f t="shared" si="139"/>
        <v>1.0000001235423106</v>
      </c>
      <c r="AY126">
        <f t="shared" si="140"/>
        <v>4.9707604604066829E-4</v>
      </c>
      <c r="AZ126" t="str">
        <f t="shared" si="115"/>
        <v>1+0,166189105080519i</v>
      </c>
      <c r="BA126">
        <f t="shared" si="141"/>
        <v>1.0137153538580066</v>
      </c>
      <c r="BB126">
        <f t="shared" si="142"/>
        <v>0.16468398694506625</v>
      </c>
      <c r="BC126" s="41" t="str">
        <f t="shared" si="143"/>
        <v>-3,64476437158106+21,9990393183899i</v>
      </c>
      <c r="BD126">
        <f t="shared" si="144"/>
        <v>26.965678380126846</v>
      </c>
      <c r="BE126" s="43">
        <f t="shared" si="145"/>
        <v>99.407217045804686</v>
      </c>
      <c r="BF126" s="41" t="str">
        <f t="shared" si="146"/>
        <v>422,464982489135+225,560080218164i</v>
      </c>
      <c r="BG126" s="20">
        <f t="shared" si="147"/>
        <v>53.605063399963328</v>
      </c>
      <c r="BH126" s="43">
        <f t="shared" si="148"/>
        <v>28.098394517880319</v>
      </c>
      <c r="BI126" s="41" t="str">
        <f t="shared" si="152"/>
        <v>1401,81449464306+744,134208475597i</v>
      </c>
      <c r="BJ126" s="20">
        <f t="shared" si="149"/>
        <v>64.011970636608865</v>
      </c>
      <c r="BK126" s="43">
        <f t="shared" si="153"/>
        <v>27.960991223474718</v>
      </c>
      <c r="BL126">
        <f t="shared" si="150"/>
        <v>53.605063399963328</v>
      </c>
      <c r="BM126" s="43">
        <f t="shared" si="151"/>
        <v>28.098394517880319</v>
      </c>
    </row>
    <row r="127" spans="14:65" x14ac:dyDescent="0.25">
      <c r="N127" s="9">
        <v>9</v>
      </c>
      <c r="O127" s="34">
        <f t="shared" si="154"/>
        <v>123.02687708123821</v>
      </c>
      <c r="P127" s="33" t="str">
        <f t="shared" si="103"/>
        <v>66,7780509511648</v>
      </c>
      <c r="Q127" s="4" t="str">
        <f t="shared" si="104"/>
        <v>1+3,01270043688108i</v>
      </c>
      <c r="R127" s="4">
        <f t="shared" si="117"/>
        <v>3.1743288932282128</v>
      </c>
      <c r="S127" s="4">
        <f t="shared" si="118"/>
        <v>1.250310994745703</v>
      </c>
      <c r="T127" s="4" t="str">
        <f t="shared" si="105"/>
        <v>1+0,000773000666465025i</v>
      </c>
      <c r="U127" s="4">
        <f t="shared" si="119"/>
        <v>1.0000002987649705</v>
      </c>
      <c r="V127" s="4">
        <f t="shared" si="120"/>
        <v>7.7300051250137633E-4</v>
      </c>
      <c r="W127" t="str">
        <f t="shared" si="106"/>
        <v>1-0,00168156392914813i</v>
      </c>
      <c r="X127" s="4">
        <f t="shared" si="121"/>
        <v>1.0000014138276245</v>
      </c>
      <c r="Y127" s="4">
        <f t="shared" si="122"/>
        <v>-1.6815623441886751E-3</v>
      </c>
      <c r="Z127" t="str">
        <f t="shared" si="107"/>
        <v>0,999999984864388+0,000330511967203504i</v>
      </c>
      <c r="AA127" s="4">
        <f t="shared" si="123"/>
        <v>1.0000000394834676</v>
      </c>
      <c r="AB127" s="4">
        <f t="shared" si="124"/>
        <v>3.3051196017116542E-4</v>
      </c>
      <c r="AC127" s="47" t="str">
        <f t="shared" si="125"/>
        <v>6,60246413340575-19,9739896292735i</v>
      </c>
      <c r="AD127" s="20">
        <f t="shared" si="126"/>
        <v>26.459650872920875</v>
      </c>
      <c r="AE127" s="43">
        <f t="shared" si="127"/>
        <v>-71.708536776511181</v>
      </c>
      <c r="AF127" t="str">
        <f t="shared" si="108"/>
        <v>223,849857273222</v>
      </c>
      <c r="AG127" t="str">
        <f t="shared" si="109"/>
        <v>1+3,05140671072022i</v>
      </c>
      <c r="AH127">
        <f t="shared" si="128"/>
        <v>3.2110874971305892</v>
      </c>
      <c r="AI127">
        <f t="shared" si="129"/>
        <v>1.2541083248026128</v>
      </c>
      <c r="AJ127" t="str">
        <f t="shared" si="110"/>
        <v>1+0,000773000666465025i</v>
      </c>
      <c r="AK127">
        <f t="shared" si="130"/>
        <v>1.0000002987649705</v>
      </c>
      <c r="AL127">
        <f t="shared" si="131"/>
        <v>7.7300051250137633E-4</v>
      </c>
      <c r="AM127" t="str">
        <f t="shared" si="111"/>
        <v>1-0,000508082461720205i</v>
      </c>
      <c r="AN127">
        <f t="shared" si="132"/>
        <v>1.0000001290738856</v>
      </c>
      <c r="AO127">
        <f t="shared" si="133"/>
        <v>-5.0808241800009057E-4</v>
      </c>
      <c r="AP127" s="41" t="str">
        <f t="shared" si="134"/>
        <v>21,727194056735-66,2392038475206i</v>
      </c>
      <c r="AQ127">
        <f t="shared" si="135"/>
        <v>36.866097360911795</v>
      </c>
      <c r="AR127" s="43">
        <f t="shared" si="136"/>
        <v>-71.839935374679996</v>
      </c>
      <c r="AS127" t="str">
        <f t="shared" si="112"/>
        <v>-0,0000166666666666667</v>
      </c>
      <c r="AT127" t="str">
        <f t="shared" si="113"/>
        <v>7,7531966846442E-07i</v>
      </c>
      <c r="AU127">
        <f t="shared" si="137"/>
        <v>7.7531966846442001E-7</v>
      </c>
      <c r="AV127">
        <f t="shared" si="138"/>
        <v>1.5707963267948966</v>
      </c>
      <c r="AW127" t="str">
        <f t="shared" si="114"/>
        <v>1+0,000508654476437604i</v>
      </c>
      <c r="AX127">
        <f t="shared" si="139"/>
        <v>1.0000001293646799</v>
      </c>
      <c r="AY127">
        <f t="shared" si="140"/>
        <v>5.0865443256965901E-4</v>
      </c>
      <c r="AZ127" t="str">
        <f t="shared" si="115"/>
        <v>1+0,170060146622305i</v>
      </c>
      <c r="BA127">
        <f t="shared" si="141"/>
        <v>1.014357162674568</v>
      </c>
      <c r="BB127">
        <f t="shared" si="142"/>
        <v>0.16844861377550327</v>
      </c>
      <c r="BC127" s="41" t="str">
        <f t="shared" si="143"/>
        <v>-3,64476432913874+21,4983634875814i</v>
      </c>
      <c r="BD127">
        <f t="shared" si="144"/>
        <v>26.771175845732962</v>
      </c>
      <c r="BE127" s="43">
        <f t="shared" si="145"/>
        <v>99.622250881948773</v>
      </c>
      <c r="BF127" s="41" t="str">
        <f t="shared" si="146"/>
        <v>405,343663589448+214,742658765039i</v>
      </c>
      <c r="BG127" s="20">
        <f t="shared" si="147"/>
        <v>53.230826718653844</v>
      </c>
      <c r="BH127" s="43">
        <f t="shared" si="148"/>
        <v>27.913714105437563</v>
      </c>
      <c r="BI127" s="41" t="str">
        <f t="shared" si="152"/>
        <v>1344,84397957174+708,5254027709i</v>
      </c>
      <c r="BJ127" s="20">
        <f t="shared" si="149"/>
        <v>63.637273206644778</v>
      </c>
      <c r="BK127" s="43">
        <f t="shared" si="153"/>
        <v>27.782315507268695</v>
      </c>
      <c r="BL127">
        <f t="shared" si="150"/>
        <v>53.230826718653844</v>
      </c>
      <c r="BM127" s="43">
        <f t="shared" si="151"/>
        <v>27.913714105437563</v>
      </c>
    </row>
    <row r="128" spans="14:65" x14ac:dyDescent="0.25">
      <c r="N128" s="9">
        <v>10</v>
      </c>
      <c r="O128" s="34">
        <f t="shared" si="154"/>
        <v>125.89254117941677</v>
      </c>
      <c r="P128" s="33" t="str">
        <f t="shared" si="103"/>
        <v>66,7780509511648</v>
      </c>
      <c r="Q128" s="4" t="str">
        <f t="shared" si="104"/>
        <v>1+3,08287524490157i</v>
      </c>
      <c r="R128" s="4">
        <f t="shared" si="117"/>
        <v>3.2410059820412109</v>
      </c>
      <c r="S128" s="4">
        <f t="shared" si="118"/>
        <v>1.2571320700818958</v>
      </c>
      <c r="T128" s="4" t="str">
        <f t="shared" si="105"/>
        <v>1+0,000791006165022012i</v>
      </c>
      <c r="U128" s="4">
        <f t="shared" si="119"/>
        <v>1.0000003128453276</v>
      </c>
      <c r="V128" s="4">
        <f t="shared" si="120"/>
        <v>7.9100600004699292E-4</v>
      </c>
      <c r="W128" t="str">
        <f t="shared" si="106"/>
        <v>1-0,00172073258476937i</v>
      </c>
      <c r="X128" s="4">
        <f t="shared" si="121"/>
        <v>1.0000014804592183</v>
      </c>
      <c r="Y128" s="4">
        <f t="shared" si="122"/>
        <v>-1.720730886454852E-3</v>
      </c>
      <c r="Z128" t="str">
        <f t="shared" si="107"/>
        <v>0,999999984151068+0,000338210579904272i</v>
      </c>
      <c r="AA128" s="4">
        <f t="shared" si="123"/>
        <v>1.0000000413442656</v>
      </c>
      <c r="AB128" s="4">
        <f t="shared" si="124"/>
        <v>3.3821057236898568E-4</v>
      </c>
      <c r="AC128" s="47" t="str">
        <f t="shared" si="125"/>
        <v>6,33247596699418-19,6069037819015i</v>
      </c>
      <c r="AD128" s="20">
        <f t="shared" si="126"/>
        <v>26.279093348089916</v>
      </c>
      <c r="AE128" s="43">
        <f t="shared" si="127"/>
        <v>-72.101009256719891</v>
      </c>
      <c r="AF128" t="str">
        <f t="shared" si="108"/>
        <v>223,849857273222</v>
      </c>
      <c r="AG128" t="str">
        <f t="shared" si="109"/>
        <v>1+3,12248310367847i</v>
      </c>
      <c r="AH128">
        <f t="shared" si="128"/>
        <v>3.2787041240034962</v>
      </c>
      <c r="AI128">
        <f t="shared" si="129"/>
        <v>1.2608594212469866</v>
      </c>
      <c r="AJ128" t="str">
        <f t="shared" si="110"/>
        <v>1+0,000791006165022012i</v>
      </c>
      <c r="AK128">
        <f t="shared" si="130"/>
        <v>1.0000003128453276</v>
      </c>
      <c r="AL128">
        <f t="shared" si="131"/>
        <v>7.9100600004699292E-4</v>
      </c>
      <c r="AM128" t="str">
        <f t="shared" si="111"/>
        <v>1-0,00051991722257904i</v>
      </c>
      <c r="AN128">
        <f t="shared" si="132"/>
        <v>1.0000001351569501</v>
      </c>
      <c r="AO128">
        <f t="shared" si="133"/>
        <v>-5.1991717573209376E-4</v>
      </c>
      <c r="AP128" s="41" t="str">
        <f t="shared" si="134"/>
        <v>20,8410698140667-65,0152051359326i</v>
      </c>
      <c r="AQ128">
        <f t="shared" si="135"/>
        <v>36.685095788686752</v>
      </c>
      <c r="AR128" s="43">
        <f t="shared" si="136"/>
        <v>-72.226391151253566</v>
      </c>
      <c r="AS128" t="str">
        <f t="shared" si="112"/>
        <v>-0,0000166666666666667</v>
      </c>
      <c r="AT128" t="str">
        <f t="shared" si="113"/>
        <v>7,93379183517079E-07i</v>
      </c>
      <c r="AU128">
        <f t="shared" si="137"/>
        <v>7.9337918351707897E-7</v>
      </c>
      <c r="AV128">
        <f t="shared" si="138"/>
        <v>1.5707963267948966</v>
      </c>
      <c r="AW128" t="str">
        <f t="shared" si="114"/>
        <v>1+0,000520502561230835i</v>
      </c>
      <c r="AX128">
        <f t="shared" si="139"/>
        <v>1.0000001354614489</v>
      </c>
      <c r="AY128">
        <f t="shared" si="140"/>
        <v>5.2050251422548538E-4</v>
      </c>
      <c r="AZ128" t="str">
        <f t="shared" si="115"/>
        <v>1+0,174021356304843i</v>
      </c>
      <c r="BA128">
        <f t="shared" si="141"/>
        <v>1.0150287840500767</v>
      </c>
      <c r="BB128">
        <f t="shared" si="142"/>
        <v>0.17229594560081571</v>
      </c>
      <c r="BC128" s="41" t="str">
        <f t="shared" si="143"/>
        <v>-3,64476428469617+21,0090863736565i</v>
      </c>
      <c r="BD128">
        <f t="shared" si="144"/>
        <v>26.576924949923516</v>
      </c>
      <c r="BE128" s="43">
        <f t="shared" si="145"/>
        <v>99.842007912851273</v>
      </c>
      <c r="BF128" s="41" t="str">
        <f t="shared" si="146"/>
        <v>388,842752835744+204,502077187434i</v>
      </c>
      <c r="BG128" s="20">
        <f t="shared" si="147"/>
        <v>52.856018298013439</v>
      </c>
      <c r="BH128" s="43">
        <f t="shared" si="148"/>
        <v>27.740998656131421</v>
      </c>
      <c r="BI128" s="41" t="str">
        <f t="shared" si="152"/>
        <v>1289,94927338863+674,816933484775i</v>
      </c>
      <c r="BJ128" s="20">
        <f t="shared" si="149"/>
        <v>63.262020738610246</v>
      </c>
      <c r="BK128" s="43">
        <f t="shared" si="153"/>
        <v>27.61561676159781</v>
      </c>
      <c r="BL128">
        <f t="shared" si="150"/>
        <v>52.856018298013439</v>
      </c>
      <c r="BM128" s="43">
        <f t="shared" si="151"/>
        <v>27.740998656131421</v>
      </c>
    </row>
    <row r="129" spans="14:65" x14ac:dyDescent="0.25">
      <c r="N129" s="9">
        <v>11</v>
      </c>
      <c r="O129" s="34">
        <f t="shared" si="154"/>
        <v>128.82495516931343</v>
      </c>
      <c r="P129" s="33" t="str">
        <f t="shared" si="103"/>
        <v>66,7780509511648</v>
      </c>
      <c r="Q129" s="4" t="str">
        <f t="shared" si="104"/>
        <v>1+3,15468463418359i</v>
      </c>
      <c r="R129" s="4">
        <f t="shared" si="117"/>
        <v>3.3093859160203802</v>
      </c>
      <c r="S129" s="4">
        <f t="shared" si="118"/>
        <v>1.2638271725887318</v>
      </c>
      <c r="T129" s="4" t="str">
        <f t="shared" si="105"/>
        <v>1+0,000809431065517899i</v>
      </c>
      <c r="U129" s="4">
        <f t="shared" si="119"/>
        <v>1.0000003275892713</v>
      </c>
      <c r="V129" s="4">
        <f t="shared" si="120"/>
        <v>8.0943088874398431E-4</v>
      </c>
      <c r="W129" t="str">
        <f t="shared" si="106"/>
        <v>1-0,00176081359558365i</v>
      </c>
      <c r="X129" s="4">
        <f t="shared" si="121"/>
        <v>1.0000015502310575</v>
      </c>
      <c r="Y129" s="4">
        <f t="shared" si="122"/>
        <v>-1.7608117758070099E-3</v>
      </c>
      <c r="Z129" t="str">
        <f t="shared" si="107"/>
        <v>0,999999983404131+0,000346088516331251i</v>
      </c>
      <c r="AA129" s="4">
        <f t="shared" si="123"/>
        <v>1.0000000432927607</v>
      </c>
      <c r="AB129" s="4">
        <f t="shared" si="124"/>
        <v>3.4608850825704624E-4</v>
      </c>
      <c r="AC129" s="47" t="str">
        <f t="shared" si="125"/>
        <v>6,07236794580423-19,2430484637645i</v>
      </c>
      <c r="AD129" s="20">
        <f t="shared" si="126"/>
        <v>26.097742431542443</v>
      </c>
      <c r="AE129" s="43">
        <f t="shared" si="127"/>
        <v>-72.486302543685468</v>
      </c>
      <c r="AF129" t="str">
        <f t="shared" si="108"/>
        <v>223,849857273222</v>
      </c>
      <c r="AG129" t="str">
        <f t="shared" si="109"/>
        <v>1+3,19521507850924i</v>
      </c>
      <c r="AH129">
        <f t="shared" si="128"/>
        <v>3.3480441152907181</v>
      </c>
      <c r="AI129">
        <f t="shared" si="129"/>
        <v>1.2674851729771737</v>
      </c>
      <c r="AJ129" t="str">
        <f t="shared" si="110"/>
        <v>1+0,000809431065517899i</v>
      </c>
      <c r="AK129">
        <f t="shared" si="130"/>
        <v>1.0000003275892713</v>
      </c>
      <c r="AL129">
        <f t="shared" si="131"/>
        <v>8.0943088874398431E-4</v>
      </c>
      <c r="AM129" t="str">
        <f t="shared" si="111"/>
        <v>1-0,000532027650431204i</v>
      </c>
      <c r="AN129">
        <f t="shared" si="132"/>
        <v>1.0000001415267004</v>
      </c>
      <c r="AO129">
        <f t="shared" si="133"/>
        <v>-5.3202760023379704E-4</v>
      </c>
      <c r="AP129" s="41" t="str">
        <f t="shared" si="134"/>
        <v>19,9875442098057-63,8024059266669i</v>
      </c>
      <c r="AQ129">
        <f t="shared" si="135"/>
        <v>36.50331707470076</v>
      </c>
      <c r="AR129" s="43">
        <f t="shared" si="136"/>
        <v>-72.605656969346455</v>
      </c>
      <c r="AS129" t="str">
        <f t="shared" si="112"/>
        <v>-0,0000166666666666667</v>
      </c>
      <c r="AT129" t="str">
        <f t="shared" si="113"/>
        <v>8,11859358714453E-07i</v>
      </c>
      <c r="AU129">
        <f t="shared" si="137"/>
        <v>8.1185935871445299E-7</v>
      </c>
      <c r="AV129">
        <f t="shared" si="138"/>
        <v>1.5707963267948966</v>
      </c>
      <c r="AW129" t="str">
        <f t="shared" si="114"/>
        <v>1+0,000532626623371698i</v>
      </c>
      <c r="AX129">
        <f t="shared" si="139"/>
        <v>1.00000014184555</v>
      </c>
      <c r="AY129">
        <f t="shared" si="140"/>
        <v>5.3262657300455886E-4</v>
      </c>
      <c r="AZ129" t="str">
        <f t="shared" si="115"/>
        <v>1+0,178074834413938i</v>
      </c>
      <c r="BA129">
        <f t="shared" si="141"/>
        <v>1.0157315819898245</v>
      </c>
      <c r="BB129">
        <f t="shared" si="142"/>
        <v>0.17622756651479241</v>
      </c>
      <c r="BC129" s="41" t="str">
        <f t="shared" si="143"/>
        <v>-3,64476423815911+20,5309485554129i</v>
      </c>
      <c r="BD129">
        <f t="shared" si="144"/>
        <v>26.382936855004854</v>
      </c>
      <c r="BE129" s="43">
        <f t="shared" si="145"/>
        <v>100.06657854046894</v>
      </c>
      <c r="BF129" s="41" t="str">
        <f t="shared" si="146"/>
        <v>372,945688529055+194,807848778736i</v>
      </c>
      <c r="BG129" s="20">
        <f t="shared" si="147"/>
        <v>52.480679286547286</v>
      </c>
      <c r="BH129" s="43">
        <f t="shared" si="148"/>
        <v>27.580275996783431</v>
      </c>
      <c r="BI129" s="41" t="str">
        <f t="shared" si="152"/>
        <v>1237,07402744745+642,907969350588i</v>
      </c>
      <c r="BJ129" s="20">
        <f t="shared" si="149"/>
        <v>62.886253929705646</v>
      </c>
      <c r="BK129" s="43">
        <f t="shared" si="153"/>
        <v>27.460921571122391</v>
      </c>
      <c r="BL129">
        <f t="shared" si="150"/>
        <v>52.480679286547286</v>
      </c>
      <c r="BM129" s="43">
        <f t="shared" si="151"/>
        <v>27.580275996783431</v>
      </c>
    </row>
    <row r="130" spans="14:65" x14ac:dyDescent="0.25">
      <c r="N130" s="9">
        <v>12</v>
      </c>
      <c r="O130" s="34">
        <f t="shared" si="154"/>
        <v>131.82567385564084</v>
      </c>
      <c r="P130" s="33" t="str">
        <f t="shared" si="103"/>
        <v>66,7780509511648</v>
      </c>
      <c r="Q130" s="4" t="str">
        <f t="shared" si="104"/>
        <v>1+3,22816667901585i</v>
      </c>
      <c r="R130" s="4">
        <f t="shared" si="117"/>
        <v>3.3795058969482832</v>
      </c>
      <c r="S130" s="4">
        <f t="shared" si="118"/>
        <v>1.2703974504258528</v>
      </c>
      <c r="T130" s="4" t="str">
        <f t="shared" si="105"/>
        <v>1+0,000828285137078811i</v>
      </c>
      <c r="U130" s="4">
        <f t="shared" si="119"/>
        <v>1.0000003430280753</v>
      </c>
      <c r="V130" s="4">
        <f t="shared" si="120"/>
        <v>8.2828494766215219E-4</v>
      </c>
      <c r="W130" t="str">
        <f t="shared" si="106"/>
        <v>1-0,00180182821307342i</v>
      </c>
      <c r="X130" s="4">
        <f t="shared" si="121"/>
        <v>1.0000016232911371</v>
      </c>
      <c r="Y130" s="4">
        <f t="shared" si="122"/>
        <v>-1.8018262631477897E-3</v>
      </c>
      <c r="Z130" t="str">
        <f t="shared" si="107"/>
        <v>0,999999982621992+0,000354149953470613i</v>
      </c>
      <c r="AA130" s="4">
        <f t="shared" si="123"/>
        <v>1.000000045333086</v>
      </c>
      <c r="AB130" s="4">
        <f t="shared" si="124"/>
        <v>3.5414994481894666E-4</v>
      </c>
      <c r="AC130" s="47" t="str">
        <f t="shared" si="125"/>
        <v>5,82186837086578-18,8826222633411i</v>
      </c>
      <c r="AD130" s="20">
        <f t="shared" si="126"/>
        <v>25.915627297008594</v>
      </c>
      <c r="AE130" s="43">
        <f t="shared" si="127"/>
        <v>-72.864483319293441</v>
      </c>
      <c r="AF130" t="str">
        <f t="shared" si="108"/>
        <v>223,849857273222</v>
      </c>
      <c r="AG130" t="str">
        <f t="shared" si="109"/>
        <v>1+3,26964119866831i</v>
      </c>
      <c r="AH130">
        <f t="shared" si="128"/>
        <v>3.4191451516467009</v>
      </c>
      <c r="AI130">
        <f t="shared" si="129"/>
        <v>1.2739867652336467</v>
      </c>
      <c r="AJ130" t="str">
        <f t="shared" si="110"/>
        <v>1+0,000828285137078811i</v>
      </c>
      <c r="AK130">
        <f t="shared" si="130"/>
        <v>1.0000003430280753</v>
      </c>
      <c r="AL130">
        <f t="shared" si="131"/>
        <v>8.2828494766215219E-4</v>
      </c>
      <c r="AM130" t="str">
        <f t="shared" si="111"/>
        <v>1-0,000544420166385847i</v>
      </c>
      <c r="AN130">
        <f t="shared" si="132"/>
        <v>1.0000001481966478</v>
      </c>
      <c r="AO130">
        <f t="shared" si="133"/>
        <v>-5.4442011259835685E-4</v>
      </c>
      <c r="AP130" s="41" t="str">
        <f t="shared" si="134"/>
        <v>19,1657067526598-62,6014412669173i</v>
      </c>
      <c r="AQ130">
        <f t="shared" si="135"/>
        <v>36.320789940514267</v>
      </c>
      <c r="AR130" s="43">
        <f t="shared" si="136"/>
        <v>-72.97780054641062</v>
      </c>
      <c r="AS130" t="str">
        <f t="shared" si="112"/>
        <v>-0,0000166666666666667</v>
      </c>
      <c r="AT130" t="str">
        <f t="shared" si="113"/>
        <v>8,30769992490047E-07i</v>
      </c>
      <c r="AU130">
        <f t="shared" si="137"/>
        <v>8.3076999249004704E-7</v>
      </c>
      <c r="AV130">
        <f t="shared" si="138"/>
        <v>1.5707963267948966</v>
      </c>
      <c r="AW130" t="str">
        <f t="shared" si="114"/>
        <v>1+0,00054503309119842i</v>
      </c>
      <c r="AX130">
        <f t="shared" si="139"/>
        <v>1.0000001485305241</v>
      </c>
      <c r="AY130">
        <f t="shared" si="140"/>
        <v>5.4503303722905848E-4</v>
      </c>
      <c r="AZ130" t="str">
        <f t="shared" si="115"/>
        <v>1+0,182222730157338i</v>
      </c>
      <c r="BA130">
        <f t="shared" si="141"/>
        <v>1.0164669809619957</v>
      </c>
      <c r="BB130">
        <f t="shared" si="142"/>
        <v>0.1802450746844354</v>
      </c>
      <c r="BC130" s="41" t="str">
        <f t="shared" si="143"/>
        <v>-3,64476418942879+20,0636965178502i</v>
      </c>
      <c r="BD130">
        <f t="shared" si="144"/>
        <v>26.189223185196933</v>
      </c>
      <c r="BE130" s="43">
        <f t="shared" si="145"/>
        <v>100.29605396471005</v>
      </c>
      <c r="BF130" s="41" t="str">
        <f t="shared" si="146"/>
        <v>357,635865199178+185,630905587858i</v>
      </c>
      <c r="BG130" s="20">
        <f t="shared" si="147"/>
        <v>52.104850482205535</v>
      </c>
      <c r="BH130" s="43">
        <f t="shared" si="148"/>
        <v>27.431570645416564</v>
      </c>
      <c r="BI130" s="41" t="str">
        <f t="shared" si="152"/>
        <v>1186,16183752226+612,702415171768i</v>
      </c>
      <c r="BJ130" s="20">
        <f t="shared" si="149"/>
        <v>62.510013125711183</v>
      </c>
      <c r="BK130" s="43">
        <f t="shared" si="153"/>
        <v>27.318253418299513</v>
      </c>
      <c r="BL130">
        <f t="shared" si="150"/>
        <v>52.104850482205535</v>
      </c>
      <c r="BM130" s="43">
        <f t="shared" si="151"/>
        <v>27.431570645416564</v>
      </c>
    </row>
    <row r="131" spans="14:65" x14ac:dyDescent="0.25">
      <c r="N131" s="9">
        <v>13</v>
      </c>
      <c r="O131" s="34">
        <f t="shared" si="154"/>
        <v>134.89628825916537</v>
      </c>
      <c r="P131" s="33" t="str">
        <f t="shared" si="103"/>
        <v>66,7780509511648</v>
      </c>
      <c r="Q131" s="4" t="str">
        <f t="shared" si="104"/>
        <v>1+3,30336034055115i</v>
      </c>
      <c r="R131" s="4">
        <f t="shared" si="117"/>
        <v>3.4514039954091453</v>
      </c>
      <c r="S131" s="4">
        <f t="shared" si="118"/>
        <v>1.2768441173930802</v>
      </c>
      <c r="T131" s="4" t="str">
        <f t="shared" si="105"/>
        <v>1+0,00084757837638305i</v>
      </c>
      <c r="U131" s="4">
        <f t="shared" si="119"/>
        <v>1.0000003591944875</v>
      </c>
      <c r="V131" s="4">
        <f t="shared" si="120"/>
        <v>8.475781734194474E-4</v>
      </c>
      <c r="W131" t="str">
        <f t="shared" si="106"/>
        <v>1-0,00184379818373179i</v>
      </c>
      <c r="X131" s="4">
        <f t="shared" si="121"/>
        <v>1.0000016997944265</v>
      </c>
      <c r="Y131" s="4">
        <f t="shared" si="122"/>
        <v>-1.8437960943490251E-3</v>
      </c>
      <c r="Z131" t="str">
        <f t="shared" si="107"/>
        <v>0,999999981802991+0,000362399165603033i</v>
      </c>
      <c r="AA131" s="4">
        <f t="shared" si="123"/>
        <v>1.0000000474695676</v>
      </c>
      <c r="AB131" s="4">
        <f t="shared" si="124"/>
        <v>3.6239915633260573E-4</v>
      </c>
      <c r="AC131" s="47" t="str">
        <f t="shared" si="125"/>
        <v>5,58070562119953-18,5258075763558i</v>
      </c>
      <c r="AD131" s="20">
        <f t="shared" si="126"/>
        <v>25.732776304814159</v>
      </c>
      <c r="AE131" s="43">
        <f t="shared" si="127"/>
        <v>-73.235622047231715</v>
      </c>
      <c r="AF131" t="str">
        <f t="shared" si="108"/>
        <v>223,849857273222</v>
      </c>
      <c r="AG131" t="str">
        <f t="shared" si="109"/>
        <v>1+3,34580092586972i</v>
      </c>
      <c r="AH131">
        <f t="shared" si="128"/>
        <v>3.4920457951680239</v>
      </c>
      <c r="AI131">
        <f t="shared" si="129"/>
        <v>1.2803654458336353</v>
      </c>
      <c r="AJ131" t="str">
        <f t="shared" si="110"/>
        <v>1+0,00084757837638305i</v>
      </c>
      <c r="AK131">
        <f t="shared" si="130"/>
        <v>1.0000003591944875</v>
      </c>
      <c r="AL131">
        <f t="shared" si="131"/>
        <v>8.475781734194474E-4</v>
      </c>
      <c r="AM131" t="str">
        <f t="shared" si="111"/>
        <v>1-0,000557101341118959i</v>
      </c>
      <c r="AN131">
        <f t="shared" si="132"/>
        <v>1.0000001551809401</v>
      </c>
      <c r="AO131">
        <f t="shared" si="133"/>
        <v>-5.5710128348462537E-4</v>
      </c>
      <c r="AP131" s="41" t="str">
        <f t="shared" si="134"/>
        <v>18,3746485939898-61,412893035417i</v>
      </c>
      <c r="AQ131">
        <f t="shared" si="135"/>
        <v>36.137542294704268</v>
      </c>
      <c r="AR131" s="43">
        <f t="shared" si="136"/>
        <v>-73.342893180814016</v>
      </c>
      <c r="AS131" t="str">
        <f t="shared" si="112"/>
        <v>-0,0000166666666666667</v>
      </c>
      <c r="AT131" t="str">
        <f t="shared" si="113"/>
        <v>8,50121111512199E-07i</v>
      </c>
      <c r="AU131">
        <f t="shared" si="137"/>
        <v>8.5012111151219897E-7</v>
      </c>
      <c r="AV131">
        <f t="shared" si="138"/>
        <v>1.5707963267948966</v>
      </c>
      <c r="AW131" t="str">
        <f t="shared" si="114"/>
        <v>1+0,000557728542784459i</v>
      </c>
      <c r="AX131">
        <f t="shared" si="139"/>
        <v>1.0000001555305518</v>
      </c>
      <c r="AY131">
        <f t="shared" si="140"/>
        <v>5.5772848495524671E-4</v>
      </c>
      <c r="AZ131" t="str">
        <f t="shared" si="115"/>
        <v>1+0,186467242804271i</v>
      </c>
      <c r="BA131">
        <f t="shared" si="141"/>
        <v>1.0172364683980943</v>
      </c>
      <c r="BB131">
        <f t="shared" si="142"/>
        <v>0.18435008123702301</v>
      </c>
      <c r="BC131" s="41" t="str">
        <f t="shared" si="143"/>
        <v>-3,64476413840191+19,6070825177532i</v>
      </c>
      <c r="BD131">
        <f t="shared" si="144"/>
        <v>25.995796042653431</v>
      </c>
      <c r="BE131" s="43">
        <f t="shared" si="145"/>
        <v>100.53052611947317</v>
      </c>
      <c r="BF131" s="41" t="str">
        <f t="shared" si="146"/>
        <v>342,8966821425+176,943554711384i</v>
      </c>
      <c r="BG131" s="20">
        <f t="shared" si="147"/>
        <v>51.72857234746759</v>
      </c>
      <c r="BH131" s="43">
        <f t="shared" si="148"/>
        <v>27.294904072241383</v>
      </c>
      <c r="BI131" s="41" t="str">
        <f t="shared" si="152"/>
        <v>1137,15640114826+584,108761388076i</v>
      </c>
      <c r="BJ131" s="20">
        <f t="shared" si="149"/>
        <v>62.133338337357685</v>
      </c>
      <c r="BK131" s="43">
        <f t="shared" si="153"/>
        <v>27.187632938659164</v>
      </c>
      <c r="BL131">
        <f t="shared" si="150"/>
        <v>51.72857234746759</v>
      </c>
      <c r="BM131" s="43">
        <f t="shared" si="151"/>
        <v>27.294904072241383</v>
      </c>
    </row>
    <row r="132" spans="14:65" x14ac:dyDescent="0.25">
      <c r="N132" s="9">
        <v>14</v>
      </c>
      <c r="O132" s="34">
        <f t="shared" si="154"/>
        <v>138.0384264602886</v>
      </c>
      <c r="P132" s="33" t="str">
        <f t="shared" si="103"/>
        <v>66,7780509511648</v>
      </c>
      <c r="Q132" s="4" t="str">
        <f t="shared" si="104"/>
        <v>1+3,38030548746416i</v>
      </c>
      <c r="R132" s="4">
        <f t="shared" si="117"/>
        <v>3.5251191736706309</v>
      </c>
      <c r="S132" s="4">
        <f t="shared" si="118"/>
        <v>1.2831684474500871</v>
      </c>
      <c r="T132" s="4" t="str">
        <f t="shared" si="105"/>
        <v>1+0,000867321012961475i</v>
      </c>
      <c r="U132" s="4">
        <f t="shared" si="119"/>
        <v>1.0000003761227989</v>
      </c>
      <c r="V132" s="4">
        <f t="shared" si="120"/>
        <v>8.6732079548206085E-4</v>
      </c>
      <c r="W132" t="str">
        <f t="shared" si="106"/>
        <v>1-0,00188674576059272i</v>
      </c>
      <c r="X132" s="4">
        <f t="shared" si="121"/>
        <v>1.0000017799031986</v>
      </c>
      <c r="Y132" s="4">
        <f t="shared" si="122"/>
        <v>-1.8867435217789668E-3</v>
      </c>
      <c r="Z132" t="str">
        <f t="shared" si="107"/>
        <v>0,999999980945393+0,000370840526569977i</v>
      </c>
      <c r="AA132" s="4">
        <f t="shared" si="123"/>
        <v>1.0000000497067401</v>
      </c>
      <c r="AB132" s="4">
        <f t="shared" si="124"/>
        <v>3.7084051663653509E-4</v>
      </c>
      <c r="AC132" s="47" t="str">
        <f t="shared" si="125"/>
        <v>5,34860888324821-18,1727711936573i</v>
      </c>
      <c r="AD132" s="20">
        <f t="shared" si="126"/>
        <v>25.549217003225017</v>
      </c>
      <c r="AE132" s="43">
        <f t="shared" si="127"/>
        <v>-73.599792659476634</v>
      </c>
      <c r="AF132" t="str">
        <f t="shared" si="108"/>
        <v>223,849857273222</v>
      </c>
      <c r="AG132" t="str">
        <f t="shared" si="109"/>
        <v>1+3,42373464100894i</v>
      </c>
      <c r="AH132">
        <f t="shared" si="128"/>
        <v>3.5667855124810375</v>
      </c>
      <c r="AI132">
        <f t="shared" si="129"/>
        <v>1.2866225198039858</v>
      </c>
      <c r="AJ132" t="str">
        <f t="shared" si="110"/>
        <v>1+0,000867321012961475i</v>
      </c>
      <c r="AK132">
        <f t="shared" si="130"/>
        <v>1.0000003761227989</v>
      </c>
      <c r="AL132">
        <f t="shared" si="131"/>
        <v>8.6732079548206085E-4</v>
      </c>
      <c r="AM132" t="str">
        <f t="shared" si="111"/>
        <v>1-0,000570077898357241i</v>
      </c>
      <c r="AN132">
        <f t="shared" si="132"/>
        <v>1.0000001624943919</v>
      </c>
      <c r="AO132">
        <f t="shared" si="133"/>
        <v>-5.7007783660094043E-4</v>
      </c>
      <c r="AP132" s="41" t="str">
        <f t="shared" si="134"/>
        <v>17,6134648543094-60,2372919411128i</v>
      </c>
      <c r="AQ132">
        <f t="shared" si="135"/>
        <v>35.953601235387865</v>
      </c>
      <c r="AR132" s="43">
        <f t="shared" si="136"/>
        <v>-73.701009444221654</v>
      </c>
      <c r="AS132" t="str">
        <f t="shared" si="112"/>
        <v>-0,0000166666666666667</v>
      </c>
      <c r="AT132" t="str">
        <f t="shared" si="113"/>
        <v>8,6992297600036E-07i</v>
      </c>
      <c r="AU132">
        <f t="shared" si="137"/>
        <v>8.6992297600036003E-7</v>
      </c>
      <c r="AV132">
        <f t="shared" si="138"/>
        <v>1.5707963267948966</v>
      </c>
      <c r="AW132" t="str">
        <f t="shared" si="114"/>
        <v>1+0,000570719709426295i</v>
      </c>
      <c r="AX132">
        <f t="shared" si="139"/>
        <v>1.00000016286048</v>
      </c>
      <c r="AY132">
        <f t="shared" si="140"/>
        <v>5.7071964746117812E-4</v>
      </c>
      <c r="AZ132" t="str">
        <f t="shared" si="115"/>
        <v>1+0,190810622851524i</v>
      </c>
      <c r="BA132">
        <f t="shared" si="141"/>
        <v>1.0180415972802814</v>
      </c>
      <c r="BB132">
        <f t="shared" si="142"/>
        <v>0.18854420903979499</v>
      </c>
      <c r="BC132" s="41" t="str">
        <f t="shared" si="143"/>
        <v>-3,64476408497017+19,1608644523349i</v>
      </c>
      <c r="BD132">
        <f t="shared" si="144"/>
        <v>25.802668023743252</v>
      </c>
      <c r="BE132" s="43">
        <f t="shared" si="145"/>
        <v>100.77008760252784</v>
      </c>
      <c r="BF132" s="41" t="str">
        <f t="shared" si="146"/>
        <v>328,711588002748+168,719433591496i</v>
      </c>
      <c r="BG132" s="20">
        <f t="shared" si="147"/>
        <v>51.351885026968262</v>
      </c>
      <c r="BH132" s="43">
        <f t="shared" si="148"/>
        <v>27.170294943051246</v>
      </c>
      <c r="BI132" s="41" t="str">
        <f t="shared" si="152"/>
        <v>1090,00166174652+557,039930852218i</v>
      </c>
      <c r="BJ132" s="20">
        <f t="shared" si="149"/>
        <v>61.756269259131145</v>
      </c>
      <c r="BK132" s="43">
        <f t="shared" si="153"/>
        <v>27.069078158306116</v>
      </c>
      <c r="BL132">
        <f t="shared" si="150"/>
        <v>51.351885026968262</v>
      </c>
      <c r="BM132" s="43">
        <f t="shared" si="151"/>
        <v>27.170294943051246</v>
      </c>
    </row>
    <row r="133" spans="14:65" x14ac:dyDescent="0.25">
      <c r="N133" s="9">
        <v>15</v>
      </c>
      <c r="O133" s="34">
        <f t="shared" si="154"/>
        <v>141.25375446227542</v>
      </c>
      <c r="P133" s="33" t="str">
        <f t="shared" si="103"/>
        <v>66,7780509511648</v>
      </c>
      <c r="Q133" s="4" t="str">
        <f t="shared" si="104"/>
        <v>1+3,45904291709025i</v>
      </c>
      <c r="R133" s="4">
        <f t="shared" si="117"/>
        <v>3.600691308939469</v>
      </c>
      <c r="S133" s="4">
        <f t="shared" si="118"/>
        <v>1.2893717694413251</v>
      </c>
      <c r="T133" s="4" t="str">
        <f t="shared" si="105"/>
        <v>1+0,000887523514621322i</v>
      </c>
      <c r="U133" s="4">
        <f t="shared" si="119"/>
        <v>1.000000393848917</v>
      </c>
      <c r="V133" s="4">
        <f t="shared" si="120"/>
        <v>8.8752328158793622E-4</v>
      </c>
      <c r="W133" t="str">
        <f t="shared" si="106"/>
        <v>1-0,00193069371502995i</v>
      </c>
      <c r="X133" s="4">
        <f t="shared" si="121"/>
        <v>1.0000018637873738</v>
      </c>
      <c r="Y133" s="4">
        <f t="shared" si="122"/>
        <v>-1.930691316098034E-3</v>
      </c>
      <c r="Z133" t="str">
        <f t="shared" si="107"/>
        <v>0,999999980047377+0,000379478512092762i</v>
      </c>
      <c r="AA133" s="4">
        <f t="shared" si="123"/>
        <v>1.0000000520493464</v>
      </c>
      <c r="AB133" s="4">
        <f t="shared" si="124"/>
        <v>3.7947850144888723E-4</v>
      </c>
      <c r="AC133" s="47" t="str">
        <f t="shared" si="125"/>
        <v>5,12530881755859-17,8236649036282i</v>
      </c>
      <c r="AD133" s="20">
        <f t="shared" si="126"/>
        <v>25.364976131881541</v>
      </c>
      <c r="AE133" s="43">
        <f t="shared" si="127"/>
        <v>-73.957072254552301</v>
      </c>
      <c r="AF133" t="str">
        <f t="shared" si="108"/>
        <v>223,849857273222</v>
      </c>
      <c r="AG133" t="str">
        <f t="shared" si="109"/>
        <v>1+3,50348366557331i</v>
      </c>
      <c r="AH133">
        <f t="shared" si="128"/>
        <v>3.6434046982100408</v>
      </c>
      <c r="AI133">
        <f t="shared" si="129"/>
        <v>1.2927593442218031</v>
      </c>
      <c r="AJ133" t="str">
        <f t="shared" si="110"/>
        <v>1+0,000887523514621322i</v>
      </c>
      <c r="AK133">
        <f t="shared" si="130"/>
        <v>1.000000393848917</v>
      </c>
      <c r="AL133">
        <f t="shared" si="131"/>
        <v>8.8752328158793622E-4</v>
      </c>
      <c r="AM133" t="str">
        <f t="shared" si="111"/>
        <v>1-0,000583356718443104i</v>
      </c>
      <c r="AN133">
        <f t="shared" si="132"/>
        <v>1.0000001701525161</v>
      </c>
      <c r="AO133">
        <f t="shared" si="133"/>
        <v>-5.8335665227003631E-4</v>
      </c>
      <c r="AP133" s="41" t="str">
        <f t="shared" si="134"/>
        <v>16,881256743621-59,0751195617136i</v>
      </c>
      <c r="AQ133">
        <f t="shared" si="135"/>
        <v>35.768993054732384</v>
      </c>
      <c r="AR133" s="43">
        <f t="shared" si="136"/>
        <v>-74.052226885880657</v>
      </c>
      <c r="AS133" t="str">
        <f t="shared" si="112"/>
        <v>-0,0000166666666666667</v>
      </c>
      <c r="AT133" t="str">
        <f t="shared" si="113"/>
        <v>8,90186085165186E-07i</v>
      </c>
      <c r="AU133">
        <f t="shared" si="137"/>
        <v>8.9018608516518603E-7</v>
      </c>
      <c r="AV133">
        <f t="shared" si="138"/>
        <v>1.5707963267948966</v>
      </c>
      <c r="AW133" t="str">
        <f t="shared" si="114"/>
        <v>1+0,000584013479212435i</v>
      </c>
      <c r="AX133">
        <f t="shared" si="139"/>
        <v>1.0000001705358574</v>
      </c>
      <c r="AY133">
        <f t="shared" si="140"/>
        <v>5.8401341281561663E-4</v>
      </c>
      <c r="AZ133" t="str">
        <f t="shared" si="115"/>
        <v>1+0,195255173216691i</v>
      </c>
      <c r="BA133">
        <f t="shared" si="141"/>
        <v>1.0188839888171175</v>
      </c>
      <c r="BB133">
        <f t="shared" si="142"/>
        <v>0.19282909136628112</v>
      </c>
      <c r="BC133" s="41" t="str">
        <f t="shared" si="143"/>
        <v>-3,64476402902032+18,7248057308704i</v>
      </c>
      <c r="BD133">
        <f t="shared" si="144"/>
        <v>25.609852235566972</v>
      </c>
      <c r="BE133" s="43">
        <f t="shared" si="145"/>
        <v>101.01483159889702</v>
      </c>
      <c r="BF133" s="41" t="str">
        <f t="shared" si="146"/>
        <v>315,064121516713+160,933464625558i</v>
      </c>
      <c r="BG133" s="20">
        <f t="shared" si="147"/>
        <v>50.974828367448524</v>
      </c>
      <c r="BH133" s="43">
        <f t="shared" si="148"/>
        <v>27.057759344344753</v>
      </c>
      <c r="BI133" s="41" t="str">
        <f t="shared" si="152"/>
        <v>1044,64193997722+531,413123805857i</v>
      </c>
      <c r="BJ133" s="20">
        <f t="shared" si="149"/>
        <v>61.378845290299338</v>
      </c>
      <c r="BK133" s="43">
        <f t="shared" si="153"/>
        <v>26.9626047130164</v>
      </c>
      <c r="BL133">
        <f t="shared" si="150"/>
        <v>50.974828367448524</v>
      </c>
      <c r="BM133" s="43">
        <f t="shared" si="151"/>
        <v>27.057759344344753</v>
      </c>
    </row>
    <row r="134" spans="14:65" x14ac:dyDescent="0.25">
      <c r="N134" s="9">
        <v>16</v>
      </c>
      <c r="O134" s="34">
        <f t="shared" si="154"/>
        <v>144.54397707459285</v>
      </c>
      <c r="P134" s="33" t="str">
        <f t="shared" si="103"/>
        <v>66,7780509511648</v>
      </c>
      <c r="Q134" s="4" t="str">
        <f t="shared" si="104"/>
        <v>1+3,53961437705683i</v>
      </c>
      <c r="R134" s="4">
        <f t="shared" si="117"/>
        <v>3.6781612170033289</v>
      </c>
      <c r="S134" s="4">
        <f t="shared" si="118"/>
        <v>1.2954554620304271</v>
      </c>
      <c r="T134" s="4" t="str">
        <f t="shared" si="105"/>
        <v>1+0,000908196592996385i</v>
      </c>
      <c r="U134" s="4">
        <f t="shared" si="119"/>
        <v>1.0000004124104407</v>
      </c>
      <c r="V134" s="4">
        <f t="shared" si="120"/>
        <v>9.0819634329661889E-4</v>
      </c>
      <c r="W134" t="str">
        <f t="shared" si="106"/>
        <v>1-0,00197566534883065i</v>
      </c>
      <c r="X134" s="4">
        <f t="shared" si="121"/>
        <v>1.0000019516248808</v>
      </c>
      <c r="Y134" s="4">
        <f t="shared" si="122"/>
        <v>-1.9756627783290609E-3</v>
      </c>
      <c r="Z134" t="str">
        <f t="shared" si="107"/>
        <v>0,999999979107039+0,000388317702145651i</v>
      </c>
      <c r="AA134" s="4">
        <f t="shared" si="123"/>
        <v>1.0000000545023566</v>
      </c>
      <c r="AB134" s="4">
        <f t="shared" si="124"/>
        <v>3.8831769074053368E-4</v>
      </c>
      <c r="AC134" s="47" t="str">
        <f t="shared" si="125"/>
        <v>4,91053816495721-17,4786261044756i</v>
      </c>
      <c r="AD134" s="20">
        <f t="shared" si="126"/>
        <v>25.180079627137278</v>
      </c>
      <c r="AE134" s="43">
        <f t="shared" si="127"/>
        <v>-74.307540807802468</v>
      </c>
      <c r="AF134" t="str">
        <f t="shared" si="108"/>
        <v>223,849857273222</v>
      </c>
      <c r="AG134" t="str">
        <f t="shared" si="109"/>
        <v>1+3,58509028355126i</v>
      </c>
      <c r="AH134">
        <f t="shared" si="128"/>
        <v>3.7219446988387204</v>
      </c>
      <c r="AI134">
        <f t="shared" si="129"/>
        <v>1.2987773232662201</v>
      </c>
      <c r="AJ134" t="str">
        <f t="shared" si="110"/>
        <v>1+0,000908196592996385i</v>
      </c>
      <c r="AK134">
        <f t="shared" si="130"/>
        <v>1.0000004124104407</v>
      </c>
      <c r="AL134">
        <f t="shared" si="131"/>
        <v>9.0819634329661889E-4</v>
      </c>
      <c r="AM134" t="str">
        <f t="shared" si="111"/>
        <v>1-0,000596944841982726i</v>
      </c>
      <c r="AN134">
        <f t="shared" si="132"/>
        <v>1.0000001781715564</v>
      </c>
      <c r="AO134">
        <f t="shared" si="133"/>
        <v>-5.9694477107700723E-4</v>
      </c>
      <c r="AP134" s="41" t="str">
        <f t="shared" si="134"/>
        <v>16,177133483489-57,9268104073278i</v>
      </c>
      <c r="AQ134">
        <f t="shared" si="135"/>
        <v>35.583743245270327</v>
      </c>
      <c r="AR134" s="43">
        <f t="shared" si="136"/>
        <v>-74.396625748997621</v>
      </c>
      <c r="AS134" t="str">
        <f t="shared" si="112"/>
        <v>-0,0000166666666666667</v>
      </c>
      <c r="AT134" t="str">
        <f t="shared" si="113"/>
        <v>9,10921182775374E-07i</v>
      </c>
      <c r="AU134">
        <f t="shared" si="137"/>
        <v>9.1092118277537397E-7</v>
      </c>
      <c r="AV134">
        <f t="shared" si="138"/>
        <v>1.5707963267948966</v>
      </c>
      <c r="AW134" t="str">
        <f t="shared" si="114"/>
        <v>1+0,000597616900675587i</v>
      </c>
      <c r="AX134">
        <f t="shared" si="139"/>
        <v>1.000000178572964</v>
      </c>
      <c r="AY134">
        <f t="shared" si="140"/>
        <v>5.9761682953011499E-4</v>
      </c>
      <c r="AZ134" t="str">
        <f t="shared" si="115"/>
        <v>1+0,199803250459205i</v>
      </c>
      <c r="BA134">
        <f t="shared" si="141"/>
        <v>1.0197653352090685</v>
      </c>
      <c r="BB134">
        <f t="shared" si="142"/>
        <v>0.1972063704431179</v>
      </c>
      <c r="BC134" s="41" t="str">
        <f t="shared" si="143"/>
        <v>-3,64476397043362+18,2986751492532i</v>
      </c>
      <c r="BD134">
        <f t="shared" si="144"/>
        <v>25.417362312676918</v>
      </c>
      <c r="BE134" s="43">
        <f t="shared" si="145"/>
        <v>101.26485179738609</v>
      </c>
      <c r="BF134" s="41" t="str">
        <f t="shared" si="146"/>
        <v>301,937948561981+153,561809366835i</v>
      </c>
      <c r="BG134" s="20">
        <f t="shared" si="147"/>
        <v>50.597441939814203</v>
      </c>
      <c r="BH134" s="43">
        <f t="shared" si="148"/>
        <v>26.957310989583583</v>
      </c>
      <c r="BI134" s="41" t="str">
        <f t="shared" si="152"/>
        <v>1001,02205281055+507,14966195524i</v>
      </c>
      <c r="BJ134" s="20">
        <f t="shared" si="149"/>
        <v>61.001105557947213</v>
      </c>
      <c r="BK134" s="43">
        <f t="shared" si="153"/>
        <v>26.8682260483886</v>
      </c>
      <c r="BL134">
        <f t="shared" si="150"/>
        <v>50.597441939814203</v>
      </c>
      <c r="BM134" s="43">
        <f t="shared" si="151"/>
        <v>26.957310989583583</v>
      </c>
    </row>
    <row r="135" spans="14:65" x14ac:dyDescent="0.25">
      <c r="N135" s="9">
        <v>17</v>
      </c>
      <c r="O135" s="34">
        <f t="shared" si="154"/>
        <v>147.91083881682084</v>
      </c>
      <c r="P135" s="33" t="str">
        <f t="shared" si="103"/>
        <v>66,7780509511648</v>
      </c>
      <c r="Q135" s="4" t="str">
        <f t="shared" si="104"/>
        <v>1+3,62206258741846i</v>
      </c>
      <c r="R135" s="4">
        <f t="shared" si="117"/>
        <v>3.7575706762716399</v>
      </c>
      <c r="S135" s="4">
        <f t="shared" si="118"/>
        <v>1.3014209488467292</v>
      </c>
      <c r="T135" s="4" t="str">
        <f t="shared" si="105"/>
        <v>1+0,000929351209226457i</v>
      </c>
      <c r="U135" s="4">
        <f t="shared" si="119"/>
        <v>1.0000004318467419</v>
      </c>
      <c r="V135" s="4">
        <f t="shared" si="120"/>
        <v>9.2935094166834346E-4</v>
      </c>
      <c r="W135" t="str">
        <f t="shared" si="106"/>
        <v>1-0,00202168450655031i</v>
      </c>
      <c r="X135" s="4">
        <f t="shared" si="121"/>
        <v>1.0000020436020338</v>
      </c>
      <c r="Y135" s="4">
        <f t="shared" si="122"/>
        <v>-2.0216817522085372E-3</v>
      </c>
      <c r="Z135" t="str">
        <f t="shared" si="107"/>
        <v>0,999999978122384+0,000397362783384209i</v>
      </c>
      <c r="AA135" s="4">
        <f t="shared" si="123"/>
        <v>1.0000000570709733</v>
      </c>
      <c r="AB135" s="4">
        <f t="shared" si="124"/>
        <v>3.9736277116340571E-4</v>
      </c>
      <c r="AC135" s="47" t="str">
        <f t="shared" si="125"/>
        <v>4,70403229466053-17,1377784221824i</v>
      </c>
      <c r="AD135" s="20">
        <f t="shared" si="126"/>
        <v>24.994552629125543</v>
      </c>
      <c r="AE135" s="43">
        <f t="shared" si="127"/>
        <v>-74.651280893827902</v>
      </c>
      <c r="AF135" t="str">
        <f t="shared" si="108"/>
        <v>223,849857273222</v>
      </c>
      <c r="AG135" t="str">
        <f t="shared" si="109"/>
        <v>1+3,66859776385183i</v>
      </c>
      <c r="AH135">
        <f t="shared" si="128"/>
        <v>3.8024478369779966</v>
      </c>
      <c r="AI135">
        <f t="shared" si="129"/>
        <v>1.3046779034831646</v>
      </c>
      <c r="AJ135" t="str">
        <f t="shared" si="110"/>
        <v>1+0,000929351209226457i</v>
      </c>
      <c r="AK135">
        <f t="shared" si="130"/>
        <v>1.0000004318467419</v>
      </c>
      <c r="AL135">
        <f t="shared" si="131"/>
        <v>9.2935094166834346E-4</v>
      </c>
      <c r="AM135" t="str">
        <f t="shared" si="111"/>
        <v>1-0,000610849473579065i</v>
      </c>
      <c r="AN135">
        <f t="shared" si="132"/>
        <v>1.0000001865685224</v>
      </c>
      <c r="AO135">
        <f t="shared" si="133"/>
        <v>-6.1084939760221917E-4</v>
      </c>
      <c r="AP135" s="41" t="str">
        <f t="shared" si="134"/>
        <v>15,5002140393232-56,7927539958199i</v>
      </c>
      <c r="AQ135">
        <f t="shared" si="135"/>
        <v>35.397876507846945</v>
      </c>
      <c r="AR135" s="43">
        <f t="shared" si="136"/>
        <v>-74.734288699318512</v>
      </c>
      <c r="AS135" t="str">
        <f t="shared" si="112"/>
        <v>-0,0000166666666666667</v>
      </c>
      <c r="AT135" t="str">
        <f t="shared" si="113"/>
        <v>9,32139262854136E-07i</v>
      </c>
      <c r="AU135">
        <f t="shared" si="137"/>
        <v>9.3213926285413601E-7</v>
      </c>
      <c r="AV135">
        <f t="shared" si="138"/>
        <v>1.5707963267948966</v>
      </c>
      <c r="AW135" t="str">
        <f t="shared" si="114"/>
        <v>1+0,000611537186529872i</v>
      </c>
      <c r="AX135">
        <f t="shared" si="139"/>
        <v>1.0000001869888477</v>
      </c>
      <c r="AY135">
        <f t="shared" si="140"/>
        <v>6.1153711029612596E-4</v>
      </c>
      <c r="AZ135" t="str">
        <f t="shared" si="115"/>
        <v>1+0,20445726602982i</v>
      </c>
      <c r="BA135">
        <f t="shared" si="141"/>
        <v>1.0206874025049926</v>
      </c>
      <c r="BB135">
        <f t="shared" si="142"/>
        <v>0.20167769587110065</v>
      </c>
      <c r="BC135" s="41" t="str">
        <f t="shared" si="143"/>
        <v>-3,64476390908581+17,8822467674087i</v>
      </c>
      <c r="BD135">
        <f t="shared" si="144"/>
        <v>25.225212433966661</v>
      </c>
      <c r="BE135" s="43">
        <f t="shared" si="145"/>
        <v>101.52024229990147</v>
      </c>
      <c r="BF135" s="41" t="str">
        <f t="shared" si="146"/>
        <v>289,316895655885+146,581822570059i</v>
      </c>
      <c r="BG135" s="20">
        <f t="shared" si="147"/>
        <v>50.219765063092197</v>
      </c>
      <c r="BH135" s="43">
        <f t="shared" si="148"/>
        <v>26.86896140607352</v>
      </c>
      <c r="BI135" s="41" t="str">
        <f t="shared" si="152"/>
        <v>959,087420840357+484,174832460384i</v>
      </c>
      <c r="BJ135" s="20">
        <f t="shared" si="149"/>
        <v>60.623088941813599</v>
      </c>
      <c r="BK135" s="43">
        <f t="shared" si="153"/>
        <v>26.785953600583003</v>
      </c>
      <c r="BL135">
        <f t="shared" si="150"/>
        <v>50.219765063092197</v>
      </c>
      <c r="BM135" s="43">
        <f t="shared" si="151"/>
        <v>26.86896140607352</v>
      </c>
    </row>
    <row r="136" spans="14:65" x14ac:dyDescent="0.25">
      <c r="N136" s="9">
        <v>18</v>
      </c>
      <c r="O136" s="34">
        <f t="shared" si="154"/>
        <v>151.3561248436209</v>
      </c>
      <c r="P136" s="33" t="str">
        <f t="shared" si="103"/>
        <v>66,7780509511648</v>
      </c>
      <c r="Q136" s="4" t="str">
        <f t="shared" si="104"/>
        <v>1+3,70643126330761i</v>
      </c>
      <c r="R136" s="4">
        <f t="shared" si="117"/>
        <v>3.8389624522289933</v>
      </c>
      <c r="S136" s="4">
        <f t="shared" si="118"/>
        <v>1.3072696938452104</v>
      </c>
      <c r="T136" s="4" t="str">
        <f t="shared" si="105"/>
        <v>1+0,000950998579769078i</v>
      </c>
      <c r="U136" s="4">
        <f t="shared" si="119"/>
        <v>1.0000004521990471</v>
      </c>
      <c r="V136" s="4">
        <f t="shared" si="120"/>
        <v>9.5099829307540107E-4</v>
      </c>
      <c r="W136" t="str">
        <f t="shared" si="106"/>
        <v>1-0,00206877558815551i</v>
      </c>
      <c r="X136" s="4">
        <f t="shared" si="121"/>
        <v>1.0000021399139274</v>
      </c>
      <c r="Y136" s="4">
        <f t="shared" si="122"/>
        <v>-2.0687726368254686E-3</v>
      </c>
      <c r="Z136" t="str">
        <f t="shared" si="107"/>
        <v>0,999999977091323+0,000406618551630237i</v>
      </c>
      <c r="AA136" s="4">
        <f t="shared" si="123"/>
        <v>1.0000000597606447</v>
      </c>
      <c r="AB136" s="4">
        <f t="shared" si="124"/>
        <v>4.0661853853541063E-4</v>
      </c>
      <c r="AC136" s="47" t="str">
        <f t="shared" si="125"/>
        <v>4,50552969690938-16,8012323303068i</v>
      </c>
      <c r="AD136" s="20">
        <f t="shared" si="126"/>
        <v>24.808419490383233</v>
      </c>
      <c r="AE136" s="43">
        <f t="shared" si="127"/>
        <v>-74.988377421164557</v>
      </c>
      <c r="AF136" t="str">
        <f t="shared" si="108"/>
        <v>223,849857273222</v>
      </c>
      <c r="AG136" t="str">
        <f t="shared" si="109"/>
        <v>1+3,75405038324642i</v>
      </c>
      <c r="AH136">
        <f t="shared" si="128"/>
        <v>3.8849574360541701</v>
      </c>
      <c r="AI136">
        <f t="shared" si="129"/>
        <v>1.3104625692637055</v>
      </c>
      <c r="AJ136" t="str">
        <f t="shared" si="110"/>
        <v>1+0,000950998579769078i</v>
      </c>
      <c r="AK136">
        <f t="shared" si="130"/>
        <v>1.0000004521990471</v>
      </c>
      <c r="AL136">
        <f t="shared" si="131"/>
        <v>9.5099829307540107E-4</v>
      </c>
      <c r="AM136" t="str">
        <f t="shared" si="111"/>
        <v>1-0,000625077985651845i</v>
      </c>
      <c r="AN136">
        <f t="shared" si="132"/>
        <v>1.000000195361225</v>
      </c>
      <c r="AO136">
        <f t="shared" si="133"/>
        <v>-6.2507790424118879E-4</v>
      </c>
      <c r="AP136" s="41" t="str">
        <f t="shared" si="134"/>
        <v>14,8496286717719-55,6732969278567i</v>
      </c>
      <c r="AQ136">
        <f t="shared" si="135"/>
        <v>35.211416761033846</v>
      </c>
      <c r="AR136" s="43">
        <f t="shared" si="136"/>
        <v>-75.065300565943161</v>
      </c>
      <c r="AS136" t="str">
        <f t="shared" si="112"/>
        <v>-0,0000166666666666667</v>
      </c>
      <c r="AT136" t="str">
        <f t="shared" si="113"/>
        <v>9,53851575508385E-07i</v>
      </c>
      <c r="AU136">
        <f t="shared" si="137"/>
        <v>9.5385157550838502E-7</v>
      </c>
      <c r="AV136">
        <f t="shared" si="138"/>
        <v>1.5707963267948966</v>
      </c>
      <c r="AW136" t="str">
        <f t="shared" si="114"/>
        <v>1+0,000625781717495106i</v>
      </c>
      <c r="AX136">
        <f t="shared" si="139"/>
        <v>1.0000001958013598</v>
      </c>
      <c r="AY136">
        <f t="shared" si="140"/>
        <v>6.2578163580917642E-4</v>
      </c>
      <c r="AZ136" t="str">
        <f t="shared" si="115"/>
        <v>1+0,209219687549197i</v>
      </c>
      <c r="BA136">
        <f t="shared" si="141"/>
        <v>1.0216520335506525</v>
      </c>
      <c r="BB136">
        <f t="shared" si="142"/>
        <v>0.20624472291407991</v>
      </c>
      <c r="BC136" s="41" t="str">
        <f t="shared" si="143"/>
        <v>-3,64476384484677+17,4752997894962i</v>
      </c>
      <c r="BD136">
        <f t="shared" si="144"/>
        <v>25.033417339688292</v>
      </c>
      <c r="BE136" s="43">
        <f t="shared" si="145"/>
        <v>101.78109752319318</v>
      </c>
      <c r="BF136" s="41" t="str">
        <f t="shared" si="146"/>
        <v>277,184980063908+139,972006310342i</v>
      </c>
      <c r="BG136" s="20">
        <f t="shared" si="147"/>
        <v>49.841836830071514</v>
      </c>
      <c r="BH136" s="43">
        <f t="shared" si="148"/>
        <v>26.792720102028628</v>
      </c>
      <c r="BI136" s="41" t="str">
        <f t="shared" si="152"/>
        <v>918,784164391659+462,417732567983i</v>
      </c>
      <c r="BJ136" s="20">
        <f t="shared" si="149"/>
        <v>60.244834100722137</v>
      </c>
      <c r="BK136" s="43">
        <f t="shared" si="153"/>
        <v>26.715796957250035</v>
      </c>
      <c r="BL136">
        <f t="shared" si="150"/>
        <v>49.841836830071514</v>
      </c>
      <c r="BM136" s="43">
        <f t="shared" si="151"/>
        <v>26.792720102028628</v>
      </c>
    </row>
    <row r="137" spans="14:65" x14ac:dyDescent="0.25">
      <c r="N137" s="9">
        <v>19</v>
      </c>
      <c r="O137" s="34">
        <f t="shared" si="154"/>
        <v>154.8816618912482</v>
      </c>
      <c r="P137" s="33" t="str">
        <f t="shared" si="103"/>
        <v>66,7780509511648</v>
      </c>
      <c r="Q137" s="4" t="str">
        <f t="shared" si="104"/>
        <v>1+3,79276513811298i</v>
      </c>
      <c r="R137" s="4">
        <f t="shared" si="117"/>
        <v>3.9223803223151594</v>
      </c>
      <c r="S137" s="4">
        <f t="shared" si="118"/>
        <v>1.3130031968798761</v>
      </c>
      <c r="T137" s="4" t="str">
        <f t="shared" si="105"/>
        <v>1+0,000973150182346647i</v>
      </c>
      <c r="U137" s="4">
        <f t="shared" si="119"/>
        <v>1.0000004735105266</v>
      </c>
      <c r="V137" s="4">
        <f t="shared" si="120"/>
        <v>9.7314987514884529E-4</v>
      </c>
      <c r="W137" t="str">
        <f t="shared" si="106"/>
        <v>1-0,00211696356196103i</v>
      </c>
      <c r="X137" s="4">
        <f t="shared" si="121"/>
        <v>1.0000022407648508</v>
      </c>
      <c r="Y137" s="4">
        <f t="shared" si="122"/>
        <v>-2.116960399554297E-3</v>
      </c>
      <c r="Z137" t="str">
        <f t="shared" si="107"/>
        <v>0,999999976011671+0,000416089914414571i</v>
      </c>
      <c r="AA137" s="4">
        <f t="shared" si="123"/>
        <v>1.0000000625770777</v>
      </c>
      <c r="AB137" s="4">
        <f t="shared" si="124"/>
        <v>4.1608990038321148E-4</v>
      </c>
      <c r="AC137" s="47" t="str">
        <f t="shared" si="125"/>
        <v>4,31477242282859-16,4690857682158i</v>
      </c>
      <c r="AD137" s="20">
        <f t="shared" si="126"/>
        <v>24.621703785869556</v>
      </c>
      <c r="AE137" s="43">
        <f t="shared" si="127"/>
        <v>-75.318917379202659</v>
      </c>
      <c r="AF137" t="str">
        <f t="shared" si="108"/>
        <v>223,849857273222</v>
      </c>
      <c r="AG137" t="str">
        <f t="shared" si="109"/>
        <v>1+3,84149344984494i</v>
      </c>
      <c r="AH137">
        <f t="shared" si="128"/>
        <v>3.9695178454318074</v>
      </c>
      <c r="AI137">
        <f t="shared" si="129"/>
        <v>1.3161328385353832</v>
      </c>
      <c r="AJ137" t="str">
        <f t="shared" si="110"/>
        <v>1+0,000973150182346647i</v>
      </c>
      <c r="AK137">
        <f t="shared" si="130"/>
        <v>1.0000004735105266</v>
      </c>
      <c r="AL137">
        <f t="shared" si="131"/>
        <v>9.7314987514884529E-4</v>
      </c>
      <c r="AM137" t="str">
        <f t="shared" si="111"/>
        <v>1-0,000639637922346503i</v>
      </c>
      <c r="AN137">
        <f t="shared" si="132"/>
        <v>1.000000204568315</v>
      </c>
      <c r="AO137">
        <f t="shared" si="133"/>
        <v>-6.3963783511341416E-4</v>
      </c>
      <c r="AP137" s="41" t="str">
        <f t="shared" si="134"/>
        <v>14,224520316422-54,5687449509215i</v>
      </c>
      <c r="AQ137">
        <f t="shared" si="135"/>
        <v>35.024387151851641</v>
      </c>
      <c r="AR137" s="43">
        <f t="shared" si="136"/>
        <v>-75.389748094339666</v>
      </c>
      <c r="AS137" t="str">
        <f t="shared" si="112"/>
        <v>-0,0000166666666666667</v>
      </c>
      <c r="AT137" t="str">
        <f t="shared" si="113"/>
        <v>9,76069632893687E-07i</v>
      </c>
      <c r="AU137">
        <f t="shared" si="137"/>
        <v>9.7606963289368691E-7</v>
      </c>
      <c r="AV137">
        <f t="shared" si="138"/>
        <v>1.5707963267948966</v>
      </c>
      <c r="AW137" t="str">
        <f t="shared" si="114"/>
        <v>1+0,000640358046210156i</v>
      </c>
      <c r="AX137">
        <f t="shared" si="139"/>
        <v>1.0000002050291927</v>
      </c>
      <c r="AY137">
        <f t="shared" si="140"/>
        <v>6.4035795868210639E-4</v>
      </c>
      <c r="AZ137" t="str">
        <f t="shared" si="115"/>
        <v>1+0,214093040116262i</v>
      </c>
      <c r="BA137">
        <f t="shared" si="141"/>
        <v>1.0226611510301071</v>
      </c>
      <c r="BB137">
        <f t="shared" si="142"/>
        <v>0.21090911064922191</v>
      </c>
      <c r="BC137" s="41" t="str">
        <f t="shared" si="143"/>
        <v>-3,64476377758024+17,0776184468412i</v>
      </c>
      <c r="BD137">
        <f t="shared" si="144"/>
        <v>24.841992348555415</v>
      </c>
      <c r="BE137" s="43">
        <f t="shared" si="145"/>
        <v>102.04751209264796</v>
      </c>
      <c r="BF137" s="41" t="str">
        <f t="shared" si="146"/>
        <v>265,526436682664+133,711964379874i</v>
      </c>
      <c r="BG137" s="20">
        <f t="shared" si="147"/>
        <v>49.463696134424957</v>
      </c>
      <c r="BH137" s="43">
        <f t="shared" si="148"/>
        <v>26.728594713445258</v>
      </c>
      <c r="BI137" s="41" t="str">
        <f t="shared" si="152"/>
        <v>880,05918899208+441,811115538329i</v>
      </c>
      <c r="BJ137" s="20">
        <f t="shared" si="149"/>
        <v>59.866379500407056</v>
      </c>
      <c r="BK137" s="43">
        <f t="shared" si="153"/>
        <v>26.657763998308315</v>
      </c>
      <c r="BL137">
        <f t="shared" si="150"/>
        <v>49.463696134424957</v>
      </c>
      <c r="BM137" s="43">
        <f t="shared" si="151"/>
        <v>26.728594713445258</v>
      </c>
    </row>
    <row r="138" spans="14:65" x14ac:dyDescent="0.25">
      <c r="N138" s="9">
        <v>20</v>
      </c>
      <c r="O138" s="34">
        <f t="shared" si="154"/>
        <v>158.48931924611153</v>
      </c>
      <c r="P138" s="33" t="str">
        <f t="shared" si="103"/>
        <v>66,7780509511648</v>
      </c>
      <c r="Q138" s="4" t="str">
        <f t="shared" si="104"/>
        <v>1+3,88110998719776i</v>
      </c>
      <c r="R138" s="4">
        <f t="shared" si="117"/>
        <v>4.0078691012464711</v>
      </c>
      <c r="S138" s="4">
        <f t="shared" si="118"/>
        <v>1.3186229894895221</v>
      </c>
      <c r="T138" s="4" t="str">
        <f t="shared" si="105"/>
        <v>1+0,000995817762032063i</v>
      </c>
      <c r="U138" s="4">
        <f t="shared" si="119"/>
        <v>1.0000004958263846</v>
      </c>
      <c r="V138" s="4">
        <f t="shared" si="120"/>
        <v>9.958174328636969E-4</v>
      </c>
      <c r="W138" t="str">
        <f t="shared" si="106"/>
        <v>1-0,00216627397786842i</v>
      </c>
      <c r="X138" s="4">
        <f t="shared" si="121"/>
        <v>1.0000023463687209</v>
      </c>
      <c r="Y138" s="4">
        <f t="shared" si="122"/>
        <v>-2.166270589288984E-3</v>
      </c>
      <c r="Z138" t="str">
        <f t="shared" si="107"/>
        <v>0,999999974881136+0,00042578189357913i</v>
      </c>
      <c r="AA138" s="4">
        <f t="shared" si="123"/>
        <v>1.0000000655262444</v>
      </c>
      <c r="AB138" s="4">
        <f t="shared" si="124"/>
        <v>4.2578187854425744E-4</v>
      </c>
      <c r="AC138" s="47" t="str">
        <f t="shared" si="125"/>
        <v>4,13150647428447-16,1414247547216i</v>
      </c>
      <c r="AD138" s="20">
        <f t="shared" si="126"/>
        <v>24.434428324227191</v>
      </c>
      <c r="AE138" s="43">
        <f t="shared" si="127"/>
        <v>-75.642989597287851</v>
      </c>
      <c r="AF138" t="str">
        <f t="shared" si="108"/>
        <v>223,849857273222</v>
      </c>
      <c r="AG138" t="str">
        <f t="shared" si="109"/>
        <v>1+3,93097332711875i</v>
      </c>
      <c r="AH138">
        <f t="shared" si="128"/>
        <v>4.0561744659862766</v>
      </c>
      <c r="AI138">
        <f t="shared" si="129"/>
        <v>1.3216902586648862</v>
      </c>
      <c r="AJ138" t="str">
        <f t="shared" si="110"/>
        <v>1+0,000995817762032063i</v>
      </c>
      <c r="AK138">
        <f t="shared" si="130"/>
        <v>1.0000004958263846</v>
      </c>
      <c r="AL138">
        <f t="shared" si="131"/>
        <v>9.958174328636969E-4</v>
      </c>
      <c r="AM138" t="str">
        <f t="shared" si="111"/>
        <v>1-0,000654537003534198i</v>
      </c>
      <c r="AN138">
        <f t="shared" si="132"/>
        <v>1.0000002142093216</v>
      </c>
      <c r="AO138">
        <f t="shared" si="133"/>
        <v>-6.545369100622603E-4</v>
      </c>
      <c r="AP138" s="41" t="str">
        <f t="shared" si="134"/>
        <v>13,6240458011811-53,4793650028072i</v>
      </c>
      <c r="AQ138">
        <f t="shared" si="135"/>
        <v>34.836810067652181</v>
      </c>
      <c r="AR138" s="43">
        <f t="shared" si="136"/>
        <v>-75.707719711465501</v>
      </c>
      <c r="AS138" t="str">
        <f t="shared" si="112"/>
        <v>-0,0000166666666666667</v>
      </c>
      <c r="AT138" t="str">
        <f t="shared" si="113"/>
        <v>9,98805215318159E-07i</v>
      </c>
      <c r="AU138">
        <f t="shared" si="137"/>
        <v>9.9880521531815896E-7</v>
      </c>
      <c r="AV138">
        <f t="shared" si="138"/>
        <v>1.5707963267948966</v>
      </c>
      <c r="AW138" t="str">
        <f t="shared" si="114"/>
        <v>1+0,000655273901237449i</v>
      </c>
      <c r="AX138">
        <f t="shared" si="139"/>
        <v>1.0000002146919198</v>
      </c>
      <c r="AY138">
        <f t="shared" si="140"/>
        <v>6.5527380744945522E-4</v>
      </c>
      <c r="AZ138" t="str">
        <f t="shared" si="115"/>
        <v>1+0,219079907647054i</v>
      </c>
      <c r="BA138">
        <f t="shared" si="141"/>
        <v>1.0237167606006272</v>
      </c>
      <c r="BB138">
        <f t="shared" si="142"/>
        <v>0.21567251997212808</v>
      </c>
      <c r="BC138" s="41" t="str">
        <f t="shared" si="143"/>
        <v>-3,64476370714354+16,6889918835315i</v>
      </c>
      <c r="BD138">
        <f t="shared" si="144"/>
        <v>24.650953374879926</v>
      </c>
      <c r="BE138" s="43">
        <f t="shared" si="145"/>
        <v>102.3195807277616</v>
      </c>
      <c r="BF138" s="41" t="str">
        <f t="shared" si="146"/>
        <v>254,325741866883+127,782357143689i</v>
      </c>
      <c r="BG138" s="20">
        <f t="shared" si="147"/>
        <v>49.085381699107131</v>
      </c>
      <c r="BH138" s="43">
        <f t="shared" si="148"/>
        <v>26.676591130473732</v>
      </c>
      <c r="BI138" s="41" t="str">
        <f t="shared" si="152"/>
        <v>842,860260787662+422,291238440087i</v>
      </c>
      <c r="BJ138" s="20">
        <f t="shared" si="149"/>
        <v>59.487763442532113</v>
      </c>
      <c r="BK138" s="43">
        <f t="shared" si="153"/>
        <v>26.61186101629611</v>
      </c>
      <c r="BL138">
        <f t="shared" si="150"/>
        <v>49.085381699107131</v>
      </c>
      <c r="BM138" s="43">
        <f t="shared" si="151"/>
        <v>26.676591130473732</v>
      </c>
    </row>
    <row r="139" spans="14:65" x14ac:dyDescent="0.25">
      <c r="N139" s="9">
        <v>21</v>
      </c>
      <c r="O139" s="34">
        <f t="shared" si="154"/>
        <v>162.18100973589304</v>
      </c>
      <c r="P139" s="33" t="str">
        <f t="shared" si="103"/>
        <v>66,7780509511648</v>
      </c>
      <c r="Q139" s="4" t="str">
        <f t="shared" si="104"/>
        <v>1+3,9715126521703i</v>
      </c>
      <c r="R139" s="4">
        <f t="shared" si="117"/>
        <v>4.0954746667936757</v>
      </c>
      <c r="S139" s="4">
        <f t="shared" si="118"/>
        <v>1.324130630893815</v>
      </c>
      <c r="T139" s="4" t="str">
        <f t="shared" si="105"/>
        <v>1+0,00101901333747611i</v>
      </c>
      <c r="U139" s="4">
        <f t="shared" si="119"/>
        <v>1.0000005191939561</v>
      </c>
      <c r="V139" s="4">
        <f t="shared" si="120"/>
        <v>1.0190129847658608E-3</v>
      </c>
      <c r="W139" t="str">
        <f t="shared" si="106"/>
        <v>1-0,0022167329809129i</v>
      </c>
      <c r="X139" s="4">
        <f t="shared" si="121"/>
        <v>1.000002456949536</v>
      </c>
      <c r="Y139" s="4">
        <f t="shared" si="122"/>
        <v>-2.2167293499850984E-3</v>
      </c>
      <c r="Z139" t="str">
        <f t="shared" si="107"/>
        <v>0,99999997369732+0,000435699627939552i</v>
      </c>
      <c r="AA139" s="4">
        <f t="shared" si="123"/>
        <v>1.0000000686144008</v>
      </c>
      <c r="AB139" s="4">
        <f t="shared" si="124"/>
        <v>4.3569961182939602E-4</v>
      </c>
      <c r="AC139" s="47" t="str">
        <f t="shared" si="125"/>
        <v>3,95548214655163-15,8183239944424i</v>
      </c>
      <c r="AD139" s="20">
        <f t="shared" si="126"/>
        <v>24.246615160138436</v>
      </c>
      <c r="AE139" s="43">
        <f t="shared" si="127"/>
        <v>-75.960684515884694</v>
      </c>
      <c r="AF139" t="str">
        <f t="shared" si="108"/>
        <v>223,849857273222</v>
      </c>
      <c r="AG139" t="str">
        <f t="shared" si="109"/>
        <v>1+4,02253745848316i</v>
      </c>
      <c r="AH139">
        <f t="shared" si="128"/>
        <v>4.1449737761414314</v>
      </c>
      <c r="AI139">
        <f t="shared" si="129"/>
        <v>1.3271364025695285</v>
      </c>
      <c r="AJ139" t="str">
        <f t="shared" si="110"/>
        <v>1+0,00101901333747611i</v>
      </c>
      <c r="AK139">
        <f t="shared" si="130"/>
        <v>1.0000005191939561</v>
      </c>
      <c r="AL139">
        <f t="shared" si="131"/>
        <v>1.0190129847658608E-3</v>
      </c>
      <c r="AM139" t="str">
        <f t="shared" si="111"/>
        <v>1-0,000669783128904986i</v>
      </c>
      <c r="AN139">
        <f t="shared" si="132"/>
        <v>1.0000002243046948</v>
      </c>
      <c r="AO139">
        <f t="shared" si="133"/>
        <v>-6.6978302874800156E-4</v>
      </c>
      <c r="AP139" s="41" t="str">
        <f t="shared" si="134"/>
        <v>13,0473769107925-52,4053872262669i</v>
      </c>
      <c r="AQ139">
        <f t="shared" si="135"/>
        <v>34.648707149019636</v>
      </c>
      <c r="AR139" s="43">
        <f t="shared" si="136"/>
        <v>-76.019305302849588</v>
      </c>
      <c r="AS139" t="str">
        <f t="shared" si="112"/>
        <v>-0,0000166666666666667</v>
      </c>
      <c r="AT139" t="str">
        <f t="shared" si="113"/>
        <v>1,02207037748854E-06i</v>
      </c>
      <c r="AU139">
        <f t="shared" si="137"/>
        <v>1.0220703774885399E-6</v>
      </c>
      <c r="AV139">
        <f t="shared" si="138"/>
        <v>1.5707963267948966</v>
      </c>
      <c r="AW139" t="str">
        <f t="shared" si="114"/>
        <v>1+0,00067053719116075i</v>
      </c>
      <c r="AX139">
        <f t="shared" si="139"/>
        <v>1.000000224810037</v>
      </c>
      <c r="AY139">
        <f t="shared" si="140"/>
        <v>6.7053709066510533E-4</v>
      </c>
      <c r="AZ139" t="str">
        <f t="shared" si="115"/>
        <v>1+0,224182934244744i</v>
      </c>
      <c r="BA139">
        <f t="shared" si="141"/>
        <v>1.0248209541215398</v>
      </c>
      <c r="BB139">
        <f t="shared" si="142"/>
        <v>0.22053661145023215</v>
      </c>
      <c r="BC139" s="41" t="str">
        <f t="shared" si="143"/>
        <v>-3,64476363338726+16,3092140446193i</v>
      </c>
      <c r="BD139">
        <f t="shared" si="144"/>
        <v>24.460316945688504</v>
      </c>
      <c r="BE139" s="43">
        <f t="shared" si="145"/>
        <v>102.59739811891271</v>
      </c>
      <c r="BF139" s="41" t="str">
        <f t="shared" si="146"/>
        <v>243,567634372234+122,164857013862i</v>
      </c>
      <c r="BG139" s="20">
        <f t="shared" si="147"/>
        <v>48.706932105826937</v>
      </c>
      <c r="BH139" s="43">
        <f t="shared" si="148"/>
        <v>26.63671360302817</v>
      </c>
      <c r="BI139" s="41" t="str">
        <f t="shared" si="152"/>
        <v>807,136072488792+403,797712314814i</v>
      </c>
      <c r="BJ139" s="20">
        <f t="shared" si="149"/>
        <v>59.109024094708147</v>
      </c>
      <c r="BK139" s="43">
        <f t="shared" si="153"/>
        <v>26.578092816063165</v>
      </c>
      <c r="BL139">
        <f t="shared" si="150"/>
        <v>48.706932105826937</v>
      </c>
      <c r="BM139" s="43">
        <f t="shared" si="151"/>
        <v>26.63671360302817</v>
      </c>
    </row>
    <row r="140" spans="14:65" x14ac:dyDescent="0.25">
      <c r="N140" s="9">
        <v>22</v>
      </c>
      <c r="O140" s="34">
        <f t="shared" si="154"/>
        <v>165.95869074375622</v>
      </c>
      <c r="P140" s="33" t="str">
        <f t="shared" si="103"/>
        <v>66,7780509511648</v>
      </c>
      <c r="Q140" s="4" t="str">
        <f t="shared" si="104"/>
        <v>1+4,06402106572024i</v>
      </c>
      <c r="R140" s="4">
        <f t="shared" si="117"/>
        <v>4.185243986032102</v>
      </c>
      <c r="S140" s="4">
        <f t="shared" si="118"/>
        <v>1.3295277041967799</v>
      </c>
      <c r="T140" s="4" t="str">
        <f t="shared" si="105"/>
        <v>1+0,00104274920727993i</v>
      </c>
      <c r="U140" s="4">
        <f t="shared" si="119"/>
        <v>1.0000005436628068</v>
      </c>
      <c r="V140" s="4">
        <f t="shared" si="120"/>
        <v>1.0427488293440999E-3</v>
      </c>
      <c r="W140" t="str">
        <f t="shared" si="106"/>
        <v>1-0,00226836732512581i</v>
      </c>
      <c r="X140" s="4">
        <f t="shared" si="121"/>
        <v>1.0000025727418513</v>
      </c>
      <c r="Y140" s="4">
        <f t="shared" si="122"/>
        <v>-2.2683634345171152E-3</v>
      </c>
      <c r="Z140" t="str">
        <f t="shared" si="107"/>
        <v>0,999999972457713+0,000445848376009877i</v>
      </c>
      <c r="AA140" s="4">
        <f t="shared" si="123"/>
        <v>1.0000000718480979</v>
      </c>
      <c r="AB140" s="4">
        <f t="shared" si="124"/>
        <v>4.4584835874753384E-4</v>
      </c>
      <c r="AC140" s="47" t="str">
        <f t="shared" si="125"/>
        <v>3,78645432661162-15,4998474745568i</v>
      </c>
      <c r="AD140" s="20">
        <f t="shared" si="126"/>
        <v>24.058285607640968</v>
      </c>
      <c r="AE140" s="43">
        <f t="shared" si="127"/>
        <v>-76.272093969638306</v>
      </c>
      <c r="AF140" t="str">
        <f t="shared" si="108"/>
        <v>223,849857273222</v>
      </c>
      <c r="AG140" t="str">
        <f t="shared" si="109"/>
        <v>1+4,11623439245267i</v>
      </c>
      <c r="AH140">
        <f t="shared" si="128"/>
        <v>4.2359633583885268</v>
      </c>
      <c r="AI140">
        <f t="shared" si="129"/>
        <v>1.3324728650341897</v>
      </c>
      <c r="AJ140" t="str">
        <f t="shared" si="110"/>
        <v>1+0,00104274920727993i</v>
      </c>
      <c r="AK140">
        <f t="shared" si="130"/>
        <v>1.0000005436628068</v>
      </c>
      <c r="AL140">
        <f t="shared" si="131"/>
        <v>1.0427488293440999E-3</v>
      </c>
      <c r="AM140" t="str">
        <f t="shared" si="111"/>
        <v>1-0,000685384382156351i</v>
      </c>
      <c r="AN140">
        <f t="shared" si="132"/>
        <v>1.0000002348758481</v>
      </c>
      <c r="AO140">
        <f t="shared" si="133"/>
        <v>-6.8538427483620993E-4</v>
      </c>
      <c r="AP140" s="41" t="str">
        <f t="shared" si="134"/>
        <v>12,4937013079217-51,3470069475998i</v>
      </c>
      <c r="AQ140">
        <f t="shared" si="135"/>
        <v>34.460099303557897</v>
      </c>
      <c r="AR140" s="43">
        <f t="shared" si="136"/>
        <v>-76.324596001443155</v>
      </c>
      <c r="AS140" t="str">
        <f t="shared" si="112"/>
        <v>-0,0000166666666666667</v>
      </c>
      <c r="AT140" t="str">
        <f t="shared" si="113"/>
        <v>1,04587745490177E-06i</v>
      </c>
      <c r="AU140">
        <f t="shared" si="137"/>
        <v>1.0458774549017701E-6</v>
      </c>
      <c r="AV140">
        <f t="shared" si="138"/>
        <v>1.5707963267948966</v>
      </c>
      <c r="AW140" t="str">
        <f t="shared" si="114"/>
        <v>1+0,000686156008778418i</v>
      </c>
      <c r="AX140">
        <f t="shared" si="139"/>
        <v>1.0000002354050066</v>
      </c>
      <c r="AY140">
        <f t="shared" si="140"/>
        <v>6.8615590109539603E-4</v>
      </c>
      <c r="AZ140" t="str">
        <f t="shared" si="115"/>
        <v>1+0,229404825601584i</v>
      </c>
      <c r="BA140">
        <f t="shared" si="141"/>
        <v>1.0259759129771484</v>
      </c>
      <c r="BB140">
        <f t="shared" si="142"/>
        <v>0.22550304301796598</v>
      </c>
      <c r="BC140" s="41" t="str">
        <f t="shared" si="143"/>
        <v>-3,64476355615496+15,9380835668667i</v>
      </c>
      <c r="BD140">
        <f t="shared" si="144"/>
        <v>24.27010021775585</v>
      </c>
      <c r="BE140" s="43">
        <f t="shared" si="145"/>
        <v>102.88105879506573</v>
      </c>
      <c r="BF140" s="41" t="str">
        <f t="shared" si="146"/>
        <v>233,237133586495+116,842104680885i</v>
      </c>
      <c r="BG140" s="20">
        <f t="shared" si="147"/>
        <v>48.328385825396829</v>
      </c>
      <c r="BH140" s="43">
        <f t="shared" si="148"/>
        <v>26.608964825427392</v>
      </c>
      <c r="BI140" s="41" t="str">
        <f t="shared" si="152"/>
        <v>772,836300430732+386,273355145375i</v>
      </c>
      <c r="BJ140" s="20">
        <f t="shared" si="149"/>
        <v>58.73019952131375</v>
      </c>
      <c r="BK140" s="43">
        <f t="shared" si="153"/>
        <v>26.556462793622586</v>
      </c>
      <c r="BL140">
        <f t="shared" si="150"/>
        <v>48.328385825396829</v>
      </c>
      <c r="BM140" s="43">
        <f t="shared" si="151"/>
        <v>26.608964825427392</v>
      </c>
    </row>
    <row r="141" spans="14:65" x14ac:dyDescent="0.25">
      <c r="N141" s="9">
        <v>23</v>
      </c>
      <c r="O141" s="34">
        <f t="shared" si="154"/>
        <v>169.82436524617444</v>
      </c>
      <c r="P141" s="33" t="str">
        <f t="shared" si="103"/>
        <v>66,7780509511648</v>
      </c>
      <c r="Q141" s="4" t="str">
        <f t="shared" si="104"/>
        <v>1+4,15868427703287i</v>
      </c>
      <c r="R141" s="4">
        <f t="shared" si="117"/>
        <v>4.2772251420798977</v>
      </c>
      <c r="S141" s="4">
        <f t="shared" si="118"/>
        <v>1.3348158127940066</v>
      </c>
      <c r="T141" s="4" t="str">
        <f t="shared" si="105"/>
        <v>1+0,00106703795651586i</v>
      </c>
      <c r="U141" s="4">
        <f t="shared" si="119"/>
        <v>1.0000005692848384</v>
      </c>
      <c r="V141" s="4">
        <f t="shared" si="120"/>
        <v>1.0670375515503345E-3</v>
      </c>
      <c r="W141" t="str">
        <f t="shared" si="106"/>
        <v>1-0,00232120438771987i</v>
      </c>
      <c r="X141" s="4">
        <f t="shared" si="121"/>
        <v>1.0000026939912761</v>
      </c>
      <c r="Y141" s="4">
        <f t="shared" si="122"/>
        <v>-2.3212002188581515E-3</v>
      </c>
      <c r="Z141" t="str">
        <f t="shared" si="107"/>
        <v>0,999999971159685+0,00045623351879066i</v>
      </c>
      <c r="AA141" s="4">
        <f t="shared" si="123"/>
        <v>1.0000000752341944</v>
      </c>
      <c r="AB141" s="4">
        <f t="shared" si="124"/>
        <v>4.5623350029372616E-4</v>
      </c>
      <c r="AC141" s="47" t="str">
        <f t="shared" si="125"/>
        <v>3,62418274989136-15,1860490499326i</v>
      </c>
      <c r="AD141" s="20">
        <f t="shared" si="126"/>
        <v>23.869460254273797</v>
      </c>
      <c r="AE141" s="43">
        <f t="shared" si="127"/>
        <v>-76.577310982120082</v>
      </c>
      <c r="AF141" t="str">
        <f t="shared" si="108"/>
        <v>223,849857273222</v>
      </c>
      <c r="AG141" t="str">
        <f t="shared" si="109"/>
        <v>1+4,21211380838183i</v>
      </c>
      <c r="AH141">
        <f t="shared" si="128"/>
        <v>4.3291919263022844</v>
      </c>
      <c r="AI141">
        <f t="shared" si="129"/>
        <v>1.3377012592296507</v>
      </c>
      <c r="AJ141" t="str">
        <f t="shared" si="110"/>
        <v>1+0,00106703795651586i</v>
      </c>
      <c r="AK141">
        <f t="shared" si="130"/>
        <v>1.0000005692848384</v>
      </c>
      <c r="AL141">
        <f t="shared" si="131"/>
        <v>1.0670375515503345E-3</v>
      </c>
      <c r="AM141" t="str">
        <f t="shared" si="111"/>
        <v>1-0,000701349035279266i</v>
      </c>
      <c r="AN141">
        <f t="shared" si="132"/>
        <v>1.0000002459452044</v>
      </c>
      <c r="AO141">
        <f t="shared" si="133"/>
        <v>-7.0134892028366456E-4</v>
      </c>
      <c r="AP141" s="41" t="str">
        <f t="shared" si="134"/>
        <v>11,9622233201618-50,3043866129755i</v>
      </c>
      <c r="AQ141">
        <f t="shared" si="135"/>
        <v>34.271006720440951</v>
      </c>
      <c r="AR141" s="43">
        <f t="shared" si="136"/>
        <v>-76.623683988007159</v>
      </c>
      <c r="AS141" t="str">
        <f t="shared" si="112"/>
        <v>-0,0000166666666666667</v>
      </c>
      <c r="AT141" t="str">
        <f t="shared" si="113"/>
        <v>1,07023907038541E-06i</v>
      </c>
      <c r="AU141">
        <f t="shared" si="137"/>
        <v>1.0702390703854099E-6</v>
      </c>
      <c r="AV141">
        <f t="shared" si="138"/>
        <v>1.5707963267948966</v>
      </c>
      <c r="AW141" t="str">
        <f t="shared" si="114"/>
        <v>1+0,000702138635394285i</v>
      </c>
      <c r="AX141">
        <f t="shared" si="139"/>
        <v>1.0000002464993012</v>
      </c>
      <c r="AY141">
        <f t="shared" si="140"/>
        <v>7.0213852000984957E-4</v>
      </c>
      <c r="AZ141" t="str">
        <f t="shared" si="115"/>
        <v>1+0,234748350433489i</v>
      </c>
      <c r="BA141">
        <f t="shared" si="141"/>
        <v>1.0271839114935768</v>
      </c>
      <c r="BB141">
        <f t="shared" si="142"/>
        <v>0.2305734675071725</v>
      </c>
      <c r="BC141" s="41" t="str">
        <f t="shared" si="143"/>
        <v>-3,64476347528281+15,5754036719818i</v>
      </c>
      <c r="BD141">
        <f t="shared" si="144"/>
        <v>24.080320994489544</v>
      </c>
      <c r="BE141" s="43">
        <f t="shared" si="145"/>
        <v>103.17065698202765</v>
      </c>
      <c r="BF141" s="41" t="str">
        <f t="shared" si="146"/>
        <v>223,319555220662+111,797666221639i</v>
      </c>
      <c r="BG141" s="20">
        <f t="shared" si="147"/>
        <v>47.949781248763358</v>
      </c>
      <c r="BH141" s="43">
        <f t="shared" si="148"/>
        <v>26.593345999907669</v>
      </c>
      <c r="BI141" s="41" t="str">
        <f t="shared" si="152"/>
        <v>739,911653328029+369,664047999393i</v>
      </c>
      <c r="BJ141" s="20">
        <f t="shared" si="149"/>
        <v>58.351327714930498</v>
      </c>
      <c r="BK141" s="43">
        <f t="shared" si="153"/>
        <v>26.546972994020486</v>
      </c>
      <c r="BL141">
        <f t="shared" si="150"/>
        <v>47.949781248763358</v>
      </c>
      <c r="BM141" s="43">
        <f t="shared" si="151"/>
        <v>26.593345999907669</v>
      </c>
    </row>
    <row r="142" spans="14:65" x14ac:dyDescent="0.25">
      <c r="N142" s="9">
        <v>24</v>
      </c>
      <c r="O142" s="34">
        <f t="shared" si="154"/>
        <v>173.78008287493768</v>
      </c>
      <c r="P142" s="33" t="str">
        <f t="shared" si="103"/>
        <v>66,7780509511648</v>
      </c>
      <c r="Q142" s="4" t="str">
        <f t="shared" si="104"/>
        <v>1+4,2555524777959i</v>
      </c>
      <c r="R142" s="4">
        <f t="shared" si="117"/>
        <v>4.3714673613415931</v>
      </c>
      <c r="S142" s="4">
        <f t="shared" si="118"/>
        <v>1.3399965769793016</v>
      </c>
      <c r="T142" s="4" t="str">
        <f t="shared" si="105"/>
        <v>1+0,00109189246340026i</v>
      </c>
      <c r="U142" s="4">
        <f t="shared" si="119"/>
        <v>1.0000005961143981</v>
      </c>
      <c r="V142" s="4">
        <f t="shared" si="120"/>
        <v>1.0918920294718953E-3</v>
      </c>
      <c r="W142" t="str">
        <f t="shared" si="106"/>
        <v>1-0,00237527218360509i</v>
      </c>
      <c r="X142" s="4">
        <f t="shared" si="121"/>
        <v>1.0000028209549943</v>
      </c>
      <c r="Y142" s="4">
        <f t="shared" si="122"/>
        <v>-2.3752677165899579E-3</v>
      </c>
      <c r="Z142" t="str">
        <f t="shared" si="107"/>
        <v>0,999999969800483+0,000466860562622074i</v>
      </c>
      <c r="AA142" s="4">
        <f t="shared" si="123"/>
        <v>1.0000000787798728</v>
      </c>
      <c r="AB142" s="4">
        <f t="shared" si="124"/>
        <v>4.668605428022523E-4</v>
      </c>
      <c r="AC142" s="47" t="str">
        <f t="shared" si="125"/>
        <v>3,46843221821067-14,8769730149099i</v>
      </c>
      <c r="AD142" s="20">
        <f t="shared" si="126"/>
        <v>23.680158975933267</v>
      </c>
      <c r="AE142" s="43">
        <f t="shared" si="127"/>
        <v>-76.876429572016406</v>
      </c>
      <c r="AF142" t="str">
        <f t="shared" si="108"/>
        <v>223,849857273222</v>
      </c>
      <c r="AG142" t="str">
        <f t="shared" si="109"/>
        <v>1+4,31022654280614i</v>
      </c>
      <c r="AH142">
        <f t="shared" si="128"/>
        <v>4.4247093520716776</v>
      </c>
      <c r="AI142">
        <f t="shared" si="129"/>
        <v>1.3428232134277467</v>
      </c>
      <c r="AJ142" t="str">
        <f t="shared" si="110"/>
        <v>1+0,00109189246340026i</v>
      </c>
      <c r="AK142">
        <f t="shared" si="130"/>
        <v>1.0000005961143981</v>
      </c>
      <c r="AL142">
        <f t="shared" si="131"/>
        <v>1.0918920294718953E-3</v>
      </c>
      <c r="AM142" t="str">
        <f t="shared" si="111"/>
        <v>1-0,000717685552944143i</v>
      </c>
      <c r="AN142">
        <f t="shared" si="132"/>
        <v>1.0000002575362432</v>
      </c>
      <c r="AO142">
        <f t="shared" si="133"/>
        <v>-7.176854297241377E-4</v>
      </c>
      <c r="AP142" s="41" t="str">
        <f t="shared" si="134"/>
        <v>11,4521646021422-49,2776576772419i</v>
      </c>
      <c r="AQ142">
        <f t="shared" si="135"/>
        <v>34.081448885609127</v>
      </c>
      <c r="AR142" s="43">
        <f t="shared" si="136"/>
        <v>-76.916662302773361</v>
      </c>
      <c r="AS142" t="str">
        <f t="shared" si="112"/>
        <v>-0,0000166666666666667</v>
      </c>
      <c r="AT142" t="str">
        <f t="shared" si="113"/>
        <v>1,09516814079046E-06i</v>
      </c>
      <c r="AU142">
        <f t="shared" si="137"/>
        <v>1.09516814079046E-6</v>
      </c>
      <c r="AV142">
        <f t="shared" si="138"/>
        <v>1.5707963267948966</v>
      </c>
      <c r="AW142" t="str">
        <f t="shared" si="114"/>
        <v>1+0,000718493545208546i</v>
      </c>
      <c r="AX142">
        <f t="shared" si="139"/>
        <v>1.000000258116454</v>
      </c>
      <c r="AY142">
        <f t="shared" si="140"/>
        <v>7.1849342157189768E-4</v>
      </c>
      <c r="AZ142" t="str">
        <f t="shared" si="115"/>
        <v>1+0,240216341948057i</v>
      </c>
      <c r="BA142">
        <f t="shared" si="141"/>
        <v>1.0284473204490865</v>
      </c>
      <c r="BB142">
        <f t="shared" si="142"/>
        <v>0.23574953000643245</v>
      </c>
      <c r="BC142" s="41" t="str">
        <f t="shared" si="143"/>
        <v>-3,64476339059931+15,2209820622832i</v>
      </c>
      <c r="BD142">
        <f t="shared" si="144"/>
        <v>23.89099774258959</v>
      </c>
      <c r="BE142" s="43">
        <f t="shared" si="145"/>
        <v>103.4662864508974</v>
      </c>
      <c r="BF142" s="41" t="str">
        <f t="shared" si="146"/>
        <v>213,800524629305+107,015991185307i</v>
      </c>
      <c r="BG142" s="20">
        <f t="shared" si="147"/>
        <v>47.571156718522836</v>
      </c>
      <c r="BH142" s="43">
        <f t="shared" si="148"/>
        <v>26.589856878881008</v>
      </c>
      <c r="BI142" s="41" t="str">
        <f t="shared" si="152"/>
        <v>708,313913291626+353,918594660017i</v>
      </c>
      <c r="BJ142" s="20">
        <f t="shared" si="149"/>
        <v>57.972446628198718</v>
      </c>
      <c r="BK142" s="43">
        <f t="shared" si="153"/>
        <v>26.549624148124018</v>
      </c>
      <c r="BL142">
        <f t="shared" si="150"/>
        <v>47.571156718522836</v>
      </c>
      <c r="BM142" s="43">
        <f t="shared" si="151"/>
        <v>26.589856878881008</v>
      </c>
    </row>
    <row r="143" spans="14:65" x14ac:dyDescent="0.25">
      <c r="N143" s="9">
        <v>25</v>
      </c>
      <c r="O143" s="34">
        <f t="shared" si="154"/>
        <v>177.82794100389242</v>
      </c>
      <c r="P143" s="33" t="str">
        <f t="shared" si="103"/>
        <v>66,7780509511648</v>
      </c>
      <c r="Q143" s="4" t="str">
        <f t="shared" si="104"/>
        <v>1+4,35467702881156i</v>
      </c>
      <c r="R143" s="4">
        <f t="shared" si="117"/>
        <v>4.4680210412730901</v>
      </c>
      <c r="S143" s="4">
        <f t="shared" si="118"/>
        <v>1.3450716307458788</v>
      </c>
      <c r="T143" s="4" t="str">
        <f t="shared" si="105"/>
        <v>1+0,00111732590612166i</v>
      </c>
      <c r="U143" s="4">
        <f t="shared" si="119"/>
        <v>1.0000006242083954</v>
      </c>
      <c r="V143" s="4">
        <f t="shared" si="120"/>
        <v>1.1173254411590559E-3</v>
      </c>
      <c r="W143" t="str">
        <f t="shared" si="106"/>
        <v>1-0,0024305993802425i</v>
      </c>
      <c r="X143" s="4">
        <f t="shared" si="121"/>
        <v>1.0000029539023108</v>
      </c>
      <c r="Y143" s="4">
        <f t="shared" si="122"/>
        <v>-2.4305945937503131E-3</v>
      </c>
      <c r="Z143" t="str">
        <f t="shared" si="107"/>
        <v>0,999999968377223+0,00047773514210342i</v>
      </c>
      <c r="AA143" s="4">
        <f t="shared" si="123"/>
        <v>1.0000000824926532</v>
      </c>
      <c r="AB143" s="4">
        <f t="shared" si="124"/>
        <v>4.7773512086609878E-4</v>
      </c>
      <c r="AC143" s="47" t="str">
        <f t="shared" si="125"/>
        <v>3,31897278165625-14,5726546602911i</v>
      </c>
      <c r="AD143" s="20">
        <f t="shared" si="126"/>
        <v>23.4904009523271</v>
      </c>
      <c r="AE143" s="43">
        <f t="shared" si="127"/>
        <v>-77.169544570476944</v>
      </c>
      <c r="AF143" t="str">
        <f t="shared" si="108"/>
        <v>223,849857273222</v>
      </c>
      <c r="AG143" t="str">
        <f t="shared" si="109"/>
        <v>1+4,41062461639604i</v>
      </c>
      <c r="AH143">
        <f t="shared" si="128"/>
        <v>4.5225666945616974</v>
      </c>
      <c r="AI143">
        <f t="shared" si="129"/>
        <v>1.3478403679081654</v>
      </c>
      <c r="AJ143" t="str">
        <f t="shared" si="110"/>
        <v>1+0,00111732590612166i</v>
      </c>
      <c r="AK143">
        <f t="shared" si="130"/>
        <v>1.0000006242083954</v>
      </c>
      <c r="AL143">
        <f t="shared" si="131"/>
        <v>1.1173254411590559E-3</v>
      </c>
      <c r="AM143" t="str">
        <f t="shared" si="111"/>
        <v>1-0,000734402596988882i</v>
      </c>
      <c r="AN143">
        <f t="shared" si="132"/>
        <v>1.0000002696735508</v>
      </c>
      <c r="AO143">
        <f t="shared" si="133"/>
        <v>-7.3440246495626955E-4</v>
      </c>
      <c r="AP143" s="41" t="str">
        <f t="shared" si="134"/>
        <v>10,9627646817201-48,266922440856i</v>
      </c>
      <c r="AQ143">
        <f t="shared" si="135"/>
        <v>33.891444597505675</v>
      </c>
      <c r="AR143" s="43">
        <f t="shared" si="136"/>
        <v>-77.203624668083037</v>
      </c>
      <c r="AS143" t="str">
        <f t="shared" si="112"/>
        <v>-0,0000166666666666667</v>
      </c>
      <c r="AT143" t="str">
        <f t="shared" si="113"/>
        <v>1,12067788384002E-06i</v>
      </c>
      <c r="AU143">
        <f t="shared" si="137"/>
        <v>1.12067788384002E-6</v>
      </c>
      <c r="AV143">
        <f t="shared" si="138"/>
        <v>1.5707963267948966</v>
      </c>
      <c r="AW143" t="str">
        <f t="shared" si="114"/>
        <v>1+0,000735229409810863i</v>
      </c>
      <c r="AX143">
        <f t="shared" si="139"/>
        <v>1.0000002702811062</v>
      </c>
      <c r="AY143">
        <f t="shared" si="140"/>
        <v>7.3522927733180932E-4</v>
      </c>
      <c r="AZ143" t="str">
        <f t="shared" si="115"/>
        <v>1+0,245811699346765i</v>
      </c>
      <c r="BA143">
        <f t="shared" si="141"/>
        <v>1.0297686106770512</v>
      </c>
      <c r="BB143">
        <f t="shared" si="142"/>
        <v>0.24103286504305158</v>
      </c>
      <c r="BC143" s="41" t="str">
        <f t="shared" si="143"/>
        <v>-3,64476330192477+14,8746308187418i</v>
      </c>
      <c r="BD143">
        <f t="shared" si="144"/>
        <v>23.702149608403616</v>
      </c>
      <c r="BE143" s="43">
        <f t="shared" si="145"/>
        <v>103.76804035634765</v>
      </c>
      <c r="BF143" s="41" t="str">
        <f t="shared" si="146"/>
        <v>204,665987926179+102,482371742041i</v>
      </c>
      <c r="BG143" s="20">
        <f t="shared" si="147"/>
        <v>47.192550560730702</v>
      </c>
      <c r="BH143" s="43">
        <f t="shared" si="148"/>
        <v>26.5984957858707</v>
      </c>
      <c r="BI143" s="41" t="str">
        <f t="shared" si="152"/>
        <v>677,995969665006+338,988585002609i</v>
      </c>
      <c r="BJ143" s="20">
        <f t="shared" si="149"/>
        <v>57.593594205909291</v>
      </c>
      <c r="BK143" s="43">
        <f t="shared" si="153"/>
        <v>26.564415688264624</v>
      </c>
      <c r="BL143">
        <f t="shared" si="150"/>
        <v>47.192550560730702</v>
      </c>
      <c r="BM143" s="43">
        <f t="shared" si="151"/>
        <v>26.5984957858707</v>
      </c>
    </row>
    <row r="144" spans="14:65" x14ac:dyDescent="0.25">
      <c r="N144" s="9">
        <v>26</v>
      </c>
      <c r="O144" s="34">
        <f t="shared" si="154"/>
        <v>181.9700858609983</v>
      </c>
      <c r="P144" s="33" t="str">
        <f t="shared" si="103"/>
        <v>66,7780509511648</v>
      </c>
      <c r="Q144" s="4" t="str">
        <f t="shared" si="104"/>
        <v>1+4,45611048722881i</v>
      </c>
      <c r="R144" s="4">
        <f t="shared" si="117"/>
        <v>4.5669377786861274</v>
      </c>
      <c r="S144" s="4">
        <f t="shared" si="118"/>
        <v>1.35004261877682</v>
      </c>
      <c r="T144" s="4" t="str">
        <f t="shared" si="105"/>
        <v>1+0,00114335176982803i</v>
      </c>
      <c r="U144" s="4">
        <f t="shared" si="119"/>
        <v>1.0000006536264212</v>
      </c>
      <c r="V144" s="4">
        <f t="shared" si="120"/>
        <v>1.1433512716116411E-3</v>
      </c>
      <c r="W144" t="str">
        <f t="shared" si="106"/>
        <v>1-0,00248721531284408i</v>
      </c>
      <c r="X144" s="4">
        <f t="shared" si="121"/>
        <v>1.0000030931152226</v>
      </c>
      <c r="Y144" s="4">
        <f t="shared" si="122"/>
        <v>-2.4872101840261542E-3</v>
      </c>
      <c r="Z144" t="str">
        <f t="shared" si="107"/>
        <v>0,999999966886888+0,000488863023080676i</v>
      </c>
      <c r="AA144" s="4">
        <f t="shared" si="123"/>
        <v>1.0000000863804124</v>
      </c>
      <c r="AB144" s="4">
        <f t="shared" si="124"/>
        <v>4.888630003244762E-4</v>
      </c>
      <c r="AC144" s="47" t="str">
        <f t="shared" si="125"/>
        <v>3,17557988702668-14,2731208143433i</v>
      </c>
      <c r="AD144" s="20">
        <f t="shared" si="126"/>
        <v>23.300204682922853</v>
      </c>
      <c r="AE144" s="43">
        <f t="shared" si="127"/>
        <v>-77.456751449322056</v>
      </c>
      <c r="AF144" t="str">
        <f t="shared" si="108"/>
        <v>223,849857273222</v>
      </c>
      <c r="AG144" t="str">
        <f t="shared" si="109"/>
        <v>1+4,51336126153903i</v>
      </c>
      <c r="AH144">
        <f t="shared" si="128"/>
        <v>4.6228162279244005</v>
      </c>
      <c r="AI144">
        <f t="shared" si="129"/>
        <v>1.3527543720514035</v>
      </c>
      <c r="AJ144" t="str">
        <f t="shared" si="110"/>
        <v>1+0,00114335176982803i</v>
      </c>
      <c r="AK144">
        <f t="shared" si="130"/>
        <v>1.0000006536264212</v>
      </c>
      <c r="AL144">
        <f t="shared" si="131"/>
        <v>1.1433512716116411E-3</v>
      </c>
      <c r="AM144" t="str">
        <f t="shared" si="111"/>
        <v>1-0,000751509031011505i</v>
      </c>
      <c r="AN144">
        <f t="shared" si="132"/>
        <v>1.000000282382872</v>
      </c>
      <c r="AO144">
        <f t="shared" si="133"/>
        <v>-7.5150888953601398E-4</v>
      </c>
      <c r="AP144" s="41" t="str">
        <f t="shared" si="134"/>
        <v>10,4932813989653-47,2722558313604i</v>
      </c>
      <c r="AQ144">
        <f t="shared" si="135"/>
        <v>33.701011983252236</v>
      </c>
      <c r="AR144" s="43">
        <f t="shared" si="136"/>
        <v>-77.484665321688041</v>
      </c>
      <c r="AS144" t="str">
        <f t="shared" si="112"/>
        <v>-0,0000166666666666667</v>
      </c>
      <c r="AT144" t="str">
        <f t="shared" si="113"/>
        <v>1,14678182513752E-06i</v>
      </c>
      <c r="AU144">
        <f t="shared" si="137"/>
        <v>1.14678182513752E-6</v>
      </c>
      <c r="AV144">
        <f t="shared" si="138"/>
        <v>1.5707963267948966</v>
      </c>
      <c r="AW144" t="str">
        <f t="shared" si="114"/>
        <v>1+0,000752355102778165i</v>
      </c>
      <c r="AX144">
        <f t="shared" si="139"/>
        <v>1.0000002830190604</v>
      </c>
      <c r="AY144">
        <f t="shared" si="140"/>
        <v>7.5235496082430369E-4</v>
      </c>
      <c r="AZ144" t="str">
        <f t="shared" si="115"/>
        <v>1+0,251537389362166i</v>
      </c>
      <c r="BA144">
        <f t="shared" si="141"/>
        <v>1.0311503567604163</v>
      </c>
      <c r="BB144">
        <f t="shared" si="142"/>
        <v>0.24642509358174591</v>
      </c>
      <c r="BC144" s="41" t="str">
        <f t="shared" si="143"/>
        <v>-3,64476320907111+14,5361663013434i</v>
      </c>
      <c r="BD144">
        <f t="shared" si="144"/>
        <v>23.513796433888121</v>
      </c>
      <c r="BE144" s="43">
        <f t="shared" si="145"/>
        <v>104.07601106439944</v>
      </c>
      <c r="BF144" s="41" t="str">
        <f t="shared" si="146"/>
        <v>195,902221056759+98,1829029637667i</v>
      </c>
      <c r="BG144" s="20">
        <f t="shared" si="147"/>
        <v>46.814001116810964</v>
      </c>
      <c r="BH144" s="43">
        <f t="shared" si="148"/>
        <v>26.619259615077418</v>
      </c>
      <c r="BI144" s="41" t="str">
        <f t="shared" si="152"/>
        <v>648,911846218926+324,828262326092i</v>
      </c>
      <c r="BJ144" s="20">
        <f t="shared" si="149"/>
        <v>57.214808417140347</v>
      </c>
      <c r="BK144" s="43">
        <f t="shared" si="153"/>
        <v>26.591345742711376</v>
      </c>
      <c r="BL144">
        <f t="shared" si="150"/>
        <v>46.814001116810964</v>
      </c>
      <c r="BM144" s="43">
        <f t="shared" si="151"/>
        <v>26.619259615077418</v>
      </c>
    </row>
    <row r="145" spans="14:65" x14ac:dyDescent="0.25">
      <c r="N145" s="9">
        <v>27</v>
      </c>
      <c r="O145" s="34">
        <f t="shared" si="154"/>
        <v>186.20871366628685</v>
      </c>
      <c r="P145" s="33" t="str">
        <f t="shared" si="103"/>
        <v>66,7780509511648</v>
      </c>
      <c r="Q145" s="4" t="str">
        <f t="shared" si="104"/>
        <v>1+4,55990663441002i</v>
      </c>
      <c r="R145" s="4">
        <f t="shared" si="117"/>
        <v>4.6682703986098018</v>
      </c>
      <c r="S145" s="4">
        <f t="shared" si="118"/>
        <v>1.3549111936191087</v>
      </c>
      <c r="T145" s="4" t="str">
        <f t="shared" si="105"/>
        <v>1+0,00116998385377682i</v>
      </c>
      <c r="U145" s="4">
        <f t="shared" si="119"/>
        <v>1.0000006844308749</v>
      </c>
      <c r="V145" s="4">
        <f t="shared" si="120"/>
        <v>1.1699833199283606E-3</v>
      </c>
      <c r="W145" t="str">
        <f t="shared" si="106"/>
        <v>1-0,00254514999992673i</v>
      </c>
      <c r="X145" s="4">
        <f t="shared" si="121"/>
        <v>1.0000032388890159</v>
      </c>
      <c r="Y145" s="4">
        <f t="shared" si="122"/>
        <v>-2.5451445043002709E-3</v>
      </c>
      <c r="Z145" t="str">
        <f t="shared" si="107"/>
        <v>0,999999965326315+0,00050025010570364i</v>
      </c>
      <c r="AA145" s="4">
        <f t="shared" si="123"/>
        <v>1.0000000904513955</v>
      </c>
      <c r="AB145" s="4">
        <f t="shared" si="124"/>
        <v>5.0025008131993282E-4</v>
      </c>
      <c r="AC145" s="47" t="str">
        <f t="shared" si="125"/>
        <v>3,03803449541091-13,9783903668469i</v>
      </c>
      <c r="AD145" s="20">
        <f t="shared" si="126"/>
        <v>23.109588003293275</v>
      </c>
      <c r="AE145" s="43">
        <f t="shared" si="127"/>
        <v>-77.738146159783085</v>
      </c>
      <c r="AF145" t="str">
        <f t="shared" si="108"/>
        <v>223,849857273222</v>
      </c>
      <c r="AG145" t="str">
        <f t="shared" si="109"/>
        <v>1+4,61849095056431i</v>
      </c>
      <c r="AH145">
        <f t="shared" si="128"/>
        <v>4.7255114707769383</v>
      </c>
      <c r="AI145">
        <f t="shared" si="129"/>
        <v>1.3575668816120123</v>
      </c>
      <c r="AJ145" t="str">
        <f t="shared" si="110"/>
        <v>1+0,00116998385377682i</v>
      </c>
      <c r="AK145">
        <f t="shared" si="130"/>
        <v>1.0000006844308749</v>
      </c>
      <c r="AL145">
        <f t="shared" si="131"/>
        <v>1.1699833199283606E-3</v>
      </c>
      <c r="AM145" t="str">
        <f t="shared" si="111"/>
        <v>1-0,000769013925069772i</v>
      </c>
      <c r="AN145">
        <f t="shared" si="132"/>
        <v>1.0000002956911649</v>
      </c>
      <c r="AO145">
        <f t="shared" si="133"/>
        <v>-7.6901377347605461E-4</v>
      </c>
      <c r="AP145" s="41" t="str">
        <f t="shared" si="134"/>
        <v>10,0429912463552-46,2937071265762i</v>
      </c>
      <c r="AQ145">
        <f t="shared" si="135"/>
        <v>33.510168515171685</v>
      </c>
      <c r="AR145" s="43">
        <f t="shared" si="136"/>
        <v>-77.759878860379615</v>
      </c>
      <c r="AS145" t="str">
        <f t="shared" si="112"/>
        <v>-0,0000166666666666667</v>
      </c>
      <c r="AT145" t="str">
        <f t="shared" si="113"/>
        <v>1,17349380533815E-06i</v>
      </c>
      <c r="AU145">
        <f t="shared" si="137"/>
        <v>1.1734938053381501E-6</v>
      </c>
      <c r="AV145">
        <f t="shared" si="138"/>
        <v>1.5707963267948966</v>
      </c>
      <c r="AW145" t="str">
        <f t="shared" si="114"/>
        <v>1+0,000769879704379562i</v>
      </c>
      <c r="AX145">
        <f t="shared" si="139"/>
        <v>1.0000002963573358</v>
      </c>
      <c r="AY145">
        <f t="shared" si="140"/>
        <v>7.6987955227326153E-4</v>
      </c>
      <c r="AZ145" t="str">
        <f t="shared" si="115"/>
        <v>1+0,2573964478309i</v>
      </c>
      <c r="BA145">
        <f t="shared" si="141"/>
        <v>1.0325952408160544</v>
      </c>
      <c r="BB145">
        <f t="shared" si="142"/>
        <v>0.25192781983432494</v>
      </c>
      <c r="BC145" s="41" t="str">
        <f t="shared" si="143"/>
        <v>-3,64476311184146+14,2054090517204i</v>
      </c>
      <c r="BD145">
        <f t="shared" si="144"/>
        <v>23.32595877208048</v>
      </c>
      <c r="BE145" s="43">
        <f t="shared" si="145"/>
        <v>104.39028996936038</v>
      </c>
      <c r="BF145" s="41" t="str">
        <f t="shared" si="146"/>
        <v>187,495836984313+94,1044442925526i</v>
      </c>
      <c r="BG145" s="20">
        <f t="shared" si="147"/>
        <v>46.435546775373773</v>
      </c>
      <c r="BH145" s="43">
        <f t="shared" si="148"/>
        <v>26.652143809577257</v>
      </c>
      <c r="BI145" s="41" t="str">
        <f t="shared" si="152"/>
        <v>621,016722226297+311,39439480266i</v>
      </c>
      <c r="BJ145" s="20">
        <f t="shared" si="149"/>
        <v>56.836127287252168</v>
      </c>
      <c r="BK145" s="43">
        <f t="shared" si="153"/>
        <v>26.630411108980752</v>
      </c>
      <c r="BL145">
        <f t="shared" si="150"/>
        <v>46.435546775373773</v>
      </c>
      <c r="BM145" s="43">
        <f t="shared" si="151"/>
        <v>26.652143809577257</v>
      </c>
    </row>
    <row r="146" spans="14:65" x14ac:dyDescent="0.25">
      <c r="N146" s="9">
        <v>28</v>
      </c>
      <c r="O146" s="34">
        <f t="shared" si="154"/>
        <v>190.54607179632498</v>
      </c>
      <c r="P146" s="33" t="str">
        <f t="shared" si="103"/>
        <v>66,7780509511648</v>
      </c>
      <c r="Q146" s="4" t="str">
        <f t="shared" si="104"/>
        <v>1+4,66612050444633i</v>
      </c>
      <c r="R146" s="4">
        <f t="shared" si="117"/>
        <v>4.7720729837267228</v>
      </c>
      <c r="S146" s="4">
        <f t="shared" si="118"/>
        <v>1.3596790130352372</v>
      </c>
      <c r="T146" s="4" t="str">
        <f t="shared" si="105"/>
        <v>1+0,00119723627865146i</v>
      </c>
      <c r="U146" s="4">
        <f t="shared" si="119"/>
        <v>1.0000007166870966</v>
      </c>
      <c r="V146" s="4">
        <f t="shared" si="120"/>
        <v>1.197235706622552E-3</v>
      </c>
      <c r="W146" t="str">
        <f t="shared" si="106"/>
        <v>1-0,0026044341592284i</v>
      </c>
      <c r="X146" s="4">
        <f t="shared" si="121"/>
        <v>1.0000033915328936</v>
      </c>
      <c r="Y146" s="4">
        <f t="shared" si="122"/>
        <v>-2.6044282705596335E-3</v>
      </c>
      <c r="Z146" t="str">
        <f t="shared" si="107"/>
        <v>0,999999963692195+0,000511902427554246i</v>
      </c>
      <c r="AA146" s="4">
        <f t="shared" si="123"/>
        <v>1.0000000947142389</v>
      </c>
      <c r="AB146" s="4">
        <f t="shared" si="124"/>
        <v>5.1190240142663277E-4</v>
      </c>
      <c r="AC146" s="47" t="str">
        <f t="shared" si="125"/>
        <v>2,90612317137102-13,6884747754393i</v>
      </c>
      <c r="AD146" s="20">
        <f t="shared" si="126"/>
        <v>22.918568101772362</v>
      </c>
      <c r="AE146" s="43">
        <f t="shared" si="127"/>
        <v>-78.013824981432478</v>
      </c>
      <c r="AF146" t="str">
        <f t="shared" si="108"/>
        <v>223,849857273222</v>
      </c>
      <c r="AG146" t="str">
        <f t="shared" si="109"/>
        <v>1+4,72606942462457i</v>
      </c>
      <c r="AH146">
        <f t="shared" si="128"/>
        <v>4.8307072159644715</v>
      </c>
      <c r="AI146">
        <f t="shared" si="129"/>
        <v>1.3622795561660064</v>
      </c>
      <c r="AJ146" t="str">
        <f t="shared" si="110"/>
        <v>1+0,00119723627865146i</v>
      </c>
      <c r="AK146">
        <f t="shared" si="130"/>
        <v>1.0000007166870966</v>
      </c>
      <c r="AL146">
        <f t="shared" si="131"/>
        <v>1.197235706622552E-3</v>
      </c>
      <c r="AM146" t="str">
        <f t="shared" si="111"/>
        <v>1-0,000786926560490221i</v>
      </c>
      <c r="AN146">
        <f t="shared" si="132"/>
        <v>1.0000003096266579</v>
      </c>
      <c r="AO146">
        <f t="shared" si="133"/>
        <v>-7.8692639805462894E-4</v>
      </c>
      <c r="AP146" s="41" t="str">
        <f t="shared" si="134"/>
        <v>9,61118961827466-45,3313016173488i</v>
      </c>
      <c r="AQ146">
        <f t="shared" si="135"/>
        <v>33.318931027574664</v>
      </c>
      <c r="AR146" s="43">
        <f t="shared" si="136"/>
        <v>-78.029360093591279</v>
      </c>
      <c r="AS146" t="str">
        <f t="shared" si="112"/>
        <v>-0,0000166666666666667</v>
      </c>
      <c r="AT146" t="str">
        <f t="shared" si="113"/>
        <v>1,20082798748741E-06i</v>
      </c>
      <c r="AU146">
        <f t="shared" si="137"/>
        <v>1.2008279874874101E-6</v>
      </c>
      <c r="AV146">
        <f t="shared" si="138"/>
        <v>1.5707963267948966</v>
      </c>
      <c r="AW146" t="str">
        <f t="shared" si="114"/>
        <v>1+0,000787812506390791i</v>
      </c>
      <c r="AX146">
        <f t="shared" si="139"/>
        <v>1.0000003103242245</v>
      </c>
      <c r="AY146">
        <f t="shared" si="140"/>
        <v>7.8781234340595638E-4</v>
      </c>
      <c r="AZ146" t="str">
        <f t="shared" si="115"/>
        <v>1+0,263391981303321i</v>
      </c>
      <c r="BA146">
        <f t="shared" si="141"/>
        <v>1.0341060563669904</v>
      </c>
      <c r="BB146">
        <f t="shared" si="142"/>
        <v>0.25754262787501303</v>
      </c>
      <c r="BC146" s="41" t="str">
        <f t="shared" si="143"/>
        <v>-3,64476301002949+13,8821836980002i</v>
      </c>
      <c r="BD146">
        <f t="shared" si="144"/>
        <v>23.138657901977577</v>
      </c>
      <c r="BE146" s="43">
        <f t="shared" si="145"/>
        <v>104.71096729962109</v>
      </c>
      <c r="BF146" s="41" t="str">
        <f t="shared" si="146"/>
        <v>179,433791140488+90,2345822392303i</v>
      </c>
      <c r="BG146" s="20">
        <f t="shared" si="147"/>
        <v>46.057226003749953</v>
      </c>
      <c r="BH146" s="43">
        <f t="shared" si="148"/>
        <v>26.697142318188575</v>
      </c>
      <c r="BI146" s="41" t="str">
        <f t="shared" si="152"/>
        <v>594,266947918423+298,646151168604i</v>
      </c>
      <c r="BJ146" s="20">
        <f t="shared" si="149"/>
        <v>56.457588929552244</v>
      </c>
      <c r="BK146" s="43">
        <f t="shared" si="153"/>
        <v>26.681607206029785</v>
      </c>
      <c r="BL146">
        <f t="shared" si="150"/>
        <v>46.057226003749953</v>
      </c>
      <c r="BM146" s="43">
        <f t="shared" si="151"/>
        <v>26.697142318188575</v>
      </c>
    </row>
    <row r="147" spans="14:65" x14ac:dyDescent="0.25">
      <c r="N147" s="9">
        <v>29</v>
      </c>
      <c r="O147" s="34">
        <f t="shared" si="154"/>
        <v>194.98445997580458</v>
      </c>
      <c r="P147" s="33" t="str">
        <f t="shared" ref="P147:P210" si="155">COMPLEX(Adc,0)</f>
        <v>66,7780509511648</v>
      </c>
      <c r="Q147" s="4" t="str">
        <f t="shared" ref="Q147:Q210" si="156">IMSUM(COMPLEX(1,0),IMDIV(COMPLEX(0,2*PI()*O147),COMPLEX(wp_lf,0)))</f>
        <v>1+4,77480841333744i</v>
      </c>
      <c r="R147" s="4">
        <f t="shared" si="117"/>
        <v>4.8784009044027936</v>
      </c>
      <c r="S147" s="4">
        <f t="shared" si="118"/>
        <v>1.3643477375262096</v>
      </c>
      <c r="T147" s="4" t="str">
        <f t="shared" ref="T147:T210" si="157">IMSUM(COMPLEX(1,0),IMDIV(COMPLEX(0,2*PI()*O147),COMPLEX(wz_esr,0)))</f>
        <v>1+0,00122512349404832i</v>
      </c>
      <c r="U147" s="4">
        <f t="shared" si="119"/>
        <v>1.0000007504635062</v>
      </c>
      <c r="V147" s="4">
        <f t="shared" si="120"/>
        <v>1.2251228811083269E-3</v>
      </c>
      <c r="W147" t="str">
        <f t="shared" ref="W147:W210" si="158">IMSUB(COMPLEX(1,0),IMDIV(COMPLEX(0,2*PI()*O147),COMPLEX(wz_rhp,0)))</f>
        <v>1-0,00266509922399503i</v>
      </c>
      <c r="X147" s="4">
        <f t="shared" si="121"/>
        <v>1.0000035513706307</v>
      </c>
      <c r="Y147" s="4">
        <f t="shared" si="122"/>
        <v>-2.6650929141739748E-3</v>
      </c>
      <c r="Z147" t="str">
        <f t="shared" ref="Z147:Z210" si="159">IMSUM(COMPLEX(1,0),IMDIV(COMPLEX(0,2*PI()*O147),COMPLEX(Q*(wsl/2),0)),IMDIV(IMPOWER(COMPLEX(0,2*PI()*O147),2),IMPOWER(COMPLEX(wsl/2,0),2)))</f>
        <v>0,99999996198106+0,000523826166847763i</v>
      </c>
      <c r="AA147" s="4">
        <f t="shared" si="123"/>
        <v>1.0000000991779825</v>
      </c>
      <c r="AB147" s="4">
        <f t="shared" si="124"/>
        <v>5.2382613885152167E-4</v>
      </c>
      <c r="AC147" s="47" t="str">
        <f t="shared" si="125"/>
        <v>2,77963814609713-13,403378553685i</v>
      </c>
      <c r="AD147" s="20">
        <f t="shared" si="126"/>
        <v>22.727161536337931</v>
      </c>
      <c r="AE147" s="43">
        <f t="shared" si="127"/>
        <v>-78.283884380949218</v>
      </c>
      <c r="AF147" t="str">
        <f t="shared" ref="AF147:AF210" si="160">COMPLEX($B$72,0)</f>
        <v>223,849857273222</v>
      </c>
      <c r="AG147" t="str">
        <f t="shared" ref="AG147:AG210" si="161">IMSUM(COMPLEX(1,0),IMDIV(COMPLEX(0,2*PI()*O147),COMPLEX(wp_lf_DCM,0)))</f>
        <v>1+4,83615372325063i</v>
      </c>
      <c r="AH147">
        <f t="shared" si="128"/>
        <v>4.9384595609269626</v>
      </c>
      <c r="AI147">
        <f t="shared" si="129"/>
        <v>1.3668940567261452</v>
      </c>
      <c r="AJ147" t="str">
        <f t="shared" ref="AJ147:AJ210" si="162">IMSUM(COMPLEX(1,0),IMDIV(COMPLEX(0,2*PI()*O147),COMPLEX(wz1_dcm,0)))</f>
        <v>1+0,00122512349404832i</v>
      </c>
      <c r="AK147">
        <f t="shared" si="130"/>
        <v>1.0000007504635062</v>
      </c>
      <c r="AL147">
        <f t="shared" si="131"/>
        <v>1.2251228811083269E-3</v>
      </c>
      <c r="AM147" t="str">
        <f t="shared" ref="AM147:AM210" si="163">IMSUB(COMPLEX(1,0),IMDIV(COMPLEX(0,2*PI()*O147),COMPLEX(wz2_dcm,0)))</f>
        <v>1-0,000805256434789236i</v>
      </c>
      <c r="AN147">
        <f t="shared" si="132"/>
        <v>1.0000003242189104</v>
      </c>
      <c r="AO147">
        <f t="shared" si="133"/>
        <v>-8.0525626073636638E-4</v>
      </c>
      <c r="AP147" s="41" t="str">
        <f t="shared" si="134"/>
        <v>9,19719097755787-44,3850422082747i</v>
      </c>
      <c r="AQ147">
        <f t="shared" si="135"/>
        <v>33.12731573373118</v>
      </c>
      <c r="AR147" s="43">
        <f t="shared" si="136"/>
        <v>-78.293203906618118</v>
      </c>
      <c r="AS147" t="str">
        <f t="shared" ref="AS147:AS210" si="164">COMPLEX(Adc_ea,0)</f>
        <v>-0,0000166666666666667</v>
      </c>
      <c r="AT147" t="str">
        <f t="shared" ref="AT147:AT210" si="165">COMPLEX(0,2*PI()*O147*wp0_ea)</f>
        <v>1,22879886453047E-06i</v>
      </c>
      <c r="AU147">
        <f t="shared" si="137"/>
        <v>1.2287988645304699E-6</v>
      </c>
      <c r="AV147">
        <f t="shared" si="138"/>
        <v>1.5707963267948966</v>
      </c>
      <c r="AW147" t="str">
        <f t="shared" ref="AW147:AW210" si="166">IMSUM(COMPLEX(1,0),IMDIV(COMPLEX(0,2*PI()*O147),COMPLEX(wp1_ea,0)))</f>
        <v>1+0,000806163017020829i</v>
      </c>
      <c r="AX147">
        <f t="shared" si="139"/>
        <v>1.0000003249493523</v>
      </c>
      <c r="AY147">
        <f t="shared" si="140"/>
        <v>8.0616284237943533E-4</v>
      </c>
      <c r="AZ147" t="str">
        <f t="shared" ref="AZ147:AZ210" si="167">IMSUM(COMPLEX(1,0),IMDIV(COMPLEX(0,2*PI()*O147),COMPLEX(wz_ea,0)))</f>
        <v>1+0,26952716869063i</v>
      </c>
      <c r="BA147">
        <f t="shared" si="141"/>
        <v>1.0356857123000138</v>
      </c>
      <c r="BB147">
        <f t="shared" si="142"/>
        <v>0.26327107805656447</v>
      </c>
      <c r="BC147" s="41" t="str">
        <f t="shared" si="143"/>
        <v>-3,64476290341926+13,5663188618216i</v>
      </c>
      <c r="BD147">
        <f t="shared" si="144"/>
        <v>22.951915842710456</v>
      </c>
      <c r="BE147" s="43">
        <f t="shared" si="145"/>
        <v>105.03813191203184</v>
      </c>
      <c r="BF147" s="41" t="str">
        <f t="shared" si="146"/>
        <v>171,703385285168+86,5615943433927i</v>
      </c>
      <c r="BG147" s="20">
        <f t="shared" si="147"/>
        <v>45.679077379048387</v>
      </c>
      <c r="BH147" s="43">
        <f t="shared" si="148"/>
        <v>26.754247531082637</v>
      </c>
      <c r="BI147" s="41" t="str">
        <f t="shared" si="152"/>
        <v>568,6200548022+286,544980742036i</v>
      </c>
      <c r="BJ147" s="20">
        <f t="shared" si="149"/>
        <v>56.079231576441643</v>
      </c>
      <c r="BK147" s="43">
        <f t="shared" si="153"/>
        <v>26.744928005413698</v>
      </c>
      <c r="BL147">
        <f t="shared" si="150"/>
        <v>45.679077379048387</v>
      </c>
      <c r="BM147" s="43">
        <f t="shared" si="151"/>
        <v>26.754247531082637</v>
      </c>
    </row>
    <row r="148" spans="14:65" x14ac:dyDescent="0.25">
      <c r="N148" s="9">
        <v>30</v>
      </c>
      <c r="O148" s="34">
        <f t="shared" si="154"/>
        <v>199.52623149688802</v>
      </c>
      <c r="P148" s="33" t="str">
        <f t="shared" si="155"/>
        <v>66,7780509511648</v>
      </c>
      <c r="Q148" s="4" t="str">
        <f t="shared" si="156"/>
        <v>1+4,88602798885139i</v>
      </c>
      <c r="R148" s="4">
        <f t="shared" ref="R148:R211" si="168">IMABS(Q148)</f>
        <v>4.9873108493294414</v>
      </c>
      <c r="S148" s="4">
        <f t="shared" ref="S148:S211" si="169">IMARGUMENT(Q148)</f>
        <v>1.3689190280195744</v>
      </c>
      <c r="T148" s="4" t="str">
        <f t="shared" si="157"/>
        <v>1+0,00125366028613816i</v>
      </c>
      <c r="U148" s="4">
        <f t="shared" ref="U148:U211" si="170">IMABS(T148)</f>
        <v>1.0000007858317477</v>
      </c>
      <c r="V148" s="4">
        <f t="shared" ref="V148:V211" si="171">IMARGUMENT(T148)</f>
        <v>1.2536596293611522E-3</v>
      </c>
      <c r="W148" t="str">
        <f t="shared" si="158"/>
        <v>1-0,00272717735964699i</v>
      </c>
      <c r="X148" s="4">
        <f t="shared" ref="X148:X211" si="172">IMABS(W148)</f>
        <v>1.0000037187412609</v>
      </c>
      <c r="Y148" s="4">
        <f t="shared" ref="Y148:Y211" si="173">IMARGUMENT(W148)</f>
        <v>-2.7271705985532743E-3</v>
      </c>
      <c r="Z148" t="str">
        <f t="shared" si="159"/>
        <v>0,999999960189283+0,000536027645708606i</v>
      </c>
      <c r="AA148" s="4">
        <f t="shared" ref="AA148:AA211" si="174">IMABS(Z148)</f>
        <v>1.0000001038520969</v>
      </c>
      <c r="AB148" s="4">
        <f t="shared" ref="AB148:AB211" si="175">IMARGUMENT(Z148)</f>
        <v>5.3602761571009284E-4</v>
      </c>
      <c r="AC148" s="47" t="str">
        <f t="shared" ref="AC148:AC211" si="176">(IMDIV(IMPRODUCT(P148,T148,W148),IMPRODUCT(Q148,Z148)))</f>
        <v>2,65837735679727-13,12309974048i</v>
      </c>
      <c r="AD148" s="20">
        <f t="shared" ref="AD148:AD211" si="177">20*LOG(IMABS(AC148))</f>
        <v>22.535384251647521</v>
      </c>
      <c r="AE148" s="43">
        <f t="shared" ref="AE148:AE211" si="178">(180/PI())*IMARGUMENT(AC148)</f>
        <v>-78.548420880356133</v>
      </c>
      <c r="AF148" t="str">
        <f t="shared" si="160"/>
        <v>223,849857273222</v>
      </c>
      <c r="AG148" t="str">
        <f t="shared" si="161"/>
        <v>1+4,94880221459486i</v>
      </c>
      <c r="AH148">
        <f t="shared" ref="AH148:AH211" si="179">IMABS(AG148)</f>
        <v>5.0488259386890126</v>
      </c>
      <c r="AI148">
        <f t="shared" ref="AI148:AI211" si="180">IMARGUMENT(AG148)</f>
        <v>1.3714120435186665</v>
      </c>
      <c r="AJ148" t="str">
        <f t="shared" si="162"/>
        <v>1+0,00125366028613816i</v>
      </c>
      <c r="AK148">
        <f t="shared" ref="AK148:AK211" si="181">IMABS(AJ148)</f>
        <v>1.0000007858317477</v>
      </c>
      <c r="AL148">
        <f t="shared" ref="AL148:AL211" si="182">IMARGUMENT(AJ148)</f>
        <v>1.2536596293611522E-3</v>
      </c>
      <c r="AM148" t="str">
        <f t="shared" si="163"/>
        <v>1-0,00082401326670881i</v>
      </c>
      <c r="AN148">
        <f t="shared" ref="AN148:AN211" si="183">IMABS(AM148)</f>
        <v>1.0000003394988741</v>
      </c>
      <c r="AO148">
        <f t="shared" ref="AO148:AO211" si="184">IMARGUMENT(AM148)</f>
        <v>-8.2401308020780347E-4</v>
      </c>
      <c r="AP148" s="41" t="str">
        <f t="shared" ref="AP148:AP211" si="185">(IMDIV(IMPRODUCT(AF148,AJ148,AM148),IMPRODUCT(AG148)))</f>
        <v>8,80032894644998-43,4549109553778i</v>
      </c>
      <c r="AQ148">
        <f t="shared" ref="AQ148:AQ211" si="186">20*LOG(IMABS(AP148))</f>
        <v>32.935338242956128</v>
      </c>
      <c r="AR148" s="43">
        <f t="shared" ref="AR148:AR211" si="187">(180/PI())*IMARGUMENT(AP148)</f>
        <v>-78.55150513308233</v>
      </c>
      <c r="AS148" t="str">
        <f t="shared" si="164"/>
        <v>-0,0000166666666666667</v>
      </c>
      <c r="AT148" t="str">
        <f t="shared" si="165"/>
        <v>1,25742126699657E-06i</v>
      </c>
      <c r="AU148">
        <f t="shared" ref="AU148:AU211" si="188">IMABS(AT148)</f>
        <v>1.2574212669965699E-6</v>
      </c>
      <c r="AV148">
        <f t="shared" ref="AV148:AV211" si="189">IMARGUMENT(AT148)</f>
        <v>1.5707963267948966</v>
      </c>
      <c r="AW148" t="str">
        <f t="shared" si="166"/>
        <v>1+0,000824940965953325i</v>
      </c>
      <c r="AX148">
        <f t="shared" ref="AX148:AX211" si="190">IMABS(AW148)</f>
        <v>1.0000003402637407</v>
      </c>
      <c r="AY148">
        <f t="shared" ref="AY148:AY211" si="191">IMARGUMENT(AW148)</f>
        <v>8.2494077882170355E-4</v>
      </c>
      <c r="AZ148" t="str">
        <f t="shared" si="167"/>
        <v>1+0,275805262950395i</v>
      </c>
      <c r="BA148">
        <f t="shared" ref="BA148:BA211" si="192">IMABS(AZ148)</f>
        <v>1.0373372369056924</v>
      </c>
      <c r="BB148">
        <f t="shared" ref="BB148:BB211" si="193">IMARGUMENT(AZ148)</f>
        <v>0.26911470322284209</v>
      </c>
      <c r="BC148" s="41" t="str">
        <f t="shared" ref="BC148:BC211" si="194">IMPRODUCT(AS148,IMDIV(AZ148,IMPRODUCT(AT148,AW148)))</f>
        <v>-3,64476279178469+13,257647067467i</v>
      </c>
      <c r="BD148">
        <f t="shared" ref="BD148:BD211" si="195">20*LOG(IMABS(BC148))</f>
        <v>22.765755366893366</v>
      </c>
      <c r="BE148" s="43">
        <f t="shared" ref="BE148:BE211" si="196">(180/PI())*IMARGUMENT(BC148)</f>
        <v>105.37187107460986</v>
      </c>
      <c r="BF148" s="41" t="str">
        <f t="shared" ref="BF148:BF211" si="197">IMPRODUCT(AC148,BC148)</f>
        <v>164,292269913874+83,0744144155448i</v>
      </c>
      <c r="BG148" s="20">
        <f t="shared" ref="BG148:BG211" si="198">20*LOG(IMABS(BF148))</f>
        <v>45.30113961854088</v>
      </c>
      <c r="BH148" s="43">
        <f t="shared" ref="BH148:BH211" si="199">(180/PI())*IMARGUMENT(BF148)</f>
        <v>26.823450194253716</v>
      </c>
      <c r="BI148" s="41" t="str">
        <f t="shared" si="152"/>
        <v>544,034761295117+275,054497820125i</v>
      </c>
      <c r="BJ148" s="20">
        <f t="shared" ref="BJ148:BJ211" si="200">20*LOG(IMABS(BI148))</f>
        <v>55.701093609849494</v>
      </c>
      <c r="BK148" s="43">
        <f t="shared" si="153"/>
        <v>26.820365941527506</v>
      </c>
      <c r="BL148">
        <f t="shared" ref="BL148:BL211" si="201">IF($B$31=0,BJ148,BG148)</f>
        <v>45.30113961854088</v>
      </c>
      <c r="BM148" s="43">
        <f t="shared" ref="BM148:BM211" si="202">IF($B$31=0,BK148,BH148)</f>
        <v>26.823450194253716</v>
      </c>
    </row>
    <row r="149" spans="14:65" x14ac:dyDescent="0.25">
      <c r="N149" s="9">
        <v>31</v>
      </c>
      <c r="O149" s="34">
        <f t="shared" si="154"/>
        <v>204.17379446695315</v>
      </c>
      <c r="P149" s="33" t="str">
        <f t="shared" si="155"/>
        <v>66,7780509511648</v>
      </c>
      <c r="Q149" s="4" t="str">
        <f t="shared" si="156"/>
        <v>1+4,99983820107924i</v>
      </c>
      <c r="R149" s="4">
        <f t="shared" si="168"/>
        <v>5.0988608567964748</v>
      </c>
      <c r="S149" s="4">
        <f t="shared" si="169"/>
        <v>1.3733945437159651</v>
      </c>
      <c r="T149" s="4" t="str">
        <f t="shared" si="157"/>
        <v>1+0,00128286178550586i</v>
      </c>
      <c r="U149" s="4">
        <f t="shared" si="170"/>
        <v>1.0000008228668418</v>
      </c>
      <c r="V149" s="4">
        <f t="shared" si="171"/>
        <v>1.2828610817566481E-3</v>
      </c>
      <c r="W149" t="str">
        <f t="shared" si="158"/>
        <v>1-0,00279070148083349i</v>
      </c>
      <c r="X149" s="4">
        <f t="shared" si="172"/>
        <v>1.0000038939997959</v>
      </c>
      <c r="Y149" s="4">
        <f t="shared" si="173"/>
        <v>-2.7906942361925727E-3</v>
      </c>
      <c r="Z149" t="str">
        <f t="shared" si="159"/>
        <v>0,999999958313062+0,000548513333522366i</v>
      </c>
      <c r="AA149" s="4">
        <f t="shared" si="174"/>
        <v>1.0000001087464954</v>
      </c>
      <c r="AB149" s="4">
        <f t="shared" si="175"/>
        <v>5.4851330137838008E-4</v>
      </c>
      <c r="AC149" s="47" t="str">
        <f t="shared" si="176"/>
        <v>2,54214446447542-12,8476303505506i</v>
      </c>
      <c r="AD149" s="20">
        <f t="shared" si="177"/>
        <v>22.343251596160513</v>
      </c>
      <c r="AE149" s="43">
        <f t="shared" si="178"/>
        <v>-78.807530934355057</v>
      </c>
      <c r="AF149" t="str">
        <f t="shared" si="160"/>
        <v>223,849857273222</v>
      </c>
      <c r="AG149" t="str">
        <f t="shared" si="161"/>
        <v>1+5,06407462637838i</v>
      </c>
      <c r="AH149">
        <f t="shared" si="179"/>
        <v>5.1618651494909598</v>
      </c>
      <c r="AI149">
        <f t="shared" si="180"/>
        <v>1.3758351739149057</v>
      </c>
      <c r="AJ149" t="str">
        <f t="shared" si="162"/>
        <v>1+0,00128286178550586i</v>
      </c>
      <c r="AK149">
        <f t="shared" si="181"/>
        <v>1.0000008228668418</v>
      </c>
      <c r="AL149">
        <f t="shared" si="182"/>
        <v>1.2828610817566481E-3</v>
      </c>
      <c r="AM149" t="str">
        <f t="shared" si="163"/>
        <v>1-0,000843207001369495i</v>
      </c>
      <c r="AN149">
        <f t="shared" si="183"/>
        <v>1.0000003554989603</v>
      </c>
      <c r="AO149">
        <f t="shared" si="184"/>
        <v>-8.4320680153006985E-4</v>
      </c>
      <c r="AP149" s="41" t="str">
        <f t="shared" si="185"/>
        <v>8,41995632899446-42,5408705401965i</v>
      </c>
      <c r="AQ149">
        <f t="shared" si="186"/>
        <v>32.743013577746353</v>
      </c>
      <c r="AR149" s="43">
        <f t="shared" si="187"/>
        <v>-78.804358436269865</v>
      </c>
      <c r="AS149" t="str">
        <f t="shared" si="164"/>
        <v>-0,0000166666666666667</v>
      </c>
      <c r="AT149" t="str">
        <f t="shared" si="165"/>
        <v>1,28671037086238E-06i</v>
      </c>
      <c r="AU149">
        <f t="shared" si="188"/>
        <v>1.2867103708623799E-6</v>
      </c>
      <c r="AV149">
        <f t="shared" si="189"/>
        <v>1.5707963267948966</v>
      </c>
      <c r="AW149" t="str">
        <f t="shared" si="166"/>
        <v>1+0,000844156309505351i</v>
      </c>
      <c r="AX149">
        <f t="shared" si="190"/>
        <v>1.000000356299874</v>
      </c>
      <c r="AY149">
        <f t="shared" si="191"/>
        <v>8.4415610899020996E-4</v>
      </c>
      <c r="AZ149" t="str">
        <f t="shared" si="167"/>
        <v>1+0,282229592811289i</v>
      </c>
      <c r="BA149">
        <f t="shared" si="192"/>
        <v>1.0390637819972488</v>
      </c>
      <c r="BB149">
        <f t="shared" si="193"/>
        <v>0.27507500471410173</v>
      </c>
      <c r="BC149" s="41" t="str">
        <f t="shared" si="194"/>
        <v>-3,64476267488891+12,9560046530645i</v>
      </c>
      <c r="BD149">
        <f t="shared" si="195"/>
        <v>22.580200013020203</v>
      </c>
      <c r="BE149" s="43">
        <f t="shared" si="196"/>
        <v>105.71227023736394</v>
      </c>
      <c r="BF149" s="41" t="str">
        <f t="shared" si="197"/>
        <v>157,188445344291+79,7625990729625i</v>
      </c>
      <c r="BG149" s="20">
        <f t="shared" si="198"/>
        <v>44.923451609180731</v>
      </c>
      <c r="BH149" s="43">
        <f t="shared" si="199"/>
        <v>26.904739303008874</v>
      </c>
      <c r="BI149" s="41" t="str">
        <f t="shared" si="152"/>
        <v>520,470974112087+264,140370479242i</v>
      </c>
      <c r="BJ149" s="20">
        <f t="shared" si="200"/>
        <v>55.323213590766557</v>
      </c>
      <c r="BK149" s="43">
        <f t="shared" si="153"/>
        <v>26.907911801094098</v>
      </c>
      <c r="BL149">
        <f t="shared" si="201"/>
        <v>44.923451609180731</v>
      </c>
      <c r="BM149" s="43">
        <f t="shared" si="202"/>
        <v>26.904739303008874</v>
      </c>
    </row>
    <row r="150" spans="14:65" x14ac:dyDescent="0.25">
      <c r="N150" s="9">
        <v>32</v>
      </c>
      <c r="O150" s="34">
        <f t="shared" si="154"/>
        <v>208.92961308540396</v>
      </c>
      <c r="P150" s="33" t="str">
        <f t="shared" si="155"/>
        <v>66,7780509511648</v>
      </c>
      <c r="Q150" s="4" t="str">
        <f t="shared" si="156"/>
        <v>1+5,11629939370203i</v>
      </c>
      <c r="R150" s="4">
        <f t="shared" si="168"/>
        <v>5.2131103466160926</v>
      </c>
      <c r="S150" s="4">
        <f t="shared" si="169"/>
        <v>1.3777759400876632</v>
      </c>
      <c r="T150" s="4" t="str">
        <f t="shared" si="157"/>
        <v>1+0,00131274347517293i</v>
      </c>
      <c r="U150" s="4">
        <f t="shared" si="170"/>
        <v>1.0000008616473446</v>
      </c>
      <c r="V150" s="4">
        <f t="shared" si="171"/>
        <v>1.3127427210920986E-3</v>
      </c>
      <c r="W150" t="str">
        <f t="shared" si="158"/>
        <v>1-0,00285570526888445i</v>
      </c>
      <c r="X150" s="4">
        <f t="shared" si="172"/>
        <v>1.0000040775179784</v>
      </c>
      <c r="Y150" s="4">
        <f t="shared" si="173"/>
        <v>-2.8556975061135572E-3</v>
      </c>
      <c r="Z150" t="str">
        <f t="shared" si="159"/>
        <v>0,999999956348417+0,000561289850365996i</v>
      </c>
      <c r="AA150" s="4">
        <f t="shared" si="174"/>
        <v>1.0000001138715595</v>
      </c>
      <c r="AB150" s="4">
        <f t="shared" si="175"/>
        <v>5.612898159230949E-4</v>
      </c>
      <c r="AC150" s="47" t="str">
        <f t="shared" si="176"/>
        <v>2,43074885213568-12,5769568059386i</v>
      </c>
      <c r="AD150" s="20">
        <f t="shared" si="177"/>
        <v>22.150778339283413</v>
      </c>
      <c r="AE150" s="43">
        <f t="shared" si="178"/>
        <v>-79.061310816389849</v>
      </c>
      <c r="AF150" t="str">
        <f t="shared" si="160"/>
        <v>223,849857273222</v>
      </c>
      <c r="AG150" t="str">
        <f t="shared" si="161"/>
        <v>1+5,1820320775598i</v>
      </c>
      <c r="AH150">
        <f t="shared" si="179"/>
        <v>5.277637393082129</v>
      </c>
      <c r="AI150">
        <f t="shared" si="180"/>
        <v>1.3801651005113056</v>
      </c>
      <c r="AJ150" t="str">
        <f t="shared" si="162"/>
        <v>1+0,00131274347517293i</v>
      </c>
      <c r="AK150">
        <f t="shared" si="181"/>
        <v>1.0000008616473446</v>
      </c>
      <c r="AL150">
        <f t="shared" si="182"/>
        <v>1.3127427210920986E-3</v>
      </c>
      <c r="AM150" t="str">
        <f t="shared" si="163"/>
        <v>1-0,000862847815543477i</v>
      </c>
      <c r="AN150">
        <f t="shared" si="183"/>
        <v>1.000000372253107</v>
      </c>
      <c r="AO150">
        <f t="shared" si="184"/>
        <v>-8.6284760141167927E-4</v>
      </c>
      <c r="AP150" s="41" t="str">
        <f t="shared" si="185"/>
        <v>8,05544507146215-41,642865680142i</v>
      </c>
      <c r="AQ150">
        <f t="shared" si="186"/>
        <v>32.550356190908204</v>
      </c>
      <c r="AR150" s="43">
        <f t="shared" si="187"/>
        <v>-79.051858198965647</v>
      </c>
      <c r="AS150" t="str">
        <f t="shared" si="164"/>
        <v>-0,0000166666666666667</v>
      </c>
      <c r="AT150" t="str">
        <f t="shared" si="165"/>
        <v>1,31668170559844E-06i</v>
      </c>
      <c r="AU150">
        <f t="shared" si="188"/>
        <v>1.3166817055984401E-6</v>
      </c>
      <c r="AV150">
        <f t="shared" si="189"/>
        <v>1.5707963267948966</v>
      </c>
      <c r="AW150" t="str">
        <f t="shared" si="166"/>
        <v>1+0,000863819235906414i</v>
      </c>
      <c r="AX150">
        <f t="shared" si="190"/>
        <v>1.0000003730917666</v>
      </c>
      <c r="AY150">
        <f t="shared" si="191"/>
        <v>8.6381902105057366E-4</v>
      </c>
      <c r="AZ150" t="str">
        <f t="shared" si="167"/>
        <v>1+0,288803564538044i</v>
      </c>
      <c r="BA150">
        <f t="shared" si="192"/>
        <v>1.0408686271042471</v>
      </c>
      <c r="BB150">
        <f t="shared" si="193"/>
        <v>0.28115344816210686</v>
      </c>
      <c r="BC150" s="41" t="str">
        <f t="shared" si="194"/>
        <v>-3,64476255248406+12,6612316838128i</v>
      </c>
      <c r="BD150">
        <f t="shared" si="195"/>
        <v>22.395274096771875</v>
      </c>
      <c r="BE150" s="43">
        <f t="shared" si="196"/>
        <v>106.05941279106959</v>
      </c>
      <c r="BF150" s="41" t="str">
        <f t="shared" si="197"/>
        <v>150,380261606537+76,6162955725464i</v>
      </c>
      <c r="BG150" s="20">
        <f t="shared" si="198"/>
        <v>44.546052436055284</v>
      </c>
      <c r="BH150" s="43">
        <f t="shared" si="199"/>
        <v>26.998101974679763</v>
      </c>
      <c r="BI150" s="41" t="str">
        <f t="shared" si="152"/>
        <v>497,889785814117+253,770213775115i</v>
      </c>
      <c r="BJ150" s="20">
        <f t="shared" si="200"/>
        <v>54.945630287680068</v>
      </c>
      <c r="BK150" s="43">
        <f t="shared" si="153"/>
        <v>27.007554592103908</v>
      </c>
      <c r="BL150">
        <f t="shared" si="201"/>
        <v>44.546052436055284</v>
      </c>
      <c r="BM150" s="43">
        <f t="shared" si="202"/>
        <v>26.998101974679763</v>
      </c>
    </row>
    <row r="151" spans="14:65" x14ac:dyDescent="0.25">
      <c r="N151" s="9">
        <v>33</v>
      </c>
      <c r="O151" s="34">
        <f t="shared" si="154"/>
        <v>213.79620895022339</v>
      </c>
      <c r="P151" s="33" t="str">
        <f t="shared" si="155"/>
        <v>66,7780509511648</v>
      </c>
      <c r="Q151" s="4" t="str">
        <f t="shared" si="156"/>
        <v>1+5,23547331598554i</v>
      </c>
      <c r="R151" s="4">
        <f t="shared" si="168"/>
        <v>5.3301201527166935</v>
      </c>
      <c r="S151" s="4">
        <f t="shared" si="169"/>
        <v>1.382064867022585</v>
      </c>
      <c r="T151" s="4" t="str">
        <f t="shared" si="157"/>
        <v>1+0,00134332119880674i</v>
      </c>
      <c r="U151" s="4">
        <f t="shared" si="170"/>
        <v>1.0000009022555145</v>
      </c>
      <c r="V151" s="4">
        <f t="shared" si="171"/>
        <v>1.3433203907946107E-3</v>
      </c>
      <c r="W151" t="str">
        <f t="shared" si="158"/>
        <v>1-0,00292222318966868i</v>
      </c>
      <c r="X151" s="4">
        <f t="shared" si="172"/>
        <v>1.0000042696850699</v>
      </c>
      <c r="Y151" s="4">
        <f t="shared" si="173"/>
        <v>-2.9222148717117243E-3</v>
      </c>
      <c r="Z151" t="str">
        <f t="shared" si="159"/>
        <v>0,999999954291181+0,000574363970517835i</v>
      </c>
      <c r="AA151" s="4">
        <f t="shared" si="174"/>
        <v>1.0000001192381602</v>
      </c>
      <c r="AB151" s="4">
        <f t="shared" si="175"/>
        <v>5.7436393361160181E-4</v>
      </c>
      <c r="AC151" s="47" t="str">
        <f t="shared" si="176"/>
        <v>2,32400560533951-12,3110603484878i</v>
      </c>
      <c r="AD151" s="20">
        <f t="shared" si="177"/>
        <v>21.95797868848317</v>
      </c>
      <c r="AE151" s="43">
        <f t="shared" si="178"/>
        <v>-79.309856513057056</v>
      </c>
      <c r="AF151" t="str">
        <f t="shared" si="160"/>
        <v>223,849857273222</v>
      </c>
      <c r="AG151" t="str">
        <f t="shared" si="161"/>
        <v>1+5,30273711074101i</v>
      </c>
      <c r="AH151">
        <f t="shared" si="179"/>
        <v>5.3962043016948416</v>
      </c>
      <c r="AI151">
        <f t="shared" si="180"/>
        <v>1.3844034693512217</v>
      </c>
      <c r="AJ151" t="str">
        <f t="shared" si="162"/>
        <v>1+0,00134332119880674i</v>
      </c>
      <c r="AK151">
        <f t="shared" si="181"/>
        <v>1.0000009022555145</v>
      </c>
      <c r="AL151">
        <f t="shared" si="182"/>
        <v>1.3433203907946107E-3</v>
      </c>
      <c r="AM151" t="str">
        <f t="shared" si="163"/>
        <v>1-0,000882946123050395i</v>
      </c>
      <c r="AN151">
        <f t="shared" si="183"/>
        <v>1.0000003897968521</v>
      </c>
      <c r="AO151">
        <f t="shared" si="184"/>
        <v>-8.8294589360404471E-4</v>
      </c>
      <c r="AP151" s="41" t="str">
        <f t="shared" si="185"/>
        <v>7,70618616706781-40,7608244753893i</v>
      </c>
      <c r="AQ151">
        <f t="shared" si="186"/>
        <v>32.357379982625829</v>
      </c>
      <c r="AR151" s="43">
        <f t="shared" si="187"/>
        <v>-79.294098421409345</v>
      </c>
      <c r="AS151" t="str">
        <f t="shared" si="164"/>
        <v>-0,0000166666666666667</v>
      </c>
      <c r="AT151" t="str">
        <f t="shared" si="165"/>
        <v>1,34735116240316E-06i</v>
      </c>
      <c r="AU151">
        <f t="shared" si="188"/>
        <v>1.34735116240316E-6</v>
      </c>
      <c r="AV151">
        <f t="shared" si="189"/>
        <v>1.5707963267948966</v>
      </c>
      <c r="AW151" t="str">
        <f t="shared" si="166"/>
        <v>1+0,000883940170700347i</v>
      </c>
      <c r="AX151">
        <f t="shared" si="190"/>
        <v>1.0000003906750363</v>
      </c>
      <c r="AY151">
        <f t="shared" si="191"/>
        <v>8.8393994047817107E-4</v>
      </c>
      <c r="AZ151" t="str">
        <f t="shared" si="167"/>
        <v>1+0,295530663737483i</v>
      </c>
      <c r="BA151">
        <f t="shared" si="192"/>
        <v>1.0427551837363924</v>
      </c>
      <c r="BB151">
        <f t="shared" si="193"/>
        <v>0.28735145907290766</v>
      </c>
      <c r="BC151" s="41" t="str">
        <f t="shared" si="194"/>
        <v>-3,64476242431041+12,373171867181i</v>
      </c>
      <c r="BD151">
        <f t="shared" si="195"/>
        <v>22.211002721088043</v>
      </c>
      <c r="BE151" s="43">
        <f t="shared" si="196"/>
        <v>106.4133798138714</v>
      </c>
      <c r="BF151" s="41" t="str">
        <f t="shared" si="197"/>
        <v>143,856417254849+73,6262109367439i</v>
      </c>
      <c r="BG151" s="20">
        <f t="shared" si="198"/>
        <v>44.168981409571231</v>
      </c>
      <c r="BH151" s="43">
        <f t="shared" si="199"/>
        <v>27.103523300814267</v>
      </c>
      <c r="BI151" s="41" t="str">
        <f t="shared" si="152"/>
        <v>476,25346890552+243,913487317434i</v>
      </c>
      <c r="BJ151" s="20">
        <f t="shared" si="200"/>
        <v>54.568382703713866</v>
      </c>
      <c r="BK151" s="43">
        <f t="shared" si="153"/>
        <v>27.119281392462089</v>
      </c>
      <c r="BL151">
        <f t="shared" si="201"/>
        <v>44.168981409571231</v>
      </c>
      <c r="BM151" s="43">
        <f t="shared" si="202"/>
        <v>27.103523300814267</v>
      </c>
    </row>
    <row r="152" spans="14:65" x14ac:dyDescent="0.25">
      <c r="N152" s="9">
        <v>34</v>
      </c>
      <c r="O152" s="34">
        <f t="shared" si="154"/>
        <v>218.77616239495524</v>
      </c>
      <c r="P152" s="33" t="str">
        <f t="shared" si="155"/>
        <v>66,7780509511648</v>
      </c>
      <c r="Q152" s="4" t="str">
        <f t="shared" si="156"/>
        <v>1+5,35742315552089i</v>
      </c>
      <c r="R152" s="4">
        <f t="shared" si="168"/>
        <v>5.4499525564275713</v>
      </c>
      <c r="S152" s="4">
        <f t="shared" si="169"/>
        <v>1.3862629671072042</v>
      </c>
      <c r="T152" s="4" t="str">
        <f t="shared" si="157"/>
        <v>1+0,00137461116912112i</v>
      </c>
      <c r="U152" s="4">
        <f t="shared" si="170"/>
        <v>1.0000009447774869</v>
      </c>
      <c r="V152" s="4">
        <f t="shared" si="171"/>
        <v>1.3746103033205688E-3</v>
      </c>
      <c r="W152" t="str">
        <f t="shared" si="158"/>
        <v>1-0,00299029051186827i</v>
      </c>
      <c r="X152" s="4">
        <f t="shared" si="172"/>
        <v>1.0000044709086782</v>
      </c>
      <c r="Y152" s="4">
        <f t="shared" si="173"/>
        <v>-2.9902815990189642E-3</v>
      </c>
      <c r="Z152" t="str">
        <f t="shared" si="159"/>
        <v>0,999999952136991+0,000587742626049451i</v>
      </c>
      <c r="AA152" s="4">
        <f t="shared" si="174"/>
        <v>1.0000001248576815</v>
      </c>
      <c r="AB152" s="4">
        <f t="shared" si="175"/>
        <v>5.8774258650370989E-4</v>
      </c>
      <c r="AC152" s="47" t="str">
        <f t="shared" si="176"/>
        <v>2,22173547692674-12,0499174334512i</v>
      </c>
      <c r="AD152" s="20">
        <f t="shared" si="177"/>
        <v>21.764866306318709</v>
      </c>
      <c r="AE152" s="43">
        <f t="shared" si="178"/>
        <v>-79.553263626496403</v>
      </c>
      <c r="AF152" t="str">
        <f t="shared" si="160"/>
        <v>223,849857273222</v>
      </c>
      <c r="AG152" t="str">
        <f t="shared" si="161"/>
        <v>1+5,42625372532837i</v>
      </c>
      <c r="AH152">
        <f t="shared" si="179"/>
        <v>5.5176289737205062</v>
      </c>
      <c r="AI152">
        <f t="shared" si="180"/>
        <v>1.3885519182820649</v>
      </c>
      <c r="AJ152" t="str">
        <f t="shared" si="162"/>
        <v>1+0,00137461116912112i</v>
      </c>
      <c r="AK152">
        <f t="shared" si="181"/>
        <v>1.0000009447774869</v>
      </c>
      <c r="AL152">
        <f t="shared" si="182"/>
        <v>1.3746103033205688E-3</v>
      </c>
      <c r="AM152" t="str">
        <f t="shared" si="163"/>
        <v>1-0,00090351258027893i</v>
      </c>
      <c r="AN152">
        <f t="shared" si="183"/>
        <v>1.0000004081674081</v>
      </c>
      <c r="AO152">
        <f t="shared" si="184"/>
        <v>-9.0351233442274154E-4</v>
      </c>
      <c r="AP152" s="41" t="str">
        <f t="shared" si="185"/>
        <v>7,37158951083049-39,8946596928615i</v>
      </c>
      <c r="AQ152">
        <f t="shared" si="186"/>
        <v>32.164098317420617</v>
      </c>
      <c r="AR152" s="43">
        <f t="shared" si="187"/>
        <v>-79.531172627001652</v>
      </c>
      <c r="AS152" t="str">
        <f t="shared" si="164"/>
        <v>-0,0000166666666666667</v>
      </c>
      <c r="AT152" t="str">
        <f t="shared" si="165"/>
        <v>1,37873500262848E-06i</v>
      </c>
      <c r="AU152">
        <f t="shared" si="188"/>
        <v>1.37873500262848E-6</v>
      </c>
      <c r="AV152">
        <f t="shared" si="189"/>
        <v>1.5707963267948966</v>
      </c>
      <c r="AW152" t="str">
        <f t="shared" si="166"/>
        <v>1+0,00090452978227312i</v>
      </c>
      <c r="AX152">
        <f t="shared" si="190"/>
        <v>1.0000004090869798</v>
      </c>
      <c r="AY152">
        <f t="shared" si="191"/>
        <v>9.0452953558561953E-4</v>
      </c>
      <c r="AZ152" t="str">
        <f t="shared" si="167"/>
        <v>1+0,302414457206646i</v>
      </c>
      <c r="BA152">
        <f t="shared" si="192"/>
        <v>1.0447269997121689</v>
      </c>
      <c r="BB152">
        <f t="shared" si="193"/>
        <v>0.29367041819622014</v>
      </c>
      <c r="BC152" s="41" t="str">
        <f t="shared" si="194"/>
        <v>-3,64476229009614+12,0916724700409i</v>
      </c>
      <c r="BD152">
        <f t="shared" si="195"/>
        <v>22.027411784851616</v>
      </c>
      <c r="BE152" s="43">
        <f t="shared" si="196"/>
        <v>106.77424980565128</v>
      </c>
      <c r="BF152" s="41" t="str">
        <f t="shared" si="197"/>
        <v>137,605957211456+70,7835823622832i</v>
      </c>
      <c r="BG152" s="20">
        <f t="shared" si="198"/>
        <v>43.792278091170303</v>
      </c>
      <c r="BH152" s="43">
        <f t="shared" si="199"/>
        <v>27.220986179154938</v>
      </c>
      <c r="BI152" s="41" t="str">
        <f t="shared" si="152"/>
        <v>455,525466842681+234,541397173311i</v>
      </c>
      <c r="BJ152" s="20">
        <f t="shared" si="200"/>
        <v>54.191510102272233</v>
      </c>
      <c r="BK152" s="43">
        <f t="shared" si="153"/>
        <v>27.243077178649571</v>
      </c>
      <c r="BL152">
        <f t="shared" si="201"/>
        <v>43.792278091170303</v>
      </c>
      <c r="BM152" s="43">
        <f t="shared" si="202"/>
        <v>27.220986179154938</v>
      </c>
    </row>
    <row r="153" spans="14:65" x14ac:dyDescent="0.25">
      <c r="N153" s="9">
        <v>35</v>
      </c>
      <c r="O153" s="34">
        <f t="shared" si="154"/>
        <v>223.87211385683412</v>
      </c>
      <c r="P153" s="33" t="str">
        <f t="shared" si="155"/>
        <v>66,7780509511648</v>
      </c>
      <c r="Q153" s="4" t="str">
        <f t="shared" si="156"/>
        <v>1+5,48221357172719i</v>
      </c>
      <c r="R153" s="4">
        <f t="shared" si="168"/>
        <v>5.5726713204736731</v>
      </c>
      <c r="S153" s="4">
        <f t="shared" si="169"/>
        <v>1.3903718740418924</v>
      </c>
      <c r="T153" s="4" t="str">
        <f t="shared" si="157"/>
        <v>1+0,0014066299764725i</v>
      </c>
      <c r="U153" s="4">
        <f t="shared" si="170"/>
        <v>1.000000989303456</v>
      </c>
      <c r="V153" s="4">
        <f t="shared" si="171"/>
        <v>1.4066290487505446E-3</v>
      </c>
      <c r="W153" t="str">
        <f t="shared" si="158"/>
        <v>1-0,00305994332567844i</v>
      </c>
      <c r="X153" s="4">
        <f t="shared" si="172"/>
        <v>1.0000046816156194</v>
      </c>
      <c r="Y153" s="4">
        <f t="shared" si="173"/>
        <v>-3.0599337753907585E-3</v>
      </c>
      <c r="Z153" t="str">
        <f t="shared" si="159"/>
        <v>0,999999949881277+0,000601432910501092i</v>
      </c>
      <c r="AA153" s="4">
        <f t="shared" si="174"/>
        <v>1.0000001307420425</v>
      </c>
      <c r="AB153" s="4">
        <f t="shared" si="175"/>
        <v>6.0143286812706703E-4</v>
      </c>
      <c r="AC153" s="47" t="str">
        <f t="shared" si="176"/>
        <v>2,12376483760083-11,7935001044284i</v>
      </c>
      <c r="AD153" s="20">
        <f t="shared" si="177"/>
        <v>21.571454327345943</v>
      </c>
      <c r="AE153" s="43">
        <f t="shared" si="178"/>
        <v>-79.791627284385044</v>
      </c>
      <c r="AF153" t="str">
        <f t="shared" si="160"/>
        <v>223,849857273222</v>
      </c>
      <c r="AG153" t="str">
        <f t="shared" si="161"/>
        <v>1+5,55264741146587i</v>
      </c>
      <c r="AH153">
        <f t="shared" si="179"/>
        <v>5.6419760081073216</v>
      </c>
      <c r="AI153">
        <f t="shared" si="180"/>
        <v>1.3926120754413114</v>
      </c>
      <c r="AJ153" t="str">
        <f t="shared" si="162"/>
        <v>1+0,0014066299764725i</v>
      </c>
      <c r="AK153">
        <f t="shared" si="181"/>
        <v>1.000000989303456</v>
      </c>
      <c r="AL153">
        <f t="shared" si="182"/>
        <v>1.4066290487505446E-3</v>
      </c>
      <c r="AM153" t="str">
        <f t="shared" si="163"/>
        <v>1-0,000924558091836933i</v>
      </c>
      <c r="AN153">
        <f t="shared" si="183"/>
        <v>1.0000004274037413</v>
      </c>
      <c r="AO153">
        <f t="shared" si="184"/>
        <v>-9.2455782839728686E-4</v>
      </c>
      <c r="AP153" s="41" t="str">
        <f t="shared" si="185"/>
        <v>7,05108371006841-39,0442699881694i</v>
      </c>
      <c r="AQ153">
        <f t="shared" si="186"/>
        <v>31.970524040961532</v>
      </c>
      <c r="AR153" s="43">
        <f t="shared" si="187"/>
        <v>-79.763173775390385</v>
      </c>
      <c r="AS153" t="str">
        <f t="shared" si="164"/>
        <v>-0,0000166666666666667</v>
      </c>
      <c r="AT153" t="str">
        <f t="shared" si="165"/>
        <v>1,41084986640191E-06i</v>
      </c>
      <c r="AU153">
        <f t="shared" si="188"/>
        <v>1.4108498664019101E-6</v>
      </c>
      <c r="AV153">
        <f t="shared" si="189"/>
        <v>1.5707963267948966</v>
      </c>
      <c r="AW153" t="str">
        <f t="shared" si="166"/>
        <v>1+0,000925598987509322i</v>
      </c>
      <c r="AX153">
        <f t="shared" si="190"/>
        <v>1.000000428366651</v>
      </c>
      <c r="AY153">
        <f t="shared" si="191"/>
        <v>9.2559872317890882E-4</v>
      </c>
      <c r="AZ153" t="str">
        <f t="shared" si="167"/>
        <v>1+0,30945859482395i</v>
      </c>
      <c r="BA153">
        <f t="shared" si="192"/>
        <v>1.0467877635463712</v>
      </c>
      <c r="BB153">
        <f t="shared" si="193"/>
        <v>0.30011165668135359</v>
      </c>
      <c r="BC153" s="41" t="str">
        <f t="shared" si="194"/>
        <v>-3,64476214955659+11,8165842376851i</v>
      </c>
      <c r="BD153">
        <f t="shared" si="195"/>
        <v>21.844527990022318</v>
      </c>
      <c r="BE153" s="43">
        <f t="shared" si="196"/>
        <v>107.14209841015987</v>
      </c>
      <c r="BF153" s="41" t="str">
        <f t="shared" si="197"/>
        <v>131,61826974648+68,0801488959561i</v>
      </c>
      <c r="BG153" s="20">
        <f t="shared" si="198"/>
        <v>43.415982317368282</v>
      </c>
      <c r="BH153" s="43">
        <f t="shared" si="199"/>
        <v>27.350471125774746</v>
      </c>
      <c r="BI153" s="41" t="str">
        <f t="shared" si="152"/>
        <v>435,670382294312+225,626802036941i</v>
      </c>
      <c r="BJ153" s="20">
        <f t="shared" si="200"/>
        <v>53.815052030983857</v>
      </c>
      <c r="BK153" s="43">
        <f t="shared" si="153"/>
        <v>27.378924634769515</v>
      </c>
      <c r="BL153">
        <f t="shared" si="201"/>
        <v>43.415982317368282</v>
      </c>
      <c r="BM153" s="43">
        <f t="shared" si="202"/>
        <v>27.350471125774746</v>
      </c>
    </row>
    <row r="154" spans="14:65" x14ac:dyDescent="0.25">
      <c r="N154" s="9">
        <v>36</v>
      </c>
      <c r="O154" s="34">
        <f t="shared" si="154"/>
        <v>229.08676527677744</v>
      </c>
      <c r="P154" s="33" t="str">
        <f t="shared" si="155"/>
        <v>66,7780509511648</v>
      </c>
      <c r="Q154" s="4" t="str">
        <f t="shared" si="156"/>
        <v>1+5,60991073013487i</v>
      </c>
      <c r="R154" s="4">
        <f t="shared" si="168"/>
        <v>5.6983417237019367</v>
      </c>
      <c r="S154" s="4">
        <f t="shared" si="169"/>
        <v>1.3943932111823241</v>
      </c>
      <c r="T154" s="4" t="str">
        <f t="shared" si="157"/>
        <v>1+0,00143939459765635i</v>
      </c>
      <c r="U154" s="4">
        <f t="shared" si="170"/>
        <v>1.0000010359278673</v>
      </c>
      <c r="V154" s="4">
        <f t="shared" si="171"/>
        <v>1.4393936035844205E-3</v>
      </c>
      <c r="W154" t="str">
        <f t="shared" si="158"/>
        <v>1-0,00313121856194301i</v>
      </c>
      <c r="X154" s="4">
        <f t="shared" si="172"/>
        <v>1.0000049022528252</v>
      </c>
      <c r="Y154" s="4">
        <f t="shared" si="173"/>
        <v>-3.1312083286280986E-3</v>
      </c>
      <c r="Z154" t="str">
        <f t="shared" si="159"/>
        <v>0,999999947519254+0,000615442082642785i</v>
      </c>
      <c r="AA154" s="4">
        <f t="shared" si="174"/>
        <v>1.0000001369037246</v>
      </c>
      <c r="AB154" s="4">
        <f t="shared" si="175"/>
        <v>6.1544203723819973E-4</v>
      </c>
      <c r="AC154" s="47" t="str">
        <f t="shared" si="176"/>
        <v>2,02992561396635-11,5417763499204i</v>
      </c>
      <c r="AD154" s="20">
        <f t="shared" si="177"/>
        <v>21.377755374855496</v>
      </c>
      <c r="AE154" s="43">
        <f t="shared" si="178"/>
        <v>-80.025042057172996</v>
      </c>
      <c r="AF154" t="str">
        <f t="shared" si="160"/>
        <v>223,849857273222</v>
      </c>
      <c r="AG154" t="str">
        <f t="shared" si="161"/>
        <v>1+5,68198518475889i</v>
      </c>
      <c r="AH154">
        <f t="shared" si="179"/>
        <v>5.7693115395010102</v>
      </c>
      <c r="AI154">
        <f t="shared" si="180"/>
        <v>1.3965855578650799</v>
      </c>
      <c r="AJ154" t="str">
        <f t="shared" si="162"/>
        <v>1+0,00143939459765635i</v>
      </c>
      <c r="AK154">
        <f t="shared" si="181"/>
        <v>1.0000010359278673</v>
      </c>
      <c r="AL154">
        <f t="shared" si="182"/>
        <v>1.4393936035844205E-3</v>
      </c>
      <c r="AM154" t="str">
        <f t="shared" si="163"/>
        <v>1-0,000946093816333199i</v>
      </c>
      <c r="AN154">
        <f t="shared" si="183"/>
        <v>1.0000004475466544</v>
      </c>
      <c r="AO154">
        <f t="shared" si="184"/>
        <v>-9.4609353405253924E-4</v>
      </c>
      <c r="AP154" s="41" t="str">
        <f t="shared" si="185"/>
        <v>6,74411585564763-38,2095410665954i</v>
      </c>
      <c r="AQ154">
        <f t="shared" si="186"/>
        <v>31.776669496688093</v>
      </c>
      <c r="AR154" s="43">
        <f t="shared" si="187"/>
        <v>-79.990194182574996</v>
      </c>
      <c r="AS154" t="str">
        <f t="shared" si="164"/>
        <v>-0,0000166666666666667</v>
      </c>
      <c r="AT154" t="str">
        <f t="shared" si="165"/>
        <v>1,44371278144932E-06i</v>
      </c>
      <c r="AU154">
        <f t="shared" si="188"/>
        <v>1.44371278144932E-6</v>
      </c>
      <c r="AV154">
        <f t="shared" si="189"/>
        <v>1.5707963267948966</v>
      </c>
      <c r="AW154" t="str">
        <f t="shared" si="166"/>
        <v>1+0,00094715895758045i</v>
      </c>
      <c r="AX154">
        <f t="shared" si="190"/>
        <v>1.0000004485549447</v>
      </c>
      <c r="AY154">
        <f t="shared" si="191"/>
        <v>9.4715867434531627E-4</v>
      </c>
      <c r="AZ154" t="str">
        <f t="shared" si="167"/>
        <v>1+0,316666811484397i</v>
      </c>
      <c r="BA154">
        <f t="shared" si="192"/>
        <v>1.0489413088899182</v>
      </c>
      <c r="BB154">
        <f t="shared" si="193"/>
        <v>0.30667645102092217</v>
      </c>
      <c r="BC154" s="41" t="str">
        <f t="shared" si="194"/>
        <v>-3,64476200239357+11,5477613146908i</v>
      </c>
      <c r="BD154">
        <f t="shared" si="195"/>
        <v>21.662378847051595</v>
      </c>
      <c r="BE154" s="43">
        <f t="shared" si="196"/>
        <v>107.51699812498016</v>
      </c>
      <c r="BF154" s="41" t="str">
        <f t="shared" si="197"/>
        <v>125,883082690954+65,5081243569752i</v>
      </c>
      <c r="BG154" s="20">
        <f t="shared" si="198"/>
        <v>43.040134221907095</v>
      </c>
      <c r="BH154" s="43">
        <f t="shared" si="199"/>
        <v>27.491956067807166</v>
      </c>
      <c r="BI154" s="41" t="str">
        <f t="shared" si="152"/>
        <v>416,653962970515+217,144123588064i</v>
      </c>
      <c r="BJ154" s="20">
        <f t="shared" si="200"/>
        <v>53.439048343739671</v>
      </c>
      <c r="BK154" s="43">
        <f t="shared" si="153"/>
        <v>27.526803942405174</v>
      </c>
      <c r="BL154">
        <f t="shared" si="201"/>
        <v>43.040134221907095</v>
      </c>
      <c r="BM154" s="43">
        <f t="shared" si="202"/>
        <v>27.491956067807166</v>
      </c>
    </row>
    <row r="155" spans="14:65" x14ac:dyDescent="0.25">
      <c r="N155" s="9">
        <v>37</v>
      </c>
      <c r="O155" s="34">
        <f t="shared" si="154"/>
        <v>234.42288153199232</v>
      </c>
      <c r="P155" s="33" t="str">
        <f t="shared" si="155"/>
        <v>66,7780509511648</v>
      </c>
      <c r="Q155" s="4" t="str">
        <f t="shared" si="156"/>
        <v>1+5,74058233746759i</v>
      </c>
      <c r="R155" s="4">
        <f t="shared" si="168"/>
        <v>5.8270305965598688</v>
      </c>
      <c r="S155" s="4">
        <f t="shared" si="169"/>
        <v>1.3983285902006559</v>
      </c>
      <c r="T155" s="4" t="str">
        <f t="shared" si="157"/>
        <v>1+0,00147292240490851i</v>
      </c>
      <c r="U155" s="4">
        <f t="shared" si="170"/>
        <v>1.000001084749617</v>
      </c>
      <c r="V155" s="4">
        <f t="shared" si="171"/>
        <v>1.472921339741309E-3</v>
      </c>
      <c r="W155" t="str">
        <f t="shared" si="158"/>
        <v>1-0,00320415401173568i</v>
      </c>
      <c r="X155" s="4">
        <f t="shared" si="172"/>
        <v>1.0000051332882902</v>
      </c>
      <c r="Y155" s="4">
        <f t="shared" si="173"/>
        <v>-3.2041430465442359E-3</v>
      </c>
      <c r="Z155" t="str">
        <f t="shared" si="159"/>
        <v>0,999999945045913+0,000629777570323031i</v>
      </c>
      <c r="AA155" s="4">
        <f t="shared" si="174"/>
        <v>1.0000001433557981</v>
      </c>
      <c r="AB155" s="4">
        <f t="shared" si="175"/>
        <v>6.2977752167114149E-4</v>
      </c>
      <c r="AC155" s="47" t="str">
        <f t="shared" si="176"/>
        <v>1,94005521549956-11,2947104418582i</v>
      </c>
      <c r="AD155" s="20">
        <f t="shared" si="177"/>
        <v>21.183781577409185</v>
      </c>
      <c r="AE155" s="43">
        <f t="shared" si="178"/>
        <v>-80.253601882201224</v>
      </c>
      <c r="AF155" t="str">
        <f t="shared" si="160"/>
        <v>223,849857273222</v>
      </c>
      <c r="AG155" t="str">
        <f t="shared" si="161"/>
        <v>1+5,81433562180681i</v>
      </c>
      <c r="AH155">
        <f t="shared" si="179"/>
        <v>5.8997032741496067</v>
      </c>
      <c r="AI155">
        <f t="shared" si="180"/>
        <v>1.4004739702130593</v>
      </c>
      <c r="AJ155" t="str">
        <f t="shared" si="162"/>
        <v>1+0,00147292240490851i</v>
      </c>
      <c r="AK155">
        <f t="shared" si="181"/>
        <v>1.000001084749617</v>
      </c>
      <c r="AL155">
        <f t="shared" si="182"/>
        <v>1.472921339741309E-3</v>
      </c>
      <c r="AM155" t="str">
        <f t="shared" si="163"/>
        <v>1-0,000968131172293912i</v>
      </c>
      <c r="AN155">
        <f t="shared" si="183"/>
        <v>1.0000004686388735</v>
      </c>
      <c r="AO155">
        <f t="shared" si="184"/>
        <v>-9.6813086982474315E-4</v>
      </c>
      <c r="AP155" s="41" t="str">
        <f t="shared" si="185"/>
        <v>6,45015125875015-37,3903467844195i</v>
      </c>
      <c r="AQ155">
        <f t="shared" si="186"/>
        <v>31.58254654221318</v>
      </c>
      <c r="AR155" s="43">
        <f t="shared" si="187"/>
        <v>-80.212325447673834</v>
      </c>
      <c r="AS155" t="str">
        <f t="shared" si="164"/>
        <v>-0,0000166666666666667</v>
      </c>
      <c r="AT155" t="str">
        <f t="shared" si="165"/>
        <v>1,47734117212324E-06i</v>
      </c>
      <c r="AU155">
        <f t="shared" si="188"/>
        <v>1.47734117212324E-6</v>
      </c>
      <c r="AV155">
        <f t="shared" si="189"/>
        <v>1.5707963267948966</v>
      </c>
      <c r="AW155" t="str">
        <f t="shared" si="166"/>
        <v>1+0,000969221123868012i</v>
      </c>
      <c r="AX155">
        <f t="shared" si="190"/>
        <v>1.0000004696946831</v>
      </c>
      <c r="AY155">
        <f t="shared" si="191"/>
        <v>9.6922082037610604E-4</v>
      </c>
      <c r="AZ155" t="str">
        <f t="shared" si="167"/>
        <v>1+0,324042929079872i</v>
      </c>
      <c r="BA155">
        <f t="shared" si="192"/>
        <v>1.0511916190146604</v>
      </c>
      <c r="BB155">
        <f t="shared" si="193"/>
        <v>0.31336601778495671</v>
      </c>
      <c r="BC155" s="41" t="str">
        <f t="shared" si="194"/>
        <v>-3,64476184829501+11,2850611675852i</v>
      </c>
      <c r="BD155">
        <f t="shared" si="195"/>
        <v>21.480992678400334</v>
      </c>
      <c r="BE155" s="43">
        <f t="shared" si="196"/>
        <v>107.89901799947582</v>
      </c>
      <c r="BF155" s="41" t="str">
        <f t="shared" si="197"/>
        <v>120,390458973495+63,0601714814293i</v>
      </c>
      <c r="BG155" s="20">
        <f t="shared" si="198"/>
        <v>42.664774255809554</v>
      </c>
      <c r="BH155" s="43">
        <f t="shared" si="199"/>
        <v>27.645416117274497</v>
      </c>
      <c r="BI155" s="41" t="str">
        <f t="shared" si="152"/>
        <v>398,443085315772+209,069260949544i</v>
      </c>
      <c r="BJ155" s="20">
        <f t="shared" si="200"/>
        <v>53.063539220613514</v>
      </c>
      <c r="BK155" s="43">
        <f t="shared" si="153"/>
        <v>27.686692551801951</v>
      </c>
      <c r="BL155">
        <f t="shared" si="201"/>
        <v>42.664774255809554</v>
      </c>
      <c r="BM155" s="43">
        <f t="shared" si="202"/>
        <v>27.645416117274497</v>
      </c>
    </row>
    <row r="156" spans="14:65" x14ac:dyDescent="0.25">
      <c r="N156" s="9">
        <v>38</v>
      </c>
      <c r="O156" s="34">
        <f t="shared" si="154"/>
        <v>239.88329190194912</v>
      </c>
      <c r="P156" s="33" t="str">
        <f t="shared" si="155"/>
        <v>66,7780509511648</v>
      </c>
      <c r="Q156" s="4" t="str">
        <f t="shared" si="156"/>
        <v>1+5,87429767754128i</v>
      </c>
      <c r="R156" s="4">
        <f t="shared" si="168"/>
        <v>5.95880635734766</v>
      </c>
      <c r="S156" s="4">
        <f t="shared" si="169"/>
        <v>1.4021796098603396</v>
      </c>
      <c r="T156" s="4" t="str">
        <f t="shared" si="157"/>
        <v>1+0,0015072311751162i</v>
      </c>
      <c r="U156" s="4">
        <f t="shared" si="170"/>
        <v>1.0000011358722625</v>
      </c>
      <c r="V156" s="4">
        <f t="shared" si="171"/>
        <v>1.5072300337690507E-3</v>
      </c>
      <c r="W156" t="str">
        <f t="shared" si="158"/>
        <v>1-0,0032787883463974i</v>
      </c>
      <c r="X156" s="4">
        <f t="shared" si="172"/>
        <v>1.0000053752120637</v>
      </c>
      <c r="Y156" s="4">
        <f t="shared" si="173"/>
        <v>-3.2787765969864925E-3</v>
      </c>
      <c r="Z156" t="str">
        <f t="shared" si="159"/>
        <v>0,999999942456006+0,00064444697440716i</v>
      </c>
      <c r="AA156" s="4">
        <f t="shared" si="174"/>
        <v>1.0000001501119478</v>
      </c>
      <c r="AB156" s="4">
        <f t="shared" si="175"/>
        <v>6.4444692227572206E-4</v>
      </c>
      <c r="AC156" s="47" t="str">
        <f t="shared" si="176"/>
        <v>1,85399645182837-11,0522632565136i</v>
      </c>
      <c r="AD156" s="20">
        <f t="shared" si="177"/>
        <v>20.989544585142433</v>
      </c>
      <c r="AE156" s="43">
        <f t="shared" si="178"/>
        <v>-80.477399994347707</v>
      </c>
      <c r="AF156" t="str">
        <f t="shared" si="160"/>
        <v>223,849857273222</v>
      </c>
      <c r="AG156" t="str">
        <f t="shared" si="161"/>
        <v>1+5,94976889656329i</v>
      </c>
      <c r="AH156">
        <f t="shared" si="179"/>
        <v>6.0332205265937331</v>
      </c>
      <c r="AI156">
        <f t="shared" si="180"/>
        <v>1.404278903603728</v>
      </c>
      <c r="AJ156" t="str">
        <f t="shared" si="162"/>
        <v>1+0,0015072311751162i</v>
      </c>
      <c r="AK156">
        <f t="shared" si="181"/>
        <v>1.0000011358722625</v>
      </c>
      <c r="AL156">
        <f t="shared" si="182"/>
        <v>1.5072300337690507E-3</v>
      </c>
      <c r="AM156" t="str">
        <f t="shared" si="163"/>
        <v>1-0,000990681844216916i</v>
      </c>
      <c r="AN156">
        <f t="shared" si="183"/>
        <v>1.0000004907251379</v>
      </c>
      <c r="AO156">
        <f t="shared" si="184"/>
        <v>-9.9068152011537089E-4</v>
      </c>
      <c r="AP156" s="41" t="str">
        <f t="shared" si="185"/>
        <v>6,16867315758277-36,5865501920545i</v>
      </c>
      <c r="AQ156">
        <f t="shared" si="186"/>
        <v>31.388166565477306</v>
      </c>
      <c r="AR156" s="43">
        <f t="shared" si="187"/>
        <v>-80.429658386006096</v>
      </c>
      <c r="AS156" t="str">
        <f t="shared" si="164"/>
        <v>-0,0000166666666666667</v>
      </c>
      <c r="AT156" t="str">
        <f t="shared" si="165"/>
        <v>1,51175286864155E-06i</v>
      </c>
      <c r="AU156">
        <f t="shared" si="188"/>
        <v>1.5117528686415499E-6</v>
      </c>
      <c r="AV156">
        <f t="shared" si="189"/>
        <v>1.5707963267948966</v>
      </c>
      <c r="AW156" t="str">
        <f t="shared" si="166"/>
        <v>1+0,000991797184024618i</v>
      </c>
      <c r="AX156">
        <f t="shared" si="190"/>
        <v>1.0000004918307062</v>
      </c>
      <c r="AY156">
        <f t="shared" si="191"/>
        <v>9.9179685882719044E-4</v>
      </c>
      <c r="AZ156" t="str">
        <f t="shared" si="167"/>
        <v>1+0,331590858525564i</v>
      </c>
      <c r="BA156">
        <f t="shared" si="192"/>
        <v>1.0535428313351671</v>
      </c>
      <c r="BB156">
        <f t="shared" si="193"/>
        <v>0.32018150814952551</v>
      </c>
      <c r="BC156" s="41" t="str">
        <f t="shared" si="194"/>
        <v>-3,64476168693404+11,028344509272i</v>
      </c>
      <c r="BD156">
        <f t="shared" si="195"/>
        <v>21.300398619975304</v>
      </c>
      <c r="BE156" s="43">
        <f t="shared" si="196"/>
        <v>108.28822332095625</v>
      </c>
      <c r="BF156" s="41" t="str">
        <f t="shared" si="197"/>
        <v>115,130791564665+60,7293772609808i</v>
      </c>
      <c r="BG156" s="20">
        <f t="shared" si="198"/>
        <v>42.289943205117751</v>
      </c>
      <c r="BH156" s="43">
        <f t="shared" si="199"/>
        <v>27.810823326608492</v>
      </c>
      <c r="BI156" s="41" t="str">
        <f t="shared" si="152"/>
        <v>381,005736339773+201,379509144011i</v>
      </c>
      <c r="BJ156" s="20">
        <f t="shared" si="200"/>
        <v>52.688565185452617</v>
      </c>
      <c r="BK156" s="43">
        <f t="shared" si="153"/>
        <v>27.858564934950142</v>
      </c>
      <c r="BL156">
        <f t="shared" si="201"/>
        <v>42.289943205117751</v>
      </c>
      <c r="BM156" s="43">
        <f t="shared" si="202"/>
        <v>27.810823326608492</v>
      </c>
    </row>
    <row r="157" spans="14:65" x14ac:dyDescent="0.25">
      <c r="N157" s="9">
        <v>39</v>
      </c>
      <c r="O157" s="34">
        <f t="shared" si="154"/>
        <v>245.4708915685033</v>
      </c>
      <c r="P157" s="33" t="str">
        <f t="shared" si="155"/>
        <v>66,7780509511648</v>
      </c>
      <c r="Q157" s="4" t="str">
        <f t="shared" si="156"/>
        <v>1+6,01112764799909i</v>
      </c>
      <c r="R157" s="4">
        <f t="shared" si="168"/>
        <v>6.0937390492651611</v>
      </c>
      <c r="S157" s="4">
        <f t="shared" si="169"/>
        <v>1.4059478548985616</v>
      </c>
      <c r="T157" s="4" t="str">
        <f t="shared" si="157"/>
        <v>1+0,00154233909924349i</v>
      </c>
      <c r="U157" s="4">
        <f t="shared" si="170"/>
        <v>1.0000011894042411</v>
      </c>
      <c r="V157" s="4">
        <f t="shared" si="171"/>
        <v>1.5423378762680641E-3</v>
      </c>
      <c r="W157" t="str">
        <f t="shared" si="158"/>
        <v>1-0,00335516113804026i</v>
      </c>
      <c r="X157" s="4">
        <f t="shared" si="172"/>
        <v>1.0000056285372909</v>
      </c>
      <c r="Y157" s="4">
        <f t="shared" si="173"/>
        <v>-3.3551485483234748E-3</v>
      </c>
      <c r="Z157" t="str">
        <f t="shared" si="159"/>
        <v>0,999999939744041+0,00065945807280738i</v>
      </c>
      <c r="AA157" s="4">
        <f t="shared" si="174"/>
        <v>1.0000001571865054</v>
      </c>
      <c r="AB157" s="4">
        <f t="shared" si="175"/>
        <v>6.5945801694753845E-4</v>
      </c>
      <c r="AC157" s="47" t="str">
        <f t="shared" si="176"/>
        <v>1,77159744159657-10,8143925782525i</v>
      </c>
      <c r="AD157" s="20">
        <f t="shared" si="177"/>
        <v>20.795055585808058</v>
      </c>
      <c r="AE157" s="43">
        <f t="shared" si="178"/>
        <v>-80.696528862861271</v>
      </c>
      <c r="AF157" t="str">
        <f t="shared" si="160"/>
        <v>223,849857273222</v>
      </c>
      <c r="AG157" t="str">
        <f t="shared" si="161"/>
        <v>1+6,0883568175432i</v>
      </c>
      <c r="AH157">
        <f t="shared" si="179"/>
        <v>6.1699342571639102</v>
      </c>
      <c r="AI157">
        <f t="shared" si="180"/>
        <v>1.4080019345539465</v>
      </c>
      <c r="AJ157" t="str">
        <f t="shared" si="162"/>
        <v>1+0,00154233909924349i</v>
      </c>
      <c r="AK157">
        <f t="shared" si="181"/>
        <v>1.0000011894042411</v>
      </c>
      <c r="AL157">
        <f t="shared" si="182"/>
        <v>1.5423378762680641E-3</v>
      </c>
      <c r="AM157" t="str">
        <f t="shared" si="163"/>
        <v>1-0,00101375778876694i</v>
      </c>
      <c r="AN157">
        <f t="shared" si="183"/>
        <v>1.0000005138522952</v>
      </c>
      <c r="AO157">
        <f t="shared" si="184"/>
        <v>-1.0137574414858872E-3</v>
      </c>
      <c r="AP157" s="41" t="str">
        <f t="shared" si="185"/>
        <v>5,89918239811623-35,7980045205943i</v>
      </c>
      <c r="AQ157">
        <f t="shared" si="186"/>
        <v>31.193540500628991</v>
      </c>
      <c r="AR157" s="43">
        <f t="shared" si="187"/>
        <v>-80.64228296815007</v>
      </c>
      <c r="AS157" t="str">
        <f t="shared" si="164"/>
        <v>-0,0000166666666666667</v>
      </c>
      <c r="AT157" t="str">
        <f t="shared" si="165"/>
        <v>1,54696611654122E-06i</v>
      </c>
      <c r="AU157">
        <f t="shared" si="188"/>
        <v>1.54696611654122E-6</v>
      </c>
      <c r="AV157">
        <f t="shared" si="189"/>
        <v>1.5707963267948966</v>
      </c>
      <c r="AW157" t="str">
        <f t="shared" si="166"/>
        <v>1+0,00101489910817617i</v>
      </c>
      <c r="AX157">
        <f t="shared" si="190"/>
        <v>1.0000005150099673</v>
      </c>
      <c r="AY157">
        <f t="shared" si="191"/>
        <v>1.0148987597208578E-3</v>
      </c>
      <c r="AZ157" t="str">
        <f t="shared" si="167"/>
        <v>1+0,339314601833567i</v>
      </c>
      <c r="BA157">
        <f t="shared" si="192"/>
        <v>1.0559992419587583</v>
      </c>
      <c r="BB157">
        <f t="shared" si="193"/>
        <v>0.32712400222564242</v>
      </c>
      <c r="BC157" s="41" t="str">
        <f t="shared" si="194"/>
        <v>-3,64476151796836+10,7774752251799i</v>
      </c>
      <c r="BD157">
        <f t="shared" si="195"/>
        <v>21.120626620294402</v>
      </c>
      <c r="BE157" s="43">
        <f t="shared" si="196"/>
        <v>108.68467528939246</v>
      </c>
      <c r="BF157" s="41" t="str">
        <f t="shared" si="197"/>
        <v>110,094797907023+58,5092294452165i</v>
      </c>
      <c r="BG157" s="20">
        <f t="shared" si="198"/>
        <v>41.915682206102439</v>
      </c>
      <c r="BH157" s="43">
        <f t="shared" si="199"/>
        <v>27.988146426531273</v>
      </c>
      <c r="BI157" s="41" t="str">
        <f t="shared" si="152"/>
        <v>364,310993839453+194,053481441235i</v>
      </c>
      <c r="BJ157" s="20">
        <f t="shared" si="200"/>
        <v>52.3141671209234</v>
      </c>
      <c r="BK157" s="43">
        <f t="shared" si="153"/>
        <v>28.042392321242446</v>
      </c>
      <c r="BL157">
        <f t="shared" si="201"/>
        <v>41.915682206102439</v>
      </c>
      <c r="BM157" s="43">
        <f t="shared" si="202"/>
        <v>27.988146426531273</v>
      </c>
    </row>
    <row r="158" spans="14:65" x14ac:dyDescent="0.25">
      <c r="N158" s="9">
        <v>40</v>
      </c>
      <c r="O158" s="34">
        <f t="shared" si="154"/>
        <v>251.18864315095806</v>
      </c>
      <c r="P158" s="33" t="str">
        <f t="shared" si="155"/>
        <v>66,7780509511648</v>
      </c>
      <c r="Q158" s="4" t="str">
        <f t="shared" si="156"/>
        <v>1+6,15114479790258i</v>
      </c>
      <c r="R158" s="4">
        <f t="shared" si="168"/>
        <v>6.2319003782765945</v>
      </c>
      <c r="S158" s="4">
        <f t="shared" si="169"/>
        <v>1.4096348950105078</v>
      </c>
      <c r="T158" s="4" t="str">
        <f t="shared" si="157"/>
        <v>1+0,00157826479197648i</v>
      </c>
      <c r="U158" s="4">
        <f t="shared" si="170"/>
        <v>1.0000012454591012</v>
      </c>
      <c r="V158" s="4">
        <f t="shared" si="171"/>
        <v>1.5782634815347896E-3</v>
      </c>
      <c r="W158" t="str">
        <f t="shared" si="158"/>
        <v>1-0,00343331288052933i</v>
      </c>
      <c r="X158" s="4">
        <f t="shared" si="172"/>
        <v>1.0000058938012992</v>
      </c>
      <c r="Y158" s="4">
        <f t="shared" si="173"/>
        <v>-3.4332993904090414E-3</v>
      </c>
      <c r="Z158" t="str">
        <f t="shared" si="159"/>
        <v>0,999999936904266+0,000674818824606766i</v>
      </c>
      <c r="AA158" s="4">
        <f t="shared" si="174"/>
        <v>1.0000001645944774</v>
      </c>
      <c r="AB158" s="4">
        <f t="shared" si="175"/>
        <v>6.7481876475186718E-4</v>
      </c>
      <c r="AC158" s="47" t="str">
        <f t="shared" si="176"/>
        <v>1,69271151408958-10,5810533866217i</v>
      </c>
      <c r="AD158" s="20">
        <f t="shared" si="177"/>
        <v>20.600325320535116</v>
      </c>
      <c r="AE158" s="43">
        <f t="shared" si="178"/>
        <v>-80.911080134049257</v>
      </c>
      <c r="AF158" t="str">
        <f t="shared" si="160"/>
        <v>223,849857273222</v>
      </c>
      <c r="AG158" t="str">
        <f t="shared" si="161"/>
        <v>1+6,23017286589673i</v>
      </c>
      <c r="AH158">
        <f t="shared" si="179"/>
        <v>6.3099171103078584</v>
      </c>
      <c r="AI158">
        <f t="shared" si="180"/>
        <v>1.4116446240172176</v>
      </c>
      <c r="AJ158" t="str">
        <f t="shared" si="162"/>
        <v>1+0,00157826479197648i</v>
      </c>
      <c r="AK158">
        <f t="shared" si="181"/>
        <v>1.0000012454591012</v>
      </c>
      <c r="AL158">
        <f t="shared" si="182"/>
        <v>1.5782634815347896E-3</v>
      </c>
      <c r="AM158" t="str">
        <f t="shared" si="163"/>
        <v>1-0,00103737124111525i</v>
      </c>
      <c r="AN158">
        <f t="shared" si="183"/>
        <v>1.0000005380694013</v>
      </c>
      <c r="AO158">
        <f t="shared" si="184"/>
        <v>-1.0373708689969084E-3</v>
      </c>
      <c r="AP158" s="41" t="str">
        <f t="shared" si="185"/>
        <v>5,64119709262531-35,0245541134895i</v>
      </c>
      <c r="AQ158">
        <f t="shared" si="186"/>
        <v>30.998678843609412</v>
      </c>
      <c r="AR158" s="43">
        <f t="shared" si="187"/>
        <v>-80.850288264650274</v>
      </c>
      <c r="AS158" t="str">
        <f t="shared" si="164"/>
        <v>-0,0000166666666666667</v>
      </c>
      <c r="AT158" t="str">
        <f t="shared" si="165"/>
        <v>1,58299958635241E-06i</v>
      </c>
      <c r="AU158">
        <f t="shared" si="188"/>
        <v>1.5829995863524101E-6</v>
      </c>
      <c r="AV158">
        <f t="shared" si="189"/>
        <v>1.5707963267948966</v>
      </c>
      <c r="AW158" t="str">
        <f t="shared" si="166"/>
        <v>1+0,00103853914526867i</v>
      </c>
      <c r="AX158">
        <f t="shared" si="190"/>
        <v>1.0000005392816327</v>
      </c>
      <c r="AY158">
        <f t="shared" si="191"/>
        <v>1.038538771892087E-3</v>
      </c>
      <c r="AZ158" t="str">
        <f t="shared" si="167"/>
        <v>1+0,347218254234825i</v>
      </c>
      <c r="BA158">
        <f t="shared" si="192"/>
        <v>1.058565310254346</v>
      </c>
      <c r="BB158">
        <f t="shared" si="193"/>
        <v>0.33419450319613525</v>
      </c>
      <c r="BC158" s="41" t="str">
        <f t="shared" si="194"/>
        <v>-3,64476134103959+10,5323203010927i</v>
      </c>
      <c r="BD158">
        <f t="shared" si="195"/>
        <v>20.941707437183723</v>
      </c>
      <c r="BE158" s="43">
        <f t="shared" si="196"/>
        <v>109.08843068111983</v>
      </c>
      <c r="BF158" s="41" t="str">
        <f t="shared" si="197"/>
        <v>105,273513902775+56,3935941747739i</v>
      </c>
      <c r="BG158" s="20">
        <f t="shared" si="198"/>
        <v>41.542032757718836</v>
      </c>
      <c r="BH158" s="43">
        <f t="shared" si="199"/>
        <v>28.177350547070628</v>
      </c>
      <c r="BI158" s="41" t="str">
        <f t="shared" si="152"/>
        <v>348,32900524584+187,071035481118i</v>
      </c>
      <c r="BJ158" s="20">
        <f t="shared" si="200"/>
        <v>51.940386280793135</v>
      </c>
      <c r="BK158" s="43">
        <f t="shared" si="153"/>
        <v>28.238142416469483</v>
      </c>
      <c r="BL158">
        <f t="shared" si="201"/>
        <v>41.542032757718836</v>
      </c>
      <c r="BM158" s="43">
        <f t="shared" si="202"/>
        <v>28.177350547070628</v>
      </c>
    </row>
    <row r="159" spans="14:65" x14ac:dyDescent="0.25">
      <c r="N159" s="9">
        <v>41</v>
      </c>
      <c r="O159" s="34">
        <f t="shared" si="154"/>
        <v>257.03957827688663</v>
      </c>
      <c r="P159" s="33" t="str">
        <f t="shared" si="155"/>
        <v>66,7780509511648</v>
      </c>
      <c r="Q159" s="4" t="str">
        <f t="shared" si="156"/>
        <v>1+6,29442336619791i</v>
      </c>
      <c r="R159" s="4">
        <f t="shared" si="168"/>
        <v>6.3733637518141268</v>
      </c>
      <c r="S159" s="4">
        <f t="shared" si="169"/>
        <v>1.413242283929766</v>
      </c>
      <c r="T159" s="4" t="str">
        <f t="shared" si="157"/>
        <v>1+0,00161502730159297i</v>
      </c>
      <c r="U159" s="4">
        <f t="shared" si="170"/>
        <v>1.0000013041557421</v>
      </c>
      <c r="V159" s="4">
        <f t="shared" si="171"/>
        <v>1.6150258974294992E-3</v>
      </c>
      <c r="W159" t="str">
        <f t="shared" si="158"/>
        <v>1-0,0035132850109529i</v>
      </c>
      <c r="X159" s="4">
        <f t="shared" si="172"/>
        <v>1.0000061715667399</v>
      </c>
      <c r="Y159" s="4">
        <f t="shared" si="173"/>
        <v>-3.5132705560333992E-3</v>
      </c>
      <c r="Z159" t="str">
        <f t="shared" si="159"/>
        <v>0,999999933930655+0,000690537374279237i</v>
      </c>
      <c r="AA159" s="4">
        <f t="shared" si="174"/>
        <v>1.000000172351575</v>
      </c>
      <c r="AB159" s="4">
        <f t="shared" si="175"/>
        <v>6.9053731014355848E-4</v>
      </c>
      <c r="AC159" s="47" t="str">
        <f t="shared" si="176"/>
        <v>1,61719710470763-10,3521981272971i</v>
      </c>
      <c r="AD159" s="20">
        <f t="shared" si="177"/>
        <v>20.405364099285563</v>
      </c>
      <c r="AE159" s="43">
        <f t="shared" si="178"/>
        <v>-81.121144579493517</v>
      </c>
      <c r="AF159" t="str">
        <f t="shared" si="160"/>
        <v>223,849857273222</v>
      </c>
      <c r="AG159" t="str">
        <f t="shared" si="161"/>
        <v>1+6,37529223436981i</v>
      </c>
      <c r="AH159">
        <f t="shared" si="179"/>
        <v>6.453243453769276</v>
      </c>
      <c r="AI159">
        <f t="shared" si="180"/>
        <v>1.4152085165150288</v>
      </c>
      <c r="AJ159" t="str">
        <f t="shared" si="162"/>
        <v>1+0,00161502730159297i</v>
      </c>
      <c r="AK159">
        <f t="shared" si="181"/>
        <v>1.0000013041557421</v>
      </c>
      <c r="AL159">
        <f t="shared" si="182"/>
        <v>1.6150258974294992E-3</v>
      </c>
      <c r="AM159" t="str">
        <f t="shared" si="163"/>
        <v>1-0,00106153472142682i</v>
      </c>
      <c r="AN159">
        <f t="shared" si="183"/>
        <v>1.0000005634278237</v>
      </c>
      <c r="AO159">
        <f t="shared" si="184"/>
        <v>-1.0615343226948453E-3</v>
      </c>
      <c r="AP159" s="41" t="str">
        <f t="shared" si="185"/>
        <v>5,39425225950104-34,2660353051568i</v>
      </c>
      <c r="AQ159">
        <f t="shared" si="186"/>
        <v>30.80359166742408</v>
      </c>
      <c r="AR159" s="43">
        <f t="shared" si="187"/>
        <v>-81.05376239605306</v>
      </c>
      <c r="AS159" t="str">
        <f t="shared" si="164"/>
        <v>-0,0000166666666666667</v>
      </c>
      <c r="AT159" t="str">
        <f t="shared" si="165"/>
        <v>1,61987238349775E-06i</v>
      </c>
      <c r="AU159">
        <f t="shared" si="188"/>
        <v>1.61987238349775E-6</v>
      </c>
      <c r="AV159">
        <f t="shared" si="189"/>
        <v>1.5707963267948966</v>
      </c>
      <c r="AW159" t="str">
        <f t="shared" si="166"/>
        <v>1+0,00106272982956267i</v>
      </c>
      <c r="AX159">
        <f t="shared" si="190"/>
        <v>1.0000005646971859</v>
      </c>
      <c r="AY159">
        <f t="shared" si="191"/>
        <v>1.0627294294824653E-3</v>
      </c>
      <c r="AZ159" t="str">
        <f t="shared" si="167"/>
        <v>1+0,355306006350453i</v>
      </c>
      <c r="BA159">
        <f t="shared" si="192"/>
        <v>1.0612456634298715</v>
      </c>
      <c r="BB159">
        <f t="shared" si="193"/>
        <v>0.34139393126997292</v>
      </c>
      <c r="BC159" s="41" t="str">
        <f t="shared" si="194"/>
        <v>-3,64476115577244+10,2927497526237i</v>
      </c>
      <c r="BD159">
        <f t="shared" si="195"/>
        <v>20.763672631806141</v>
      </c>
      <c r="BE159" s="43">
        <f t="shared" si="196"/>
        <v>109.49954150207505</v>
      </c>
      <c r="BF159" s="41" t="str">
        <f t="shared" si="197"/>
        <v>100,658287525383+54,3766947106559i</v>
      </c>
      <c r="BG159" s="20">
        <f t="shared" si="198"/>
        <v>41.169036731091722</v>
      </c>
      <c r="BH159" s="43">
        <f t="shared" si="199"/>
        <v>28.378396922581477</v>
      </c>
      <c r="BI159" s="41" t="str">
        <f t="shared" si="152"/>
        <v>333,030965310681+180,413203052132i</v>
      </c>
      <c r="BJ159" s="20">
        <f t="shared" si="200"/>
        <v>51.567264299230224</v>
      </c>
      <c r="BK159" s="43">
        <f t="shared" si="153"/>
        <v>28.445779106021998</v>
      </c>
      <c r="BL159">
        <f t="shared" si="201"/>
        <v>41.169036731091722</v>
      </c>
      <c r="BM159" s="43">
        <f t="shared" si="202"/>
        <v>28.378396922581477</v>
      </c>
    </row>
    <row r="160" spans="14:65" x14ac:dyDescent="0.25">
      <c r="N160" s="9">
        <v>42</v>
      </c>
      <c r="O160" s="34">
        <f t="shared" si="154"/>
        <v>263.02679918953817</v>
      </c>
      <c r="P160" s="33" t="str">
        <f t="shared" si="155"/>
        <v>66,7780509511648</v>
      </c>
      <c r="Q160" s="4" t="str">
        <f t="shared" si="156"/>
        <v>1+6,44103932107855i</v>
      </c>
      <c r="R160" s="4">
        <f t="shared" si="168"/>
        <v>6.5182043183441278</v>
      </c>
      <c r="S160" s="4">
        <f t="shared" si="169"/>
        <v>1.4167715585994236</v>
      </c>
      <c r="T160" s="4" t="str">
        <f t="shared" si="157"/>
        <v>1+0,00165264612006218i</v>
      </c>
      <c r="U160" s="4">
        <f t="shared" si="170"/>
        <v>1.0000013656186666</v>
      </c>
      <c r="V160" s="4">
        <f t="shared" si="171"/>
        <v>1.6526446154740244E-3</v>
      </c>
      <c r="W160" t="str">
        <f t="shared" si="158"/>
        <v>1-0,00359511993159311i</v>
      </c>
      <c r="X160" s="4">
        <f t="shared" si="172"/>
        <v>1.0000064624227798</v>
      </c>
      <c r="Y160" s="4">
        <f t="shared" si="173"/>
        <v>-3.5951044428732147E-3</v>
      </c>
      <c r="Z160" t="str">
        <f t="shared" si="159"/>
        <v>0,999999930816903+0,000706622056007895i</v>
      </c>
      <c r="AA160" s="4">
        <f t="shared" si="174"/>
        <v>1.000000180474254</v>
      </c>
      <c r="AB160" s="4">
        <f t="shared" si="175"/>
        <v>7.0662198728527767E-4</v>
      </c>
      <c r="AC160" s="47" t="str">
        <f t="shared" si="176"/>
        <v>1,54491764528186-10,1277769674379i</v>
      </c>
      <c r="AD160" s="20">
        <f t="shared" si="177"/>
        <v>20.210181815989689</v>
      </c>
      <c r="AE160" s="43">
        <f t="shared" si="178"/>
        <v>-81.326812049484829</v>
      </c>
      <c r="AF160" t="str">
        <f t="shared" si="160"/>
        <v>223,849857273222</v>
      </c>
      <c r="AG160" t="str">
        <f t="shared" si="161"/>
        <v>1+6,52379186717253i</v>
      </c>
      <c r="AH160">
        <f t="shared" si="179"/>
        <v>6.5999894186420063</v>
      </c>
      <c r="AI160">
        <f t="shared" si="180"/>
        <v>1.4186951393559402</v>
      </c>
      <c r="AJ160" t="str">
        <f t="shared" si="162"/>
        <v>1+0,00165264612006218i</v>
      </c>
      <c r="AK160">
        <f t="shared" si="181"/>
        <v>1.0000013656186666</v>
      </c>
      <c r="AL160">
        <f t="shared" si="182"/>
        <v>1.6526446154740244E-3</v>
      </c>
      <c r="AM160" t="str">
        <f t="shared" si="163"/>
        <v>1-0,00108626104149876i</v>
      </c>
      <c r="AN160">
        <f t="shared" si="183"/>
        <v>1.0000005899813511</v>
      </c>
      <c r="AO160">
        <f t="shared" si="184"/>
        <v>-1.0862606142497651E-3</v>
      </c>
      <c r="AP160" s="41" t="str">
        <f t="shared" si="185"/>
        <v>5,15789944751353-33,5222772483843i</v>
      </c>
      <c r="AQ160">
        <f t="shared" si="186"/>
        <v>30.608288637085145</v>
      </c>
      <c r="AR160" s="43">
        <f t="shared" si="187"/>
        <v>-81.25279248796565</v>
      </c>
      <c r="AS160" t="str">
        <f t="shared" si="164"/>
        <v>-0,0000166666666666667</v>
      </c>
      <c r="AT160" t="str">
        <f t="shared" si="165"/>
        <v>1,65760405842237E-06i</v>
      </c>
      <c r="AU160">
        <f t="shared" si="188"/>
        <v>1.6576040584223699E-6</v>
      </c>
      <c r="AV160">
        <f t="shared" si="189"/>
        <v>1.5707963267948966</v>
      </c>
      <c r="AW160" t="str">
        <f t="shared" si="166"/>
        <v>1+0,0010874839872792i</v>
      </c>
      <c r="AX160">
        <f t="shared" si="190"/>
        <v>1.0000005913105365</v>
      </c>
      <c r="AY160">
        <f t="shared" si="191"/>
        <v>1.0874835585855508E-3</v>
      </c>
      <c r="AZ160" t="str">
        <f t="shared" si="167"/>
        <v>1+0,363582146413679i</v>
      </c>
      <c r="BA160">
        <f t="shared" si="192"/>
        <v>1.0640451011074568</v>
      </c>
      <c r="BB160">
        <f t="shared" si="193"/>
        <v>0.34872311746584178</v>
      </c>
      <c r="BC160" s="41" t="str">
        <f t="shared" si="194"/>
        <v>-3,64476096177394+10,0586365562956i</v>
      </c>
      <c r="BD160">
        <f t="shared" si="195"/>
        <v>20.586554559816172</v>
      </c>
      <c r="BE160" s="43">
        <f t="shared" si="196"/>
        <v>109.91805463124068</v>
      </c>
      <c r="BF160" s="41" t="str">
        <f t="shared" si="197"/>
        <v>96,2407721160004+52,4530912237691i</v>
      </c>
      <c r="BG160" s="20">
        <f t="shared" si="198"/>
        <v>40.796736375805864</v>
      </c>
      <c r="BH160" s="43">
        <f t="shared" si="199"/>
        <v>28.591242581755832</v>
      </c>
      <c r="BI160" s="41" t="str">
        <f t="shared" si="152"/>
        <v>318,389092829822+174,06212340113i</v>
      </c>
      <c r="BJ160" s="20">
        <f t="shared" si="200"/>
        <v>51.19484319690131</v>
      </c>
      <c r="BK160" s="43">
        <f t="shared" si="153"/>
        <v>28.66526214327499</v>
      </c>
      <c r="BL160">
        <f t="shared" si="201"/>
        <v>40.796736375805864</v>
      </c>
      <c r="BM160" s="43">
        <f t="shared" si="202"/>
        <v>28.591242581755832</v>
      </c>
    </row>
    <row r="161" spans="14:65" x14ac:dyDescent="0.25">
      <c r="N161" s="9">
        <v>43</v>
      </c>
      <c r="O161" s="34">
        <f t="shared" si="154"/>
        <v>269.15348039269179</v>
      </c>
      <c r="P161" s="33" t="str">
        <f t="shared" si="155"/>
        <v>66,7780509511648</v>
      </c>
      <c r="Q161" s="4" t="str">
        <f t="shared" si="156"/>
        <v>1+6,59107040026448i</v>
      </c>
      <c r="R161" s="4">
        <f t="shared" si="168"/>
        <v>6.6664990078183148</v>
      </c>
      <c r="S161" s="4">
        <f t="shared" si="169"/>
        <v>1.4202242384285648</v>
      </c>
      <c r="T161" s="4" t="str">
        <f t="shared" si="157"/>
        <v>1+0,00169114119337961i</v>
      </c>
      <c r="U161" s="4">
        <f t="shared" si="170"/>
        <v>1.0000014299782456</v>
      </c>
      <c r="V161" s="4">
        <f t="shared" si="171"/>
        <v>1.6911395811844794E-3</v>
      </c>
      <c r="W161" t="str">
        <f t="shared" si="158"/>
        <v>1-0,0036788610324081i</v>
      </c>
      <c r="X161" s="4">
        <f t="shared" si="172"/>
        <v>1.0000067669863517</v>
      </c>
      <c r="Y161" s="4">
        <f t="shared" si="173"/>
        <v>-3.6788444359517843E-3</v>
      </c>
      <c r="Z161" t="str">
        <f t="shared" si="159"/>
        <v>0,999999927556404+0,000723081398103899i</v>
      </c>
      <c r="AA161" s="4">
        <f t="shared" si="174"/>
        <v>1.000000188979743</v>
      </c>
      <c r="AB161" s="4">
        <f t="shared" si="175"/>
        <v>7.2308132446628867E-4</v>
      </c>
      <c r="AC161" s="47" t="str">
        <f t="shared" si="176"/>
        <v>1,47574145014671-9,90773803601196i</v>
      </c>
      <c r="AD161" s="20">
        <f t="shared" si="177"/>
        <v>20.014787963347381</v>
      </c>
      <c r="AE161" s="43">
        <f t="shared" si="178"/>
        <v>-81.528171431370779</v>
      </c>
      <c r="AF161" t="str">
        <f t="shared" si="160"/>
        <v>223,849857273222</v>
      </c>
      <c r="AG161" t="str">
        <f t="shared" si="161"/>
        <v>1+6,67575050077584i</v>
      </c>
      <c r="AH161">
        <f t="shared" si="179"/>
        <v>6.7502329403220518</v>
      </c>
      <c r="AI161">
        <f t="shared" si="180"/>
        <v>1.4221060019372305</v>
      </c>
      <c r="AJ161" t="str">
        <f t="shared" si="162"/>
        <v>1+0,00169114119337961i</v>
      </c>
      <c r="AK161">
        <f t="shared" si="181"/>
        <v>1.0000014299782456</v>
      </c>
      <c r="AL161">
        <f t="shared" si="182"/>
        <v>1.6911395811844794E-3</v>
      </c>
      <c r="AM161" t="str">
        <f t="shared" si="163"/>
        <v>1-0,00111156331155328i</v>
      </c>
      <c r="AN161">
        <f t="shared" si="183"/>
        <v>1.000000617786307</v>
      </c>
      <c r="AO161">
        <f t="shared" si="184"/>
        <v>-1.1115628537477491E-3</v>
      </c>
      <c r="AP161" s="41" t="str">
        <f t="shared" si="185"/>
        <v>4,93170634743565-32,7931026924474i</v>
      </c>
      <c r="AQ161">
        <f t="shared" si="186"/>
        <v>30.412779024212576</v>
      </c>
      <c r="AR161" s="43">
        <f t="shared" si="187"/>
        <v>-81.447464630840443</v>
      </c>
      <c r="AS161" t="str">
        <f t="shared" si="164"/>
        <v>-0,0000166666666666667</v>
      </c>
      <c r="AT161" t="str">
        <f t="shared" si="165"/>
        <v>1,69621461695975E-06i</v>
      </c>
      <c r="AU161">
        <f t="shared" si="188"/>
        <v>1.69621461695975E-6</v>
      </c>
      <c r="AV161">
        <f t="shared" si="189"/>
        <v>1.5707963267948966</v>
      </c>
      <c r="AW161" t="str">
        <f t="shared" si="166"/>
        <v>1+0,00111281474340034i</v>
      </c>
      <c r="AX161">
        <f t="shared" si="190"/>
        <v>1.000000619178135</v>
      </c>
      <c r="AY161">
        <f t="shared" si="191"/>
        <v>1.1128142840468342E-3</v>
      </c>
      <c r="AZ161" t="str">
        <f t="shared" si="167"/>
        <v>1+0,372051062543514i</v>
      </c>
      <c r="BA161">
        <f t="shared" si="192"/>
        <v>1.0669685998846252</v>
      </c>
      <c r="BB161">
        <f t="shared" si="193"/>
        <v>0.35618279723887492</v>
      </c>
      <c r="BC161" s="41" t="str">
        <f t="shared" si="194"/>
        <v>-3,64476075863261+9,82985658219145i</v>
      </c>
      <c r="BD161">
        <f t="shared" si="195"/>
        <v>20.410386359436391</v>
      </c>
      <c r="BE161" s="43">
        <f t="shared" si="196"/>
        <v>110.34401145509375</v>
      </c>
      <c r="BF161" s="41" t="str">
        <f t="shared" si="197"/>
        <v>92,0129194205384+50,6176616078055i</v>
      </c>
      <c r="BG161" s="20">
        <f t="shared" si="198"/>
        <v>40.425174322783768</v>
      </c>
      <c r="BH161" s="43">
        <f t="shared" si="199"/>
        <v>28.815840023722991</v>
      </c>
      <c r="BI161" s="41" t="str">
        <f t="shared" si="152"/>
        <v>304,376606583601+168,000979948017i</v>
      </c>
      <c r="BJ161" s="20">
        <f t="shared" si="200"/>
        <v>50.823165383648956</v>
      </c>
      <c r="BK161" s="43">
        <f t="shared" si="153"/>
        <v>28.896546824253299</v>
      </c>
      <c r="BL161">
        <f t="shared" si="201"/>
        <v>40.425174322783768</v>
      </c>
      <c r="BM161" s="43">
        <f t="shared" si="202"/>
        <v>28.815840023722991</v>
      </c>
    </row>
    <row r="162" spans="14:65" x14ac:dyDescent="0.25">
      <c r="N162" s="9">
        <v>44</v>
      </c>
      <c r="O162" s="34">
        <f t="shared" si="154"/>
        <v>275.42287033381683</v>
      </c>
      <c r="P162" s="33" t="str">
        <f t="shared" si="155"/>
        <v>66,7780509511648</v>
      </c>
      <c r="Q162" s="4" t="str">
        <f t="shared" si="156"/>
        <v>1+6,74459615221976i</v>
      </c>
      <c r="R162" s="4">
        <f t="shared" si="168"/>
        <v>6.8183265730337075</v>
      </c>
      <c r="S162" s="4">
        <f t="shared" si="169"/>
        <v>1.423601824629096</v>
      </c>
      <c r="T162" s="4" t="str">
        <f t="shared" si="157"/>
        <v>1+0,00173053293214267i</v>
      </c>
      <c r="U162" s="4">
        <f t="shared" si="170"/>
        <v>1.0000014973709936</v>
      </c>
      <c r="V162" s="4">
        <f t="shared" si="171"/>
        <v>1.7305312046446033E-3</v>
      </c>
      <c r="W162" t="str">
        <f t="shared" si="158"/>
        <v>1-0,00376455271403796i</v>
      </c>
      <c r="X162" s="4">
        <f t="shared" si="172"/>
        <v>1.0000070859034633</v>
      </c>
      <c r="Y162" s="4">
        <f t="shared" si="173"/>
        <v>-3.7645349306214249E-3</v>
      </c>
      <c r="Z162" t="str">
        <f t="shared" si="159"/>
        <v>0,999999924142242+0,000739924127528291i</v>
      </c>
      <c r="AA162" s="4">
        <f t="shared" si="174"/>
        <v>1.0000001978860826</v>
      </c>
      <c r="AB162" s="4">
        <f t="shared" si="175"/>
        <v>7.3992404862417097E-4</v>
      </c>
      <c r="AC162" s="47" t="str">
        <f t="shared" si="176"/>
        <v>1,40954159880134-9,69202764966736i</v>
      </c>
      <c r="AD162" s="20">
        <f t="shared" si="177"/>
        <v>19.819191647284235</v>
      </c>
      <c r="AE162" s="43">
        <f t="shared" si="178"/>
        <v>-81.725310612529114</v>
      </c>
      <c r="AF162" t="str">
        <f t="shared" si="160"/>
        <v>223,849857273222</v>
      </c>
      <c r="AG162" t="str">
        <f t="shared" si="161"/>
        <v>1+6,83124870565866i</v>
      </c>
      <c r="AH162">
        <f t="shared" si="179"/>
        <v>6.9040538003815639</v>
      </c>
      <c r="AI162">
        <f t="shared" si="180"/>
        <v>1.4254425951241381</v>
      </c>
      <c r="AJ162" t="str">
        <f t="shared" si="162"/>
        <v>1+0,00173053293214267i</v>
      </c>
      <c r="AK162">
        <f t="shared" si="181"/>
        <v>1.0000014973709936</v>
      </c>
      <c r="AL162">
        <f t="shared" si="182"/>
        <v>1.7305312046446033E-3</v>
      </c>
      <c r="AM162" t="str">
        <f t="shared" si="163"/>
        <v>1-0,00113745494718886i</v>
      </c>
      <c r="AN162">
        <f t="shared" si="183"/>
        <v>1.0000006469016691</v>
      </c>
      <c r="AO162">
        <f t="shared" si="184"/>
        <v>-1.1374544566414128E-3</v>
      </c>
      <c r="AP162" s="41" t="str">
        <f t="shared" si="185"/>
        <v>4,71525639367713-32,0783287138718i</v>
      </c>
      <c r="AQ162">
        <f t="shared" si="186"/>
        <v>30.217071721283624</v>
      </c>
      <c r="AR162" s="43">
        <f t="shared" si="187"/>
        <v>-81.637863844200552</v>
      </c>
      <c r="AS162" t="str">
        <f t="shared" si="164"/>
        <v>-0,0000166666666666667</v>
      </c>
      <c r="AT162" t="str">
        <f t="shared" si="165"/>
        <v>1,73572453093909E-06i</v>
      </c>
      <c r="AU162">
        <f t="shared" si="188"/>
        <v>1.73572453093909E-6</v>
      </c>
      <c r="AV162">
        <f t="shared" si="189"/>
        <v>1.5707963267948966</v>
      </c>
      <c r="AW162" t="str">
        <f t="shared" si="166"/>
        <v>1+0,00113873552862828i</v>
      </c>
      <c r="AX162">
        <f t="shared" si="190"/>
        <v>1.000000648359092</v>
      </c>
      <c r="AY162">
        <f t="shared" si="191"/>
        <v>1.1387350364221477E-3</v>
      </c>
      <c r="AZ162" t="str">
        <f t="shared" si="167"/>
        <v>1+0,380717245071387i</v>
      </c>
      <c r="BA162">
        <f t="shared" si="192"/>
        <v>1.0700213178692968</v>
      </c>
      <c r="BB162">
        <f t="shared" si="193"/>
        <v>0.36377360396693731</v>
      </c>
      <c r="BC162" s="41" t="str">
        <f t="shared" si="194"/>
        <v>-3,64476054591756+9,6062885281395i</v>
      </c>
      <c r="BD162">
        <f t="shared" si="195"/>
        <v>20.235201936247293</v>
      </c>
      <c r="BE162" s="43">
        <f t="shared" si="196"/>
        <v>110.77744749399835</v>
      </c>
      <c r="BF162" s="41" t="str">
        <f t="shared" si="197"/>
        <v>87,9669724182697+48,8655832779504i</v>
      </c>
      <c r="BG162" s="20">
        <f t="shared" si="198"/>
        <v>40.054393583531521</v>
      </c>
      <c r="BH162" s="43">
        <f t="shared" si="199"/>
        <v>29.05213688146922</v>
      </c>
      <c r="BI162" s="41" t="str">
        <f t="shared" si="152"/>
        <v>290,967700658395+162,213940277111i</v>
      </c>
      <c r="BJ162" s="20">
        <f t="shared" si="200"/>
        <v>50.452273657530924</v>
      </c>
      <c r="BK162" s="43">
        <f t="shared" si="153"/>
        <v>29.139583649797707</v>
      </c>
      <c r="BL162">
        <f t="shared" si="201"/>
        <v>40.054393583531521</v>
      </c>
      <c r="BM162" s="43">
        <f t="shared" si="202"/>
        <v>29.05213688146922</v>
      </c>
    </row>
    <row r="163" spans="14:65" x14ac:dyDescent="0.25">
      <c r="N163" s="9">
        <v>45</v>
      </c>
      <c r="O163" s="34">
        <f t="shared" si="154"/>
        <v>281.83829312644554</v>
      </c>
      <c r="P163" s="33" t="str">
        <f t="shared" si="155"/>
        <v>66,7780509511648</v>
      </c>
      <c r="Q163" s="4" t="str">
        <f t="shared" si="156"/>
        <v>1+6,90169797833022i</v>
      </c>
      <c r="R163" s="4">
        <f t="shared" si="168"/>
        <v>6.9737676319251873</v>
      </c>
      <c r="S163" s="4">
        <f t="shared" si="169"/>
        <v>1.4269057996280139</v>
      </c>
      <c r="T163" s="4" t="str">
        <f t="shared" si="157"/>
        <v>1+0,00177084222237266i</v>
      </c>
      <c r="U163" s="4">
        <f t="shared" si="170"/>
        <v>1.0000015679398591</v>
      </c>
      <c r="V163" s="4">
        <f t="shared" si="171"/>
        <v>1.7708403713252885E-3</v>
      </c>
      <c r="W163" t="str">
        <f t="shared" si="158"/>
        <v>1-0,00385224041134654i</v>
      </c>
      <c r="X163" s="4">
        <f t="shared" si="172"/>
        <v>1.0000074198505664</v>
      </c>
      <c r="Y163" s="4">
        <f t="shared" si="173"/>
        <v>-3.8522213560800459E-3</v>
      </c>
      <c r="Z163" t="str">
        <f t="shared" si="159"/>
        <v>0,999999920567177+0,000757159174519151i</v>
      </c>
      <c r="AA163" s="4">
        <f t="shared" si="174"/>
        <v>1.0000002072121663</v>
      </c>
      <c r="AB163" s="4">
        <f t="shared" si="175"/>
        <v>7.5715908997186349E-4</v>
      </c>
      <c r="AC163" s="47" t="str">
        <f t="shared" si="176"/>
        <v>1,34619581591856-9,48059052472941i</v>
      </c>
      <c r="AD163" s="20">
        <f t="shared" si="177"/>
        <v>19.623401601051974</v>
      </c>
      <c r="AE163" s="43">
        <f t="shared" si="178"/>
        <v>-81.918316447685697</v>
      </c>
      <c r="AF163" t="str">
        <f t="shared" si="160"/>
        <v>223,849857273222</v>
      </c>
      <c r="AG163" t="str">
        <f t="shared" si="161"/>
        <v>1+6,99036892902748i</v>
      </c>
      <c r="AH163">
        <f t="shared" si="179"/>
        <v>7.0615336693888819</v>
      </c>
      <c r="AI163">
        <f t="shared" si="180"/>
        <v>1.428706390701928</v>
      </c>
      <c r="AJ163" t="str">
        <f t="shared" si="162"/>
        <v>1+0,00177084222237266i</v>
      </c>
      <c r="AK163">
        <f t="shared" si="181"/>
        <v>1.0000015679398591</v>
      </c>
      <c r="AL163">
        <f t="shared" si="182"/>
        <v>1.7708403713252885E-3</v>
      </c>
      <c r="AM163" t="str">
        <f t="shared" si="163"/>
        <v>1-0,00116394967649344i</v>
      </c>
      <c r="AN163">
        <f t="shared" si="183"/>
        <v>1.0000006773891952</v>
      </c>
      <c r="AO163">
        <f t="shared" si="184"/>
        <v>-1.1639491508623995E-3</v>
      </c>
      <c r="AP163" s="41" t="str">
        <f t="shared" si="185"/>
        <v>4,50814835833795-31,3777674017966i</v>
      </c>
      <c r="AQ163">
        <f t="shared" si="186"/>
        <v>30.021175255523069</v>
      </c>
      <c r="AR163" s="43">
        <f t="shared" si="187"/>
        <v>-81.824074045033242</v>
      </c>
      <c r="AS163" t="str">
        <f t="shared" si="164"/>
        <v>-0,0000166666666666667</v>
      </c>
      <c r="AT163" t="str">
        <f t="shared" si="165"/>
        <v>1,77615474903977E-06i</v>
      </c>
      <c r="AU163">
        <f t="shared" si="188"/>
        <v>1.77615474903977E-6</v>
      </c>
      <c r="AV163">
        <f t="shared" si="189"/>
        <v>1.5707963267948966</v>
      </c>
      <c r="AW163" t="str">
        <f t="shared" si="166"/>
        <v>1+0,00116526008650644i</v>
      </c>
      <c r="AX163">
        <f t="shared" si="190"/>
        <v>1.0000006789153042</v>
      </c>
      <c r="AY163">
        <f t="shared" si="191"/>
        <v>1.1652595590980867E-3</v>
      </c>
      <c r="AZ163" t="str">
        <f t="shared" si="167"/>
        <v>1+0,389585288921985i</v>
      </c>
      <c r="BA163">
        <f t="shared" si="192"/>
        <v>1.0732085991755873</v>
      </c>
      <c r="BB163">
        <f t="shared" si="193"/>
        <v>0.37149606231538185</v>
      </c>
      <c r="BC163" s="41" t="str">
        <f t="shared" si="194"/>
        <v>-3,64476032317756+9,38781385539655i</v>
      </c>
      <c r="BD163">
        <f t="shared" si="195"/>
        <v>20.061035944484725</v>
      </c>
      <c r="BE163" s="43">
        <f t="shared" si="196"/>
        <v>111.21839202162684</v>
      </c>
      <c r="BF163" s="41" t="str">
        <f t="shared" si="197"/>
        <v>84,0954579883084+47,192315917584i</v>
      </c>
      <c r="BG163" s="20">
        <f t="shared" si="198"/>
        <v>39.684437545536703</v>
      </c>
      <c r="BH163" s="43">
        <f t="shared" si="199"/>
        <v>29.30007557394115</v>
      </c>
      <c r="BI163" s="41" t="str">
        <f t="shared" si="152"/>
        <v>278,137519298528+156,686099276551i</v>
      </c>
      <c r="BJ163" s="20">
        <f t="shared" si="200"/>
        <v>50.082211200007798</v>
      </c>
      <c r="BK163" s="43">
        <f t="shared" si="153"/>
        <v>29.394317976593658</v>
      </c>
      <c r="BL163">
        <f t="shared" si="201"/>
        <v>39.684437545536703</v>
      </c>
      <c r="BM163" s="43">
        <f t="shared" si="202"/>
        <v>29.30007557394115</v>
      </c>
    </row>
    <row r="164" spans="14:65" x14ac:dyDescent="0.25">
      <c r="N164" s="9">
        <v>46</v>
      </c>
      <c r="O164" s="34">
        <f t="shared" si="154"/>
        <v>288.40315031266073</v>
      </c>
      <c r="P164" s="33" t="str">
        <f t="shared" si="155"/>
        <v>66,7780509511648</v>
      </c>
      <c r="Q164" s="4" t="str">
        <f t="shared" si="156"/>
        <v>1+7,06245917606356i</v>
      </c>
      <c r="R164" s="4">
        <f t="shared" si="168"/>
        <v>7.1329047108148291</v>
      </c>
      <c r="S164" s="4">
        <f t="shared" si="169"/>
        <v>1.4301376265504364</v>
      </c>
      <c r="T164" s="4" t="str">
        <f t="shared" si="157"/>
        <v>1+0,00181209043658882i</v>
      </c>
      <c r="U164" s="4">
        <f t="shared" si="170"/>
        <v>1.0000016418345274</v>
      </c>
      <c r="V164" s="4">
        <f t="shared" si="171"/>
        <v>1.8120884531560024E-3</v>
      </c>
      <c r="W164" t="str">
        <f t="shared" si="158"/>
        <v>1-0,00394197061751164i</v>
      </c>
      <c r="X164" s="4">
        <f t="shared" si="172"/>
        <v>1.0000077695359919</v>
      </c>
      <c r="Y164" s="4">
        <f t="shared" si="173"/>
        <v>-3.9419501994342934E-3</v>
      </c>
      <c r="Z164" t="str">
        <f t="shared" si="159"/>
        <v>0,999999916823623+0,000774795677326528i</v>
      </c>
      <c r="AA164" s="4">
        <f t="shared" si="174"/>
        <v>1.0000002169777737</v>
      </c>
      <c r="AB164" s="4">
        <f t="shared" si="175"/>
        <v>7.7479558673247846E-4</v>
      </c>
      <c r="AC164" s="47" t="str">
        <f t="shared" si="176"/>
        <v>1,28558634938945-9,27336997590726i</v>
      </c>
      <c r="AD164" s="20">
        <f t="shared" si="177"/>
        <v>19.427426198967773</v>
      </c>
      <c r="AE164" s="43">
        <f t="shared" si="178"/>
        <v>-82.107274730309925</v>
      </c>
      <c r="AF164" t="str">
        <f t="shared" si="160"/>
        <v>223,849857273222</v>
      </c>
      <c r="AG164" t="str">
        <f t="shared" si="161"/>
        <v>1+7,15319553853094i</v>
      </c>
      <c r="AH164">
        <f t="shared" si="179"/>
        <v>7.2227561506989106</v>
      </c>
      <c r="AI164">
        <f t="shared" si="180"/>
        <v>1.431898840896209</v>
      </c>
      <c r="AJ164" t="str">
        <f t="shared" si="162"/>
        <v>1+0,00181209043658882i</v>
      </c>
      <c r="AK164">
        <f t="shared" si="181"/>
        <v>1.0000016418345274</v>
      </c>
      <c r="AL164">
        <f t="shared" si="182"/>
        <v>1.8120884531560024E-3</v>
      </c>
      <c r="AM164" t="str">
        <f t="shared" si="163"/>
        <v>1-0,00119106154732319i</v>
      </c>
      <c r="AN164">
        <f t="shared" si="183"/>
        <v>1.0000007093135532</v>
      </c>
      <c r="AO164">
        <f t="shared" si="184"/>
        <v>-1.1910609840994043E-3</v>
      </c>
      <c r="AP164" s="41" t="str">
        <f t="shared" si="185"/>
        <v>4,30999593986238-30,6912264998854i</v>
      </c>
      <c r="AQ164">
        <f t="shared" si="186"/>
        <v>29.825097802428147</v>
      </c>
      <c r="AR164" s="43">
        <f t="shared" si="187"/>
        <v>-82.006178020088697</v>
      </c>
      <c r="AS164" t="str">
        <f t="shared" si="164"/>
        <v>-0,0000166666666666667</v>
      </c>
      <c r="AT164" t="str">
        <f t="shared" si="165"/>
        <v>1,81752670789858E-06i</v>
      </c>
      <c r="AU164">
        <f t="shared" si="188"/>
        <v>1.8175267078985799E-6</v>
      </c>
      <c r="AV164">
        <f t="shared" si="189"/>
        <v>1.5707963267948966</v>
      </c>
      <c r="AW164" t="str">
        <f t="shared" si="166"/>
        <v>1+0,0011924024807065i</v>
      </c>
      <c r="AX164">
        <f t="shared" si="190"/>
        <v>1.0000007109115852</v>
      </c>
      <c r="AY164">
        <f t="shared" si="191"/>
        <v>1.1924019155782892E-3</v>
      </c>
      <c r="AZ164" t="str">
        <f t="shared" si="167"/>
        <v>1+0,39865989604954i</v>
      </c>
      <c r="BA164">
        <f t="shared" si="192"/>
        <v>1.0765359783668311</v>
      </c>
      <c r="BB164">
        <f t="shared" si="193"/>
        <v>0.37935058150181883</v>
      </c>
      <c r="BC164" s="41" t="str">
        <f t="shared" si="194"/>
        <v>-3,64476008994017+9,17431672579765i</v>
      </c>
      <c r="BD164">
        <f t="shared" si="195"/>
        <v>19.887923764643812</v>
      </c>
      <c r="BE164" s="43">
        <f t="shared" si="196"/>
        <v>111.66686767864186</v>
      </c>
      <c r="BF164" s="41" t="str">
        <f t="shared" si="197"/>
        <v>80,3911794560492+45,593585135097i</v>
      </c>
      <c r="BG164" s="20">
        <f t="shared" si="198"/>
        <v>39.315349963611588</v>
      </c>
      <c r="BH164" s="43">
        <f t="shared" si="199"/>
        <v>29.559592948331932</v>
      </c>
      <c r="BI164" s="41" t="str">
        <f t="shared" si="152"/>
        <v>265,862131423728+151,403425297296i</v>
      </c>
      <c r="BJ164" s="20">
        <f t="shared" si="200"/>
        <v>49.713021567071962</v>
      </c>
      <c r="BK164" s="43">
        <f t="shared" si="153"/>
        <v>29.660689658553199</v>
      </c>
      <c r="BL164">
        <f t="shared" si="201"/>
        <v>39.315349963611588</v>
      </c>
      <c r="BM164" s="43">
        <f t="shared" si="202"/>
        <v>29.559592948331932</v>
      </c>
    </row>
    <row r="165" spans="14:65" x14ac:dyDescent="0.25">
      <c r="N165" s="9">
        <v>47</v>
      </c>
      <c r="O165" s="34">
        <f t="shared" si="154"/>
        <v>295.12092266663871</v>
      </c>
      <c r="P165" s="33" t="str">
        <f t="shared" si="155"/>
        <v>66,7780509511648</v>
      </c>
      <c r="Q165" s="4" t="str">
        <f t="shared" si="156"/>
        <v>1+7,22696498313474i</v>
      </c>
      <c r="R165" s="4">
        <f t="shared" si="168"/>
        <v>7.2958222886427064</v>
      </c>
      <c r="S165" s="4">
        <f t="shared" si="169"/>
        <v>1.4332987487689133</v>
      </c>
      <c r="T165" s="4" t="str">
        <f t="shared" si="157"/>
        <v>1+0,00185429944514031i</v>
      </c>
      <c r="U165" s="4">
        <f t="shared" si="170"/>
        <v>1.0000017192117383</v>
      </c>
      <c r="V165" s="4">
        <f t="shared" si="171"/>
        <v>1.8542973198539528E-3</v>
      </c>
      <c r="W165" t="str">
        <f t="shared" si="158"/>
        <v>1-0,0040337909086763i</v>
      </c>
      <c r="X165" s="4">
        <f t="shared" si="172"/>
        <v>1.0000081357014527</v>
      </c>
      <c r="Y165" s="4">
        <f t="shared" si="173"/>
        <v>-4.03376903032186E-3</v>
      </c>
      <c r="Z165" t="str">
        <f t="shared" si="159"/>
        <v>0,999999912903641+0,000792842987057656i</v>
      </c>
      <c r="AA165" s="4">
        <f t="shared" si="174"/>
        <v>1.0000002272036201</v>
      </c>
      <c r="AB165" s="4">
        <f t="shared" si="175"/>
        <v>7.9284288998438413E-4</v>
      </c>
      <c r="AC165" s="47" t="str">
        <f t="shared" si="176"/>
        <v>1,22759984702584-9,07030810229014i</v>
      </c>
      <c r="AD165" s="20">
        <f t="shared" si="177"/>
        <v>19.231273469786775</v>
      </c>
      <c r="AE165" s="43">
        <f t="shared" si="178"/>
        <v>-82.292270167831461</v>
      </c>
      <c r="AF165" t="str">
        <f t="shared" si="160"/>
        <v>223,849857273222</v>
      </c>
      <c r="AG165" t="str">
        <f t="shared" si="161"/>
        <v>1+7,31981486699266i</v>
      </c>
      <c r="AH165">
        <f t="shared" si="179"/>
        <v>7.3878068252389202</v>
      </c>
      <c r="AI165">
        <f t="shared" si="180"/>
        <v>1.4350213779571341</v>
      </c>
      <c r="AJ165" t="str">
        <f t="shared" si="162"/>
        <v>1+0,00185429944514031i</v>
      </c>
      <c r="AK165">
        <f t="shared" si="181"/>
        <v>1.0000017192117383</v>
      </c>
      <c r="AL165">
        <f t="shared" si="182"/>
        <v>1.8542973198539528E-3</v>
      </c>
      <c r="AM165" t="str">
        <f t="shared" si="163"/>
        <v>1-0,00121880493475089i</v>
      </c>
      <c r="AN165">
        <f t="shared" si="183"/>
        <v>1.0000007427424586</v>
      </c>
      <c r="AO165">
        <f t="shared" si="184"/>
        <v>-1.2188043312457545E-3</v>
      </c>
      <c r="AP165" s="41" t="str">
        <f t="shared" si="185"/>
        <v>4,1204273482624-30,0185100067257i</v>
      </c>
      <c r="AQ165">
        <f t="shared" si="186"/>
        <v>29.628847198924731</v>
      </c>
      <c r="AR165" s="43">
        <f t="shared" si="187"/>
        <v>-82.184257401834145</v>
      </c>
      <c r="AS165" t="str">
        <f t="shared" si="164"/>
        <v>-0,0000166666666666667</v>
      </c>
      <c r="AT165" t="str">
        <f t="shared" si="165"/>
        <v>1,85986234347573E-06i</v>
      </c>
      <c r="AU165">
        <f t="shared" si="188"/>
        <v>1.85986234347573E-6</v>
      </c>
      <c r="AV165">
        <f t="shared" si="189"/>
        <v>1.5707963267948966</v>
      </c>
      <c r="AW165" t="str">
        <f t="shared" si="166"/>
        <v>1+0,00122017710248515i</v>
      </c>
      <c r="AX165">
        <f t="shared" si="190"/>
        <v>1.0000007444158037</v>
      </c>
      <c r="AY165">
        <f t="shared" si="191"/>
        <v>1.2201764969393867E-3</v>
      </c>
      <c r="AZ165" t="str">
        <f t="shared" si="167"/>
        <v>1+0,407945877930868i</v>
      </c>
      <c r="BA165">
        <f t="shared" si="192"/>
        <v>1.0800091848316786</v>
      </c>
      <c r="BB165">
        <f t="shared" si="193"/>
        <v>0.38733744848522977</v>
      </c>
      <c r="BC165" s="41" t="str">
        <f t="shared" si="194"/>
        <v>-3,64475984571067+8,96568394033698i</v>
      </c>
      <c r="BD165">
        <f t="shared" si="195"/>
        <v>19.71590147719089</v>
      </c>
      <c r="BE165" s="43">
        <f t="shared" si="196"/>
        <v>112.12289008203396</v>
      </c>
      <c r="BF165" s="41" t="str">
        <f t="shared" si="197"/>
        <v>76,8472090575708+44,065366993091i</v>
      </c>
      <c r="BG165" s="20">
        <f t="shared" si="198"/>
        <v>38.947174946977668</v>
      </c>
      <c r="BH165" s="43">
        <f t="shared" si="199"/>
        <v>29.830619914202508</v>
      </c>
      <c r="BI165" s="41" t="str">
        <f t="shared" si="152"/>
        <v>254,118504934031+146,352709204219i</v>
      </c>
      <c r="BJ165" s="20">
        <f t="shared" si="200"/>
        <v>49.344748676115628</v>
      </c>
      <c r="BK165" s="43">
        <f t="shared" si="153"/>
        <v>29.938632680199746</v>
      </c>
      <c r="BL165">
        <f t="shared" si="201"/>
        <v>38.947174946977668</v>
      </c>
      <c r="BM165" s="43">
        <f t="shared" si="202"/>
        <v>29.830619914202508</v>
      </c>
    </row>
    <row r="166" spans="14:65" x14ac:dyDescent="0.25">
      <c r="N166" s="9">
        <v>48</v>
      </c>
      <c r="O166" s="34">
        <f t="shared" si="154"/>
        <v>301.99517204020168</v>
      </c>
      <c r="P166" s="33" t="str">
        <f t="shared" si="155"/>
        <v>66,7780509511648</v>
      </c>
      <c r="Q166" s="4" t="str">
        <f t="shared" si="156"/>
        <v>1+7,39530262270018i</v>
      </c>
      <c r="R166" s="4">
        <f t="shared" si="168"/>
        <v>7.4626068422044165</v>
      </c>
      <c r="S166" s="4">
        <f t="shared" si="169"/>
        <v>1.4363905895147371</v>
      </c>
      <c r="T166" s="4" t="str">
        <f t="shared" si="157"/>
        <v>1+0,00189749162780217i</v>
      </c>
      <c r="U166" s="4">
        <f t="shared" si="170"/>
        <v>1.0000018002356184</v>
      </c>
      <c r="V166" s="4">
        <f t="shared" si="171"/>
        <v>1.8974893505170304E-3</v>
      </c>
      <c r="W166" t="str">
        <f t="shared" si="158"/>
        <v>1-0,00412774996917427i</v>
      </c>
      <c r="X166" s="4">
        <f t="shared" si="172"/>
        <v>1.0000085191236163</v>
      </c>
      <c r="Y166" s="4">
        <f t="shared" si="173"/>
        <v>-4.1277265261059071E-3</v>
      </c>
      <c r="Z166" t="str">
        <f t="shared" si="159"/>
        <v>0,999999908798916+0,00081131067263504i</v>
      </c>
      <c r="AA166" s="4">
        <f t="shared" si="174"/>
        <v>1.0000002379113957</v>
      </c>
      <c r="AB166" s="4">
        <f t="shared" si="175"/>
        <v>8.1131056861915663E-4</v>
      </c>
      <c r="AC166" s="47" t="str">
        <f t="shared" si="176"/>
        <v>1,17212723248133-8,87134596120918i</v>
      </c>
      <c r="AD166" s="20">
        <f t="shared" si="177"/>
        <v>19.034951109705005</v>
      </c>
      <c r="AE166" s="43">
        <f t="shared" si="178"/>
        <v>-82.473386360433352</v>
      </c>
      <c r="AF166" t="str">
        <f t="shared" si="160"/>
        <v>223,849857273222</v>
      </c>
      <c r="AG166" t="str">
        <f t="shared" si="161"/>
        <v>1+7,49031525818607i</v>
      </c>
      <c r="AH166">
        <f t="shared" si="179"/>
        <v>7.5567732973151358</v>
      </c>
      <c r="AI166">
        <f t="shared" si="180"/>
        <v>1.4380754138033134</v>
      </c>
      <c r="AJ166" t="str">
        <f t="shared" si="162"/>
        <v>1+0,00189749162780217i</v>
      </c>
      <c r="AK166">
        <f t="shared" si="181"/>
        <v>1.0000018002356184</v>
      </c>
      <c r="AL166">
        <f t="shared" si="182"/>
        <v>1.8974893505170304E-3</v>
      </c>
      <c r="AM166" t="str">
        <f t="shared" si="163"/>
        <v>1-0,00124719454868779i</v>
      </c>
      <c r="AN166">
        <f t="shared" si="183"/>
        <v>1.0000007777468187</v>
      </c>
      <c r="AO166">
        <f t="shared" si="184"/>
        <v>-1.2471939020204136E-3</v>
      </c>
      <c r="AP166" s="41" t="str">
        <f t="shared" si="185"/>
        <v>3,93908488868067-29,3594187366301i</v>
      </c>
      <c r="AQ166">
        <f t="shared" si="186"/>
        <v>29.432430956152032</v>
      </c>
      <c r="AR166" s="43">
        <f t="shared" si="187"/>
        <v>-82.358392647823862</v>
      </c>
      <c r="AS166" t="str">
        <f t="shared" si="164"/>
        <v>-0,0000166666666666667</v>
      </c>
      <c r="AT166" t="str">
        <f t="shared" si="165"/>
        <v>1,90318410268557E-06i</v>
      </c>
      <c r="AU166">
        <f t="shared" si="188"/>
        <v>1.90318410268557E-6</v>
      </c>
      <c r="AV166">
        <f t="shared" si="189"/>
        <v>1.5707963267948966</v>
      </c>
      <c r="AW166" t="str">
        <f t="shared" si="166"/>
        <v>1+0,00124859867831449i</v>
      </c>
      <c r="AX166">
        <f t="shared" si="190"/>
        <v>1.000000779499026</v>
      </c>
      <c r="AY166">
        <f t="shared" si="191"/>
        <v>1.2485980294605417E-3</v>
      </c>
      <c r="AZ166" t="str">
        <f t="shared" si="167"/>
        <v>1+0,417448158116477i</v>
      </c>
      <c r="BA166">
        <f t="shared" si="192"/>
        <v>1.0836341470786344</v>
      </c>
      <c r="BB166">
        <f t="shared" si="193"/>
        <v>0.3954568211065761</v>
      </c>
      <c r="BC166" s="41" t="str">
        <f t="shared" si="194"/>
        <v>-3,64475958997104+8,7618048791483i</v>
      </c>
      <c r="BD166">
        <f t="shared" si="195"/>
        <v>19.545005832194988</v>
      </c>
      <c r="BE166" s="43">
        <f t="shared" si="196"/>
        <v>112.58646743167036</v>
      </c>
      <c r="BF166" s="41" t="str">
        <f t="shared" si="197"/>
        <v>73,4568803562826+42,6038733726055i</v>
      </c>
      <c r="BG166" s="20">
        <f t="shared" si="198"/>
        <v>38.579956941899994</v>
      </c>
      <c r="BH166" s="43">
        <f t="shared" si="199"/>
        <v>30.113081071237012</v>
      </c>
      <c r="BI166" s="41" t="str">
        <f t="shared" si="152"/>
        <v>242,884480911835+141,52151619333i</v>
      </c>
      <c r="BJ166" s="20">
        <f t="shared" si="200"/>
        <v>48.977436788347035</v>
      </c>
      <c r="BK166" s="43">
        <f t="shared" si="153"/>
        <v>30.228074783846552</v>
      </c>
      <c r="BL166">
        <f t="shared" si="201"/>
        <v>38.579956941899994</v>
      </c>
      <c r="BM166" s="43">
        <f t="shared" si="202"/>
        <v>30.113081071237012</v>
      </c>
    </row>
    <row r="167" spans="14:65" x14ac:dyDescent="0.25">
      <c r="N167" s="9">
        <v>49</v>
      </c>
      <c r="O167" s="34">
        <f t="shared" si="154"/>
        <v>309.02954325135937</v>
      </c>
      <c r="P167" s="33" t="str">
        <f t="shared" si="155"/>
        <v>66,7780509511648</v>
      </c>
      <c r="Q167" s="4" t="str">
        <f t="shared" si="156"/>
        <v>1+7,56756134960457i</v>
      </c>
      <c r="R167" s="4">
        <f t="shared" si="168"/>
        <v>7.633346892420712</v>
      </c>
      <c r="S167" s="4">
        <f t="shared" si="169"/>
        <v>1.4394145515471677</v>
      </c>
      <c r="T167" s="4" t="str">
        <f t="shared" si="157"/>
        <v>1+0,00194168988564136i</v>
      </c>
      <c r="U167" s="4">
        <f t="shared" si="170"/>
        <v>1.0000018850780292</v>
      </c>
      <c r="V167" s="4">
        <f t="shared" si="171"/>
        <v>1.941687445486618E-3</v>
      </c>
      <c r="W167" t="str">
        <f t="shared" si="158"/>
        <v>1-0,00422389761734313i</v>
      </c>
      <c r="X167" s="4">
        <f t="shared" si="172"/>
        <v>1.0000089206157523</v>
      </c>
      <c r="Y167" s="4">
        <f t="shared" si="173"/>
        <v>-4.2238724976549069E-3</v>
      </c>
      <c r="Z167" t="str">
        <f t="shared" si="159"/>
        <v>0,999999904500741+0,000830208525870021i</v>
      </c>
      <c r="AA167" s="4">
        <f t="shared" si="174"/>
        <v>1.0000002491238129</v>
      </c>
      <c r="AB167" s="4">
        <f t="shared" si="175"/>
        <v>8.3020841441499551E-4</v>
      </c>
      <c r="AC167" s="47" t="str">
        <f t="shared" si="176"/>
        <v>1,11906358089427-8,6764237305329i</v>
      </c>
      <c r="AD167" s="20">
        <f t="shared" si="177"/>
        <v>18.838466494991195</v>
      </c>
      <c r="AE167" s="43">
        <f t="shared" si="178"/>
        <v>-82.650705783188087</v>
      </c>
      <c r="AF167" t="str">
        <f t="shared" si="160"/>
        <v>223,849857273222</v>
      </c>
      <c r="AG167" t="str">
        <f t="shared" si="161"/>
        <v>1+7,66478711367541i</v>
      </c>
      <c r="AH167">
        <f t="shared" si="179"/>
        <v>7.7297452414658929</v>
      </c>
      <c r="AI167">
        <f t="shared" si="180"/>
        <v>1.4410623397214586</v>
      </c>
      <c r="AJ167" t="str">
        <f t="shared" si="162"/>
        <v>1+0,00194168988564136i</v>
      </c>
      <c r="AK167">
        <f t="shared" si="181"/>
        <v>1.0000018850780292</v>
      </c>
      <c r="AL167">
        <f t="shared" si="182"/>
        <v>1.941687445486618E-3</v>
      </c>
      <c r="AM167" t="str">
        <f t="shared" si="163"/>
        <v>1-0,00127624544168297i</v>
      </c>
      <c r="AN167">
        <f t="shared" si="183"/>
        <v>1.0000008144008821</v>
      </c>
      <c r="AO167">
        <f t="shared" si="184"/>
        <v>-1.2762447487664227E-3</v>
      </c>
      <c r="AP167" s="41" t="str">
        <f t="shared" si="185"/>
        <v>3,76562454487891-28,7137508427244i</v>
      </c>
      <c r="AQ167">
        <f t="shared" si="186"/>
        <v>29.23585627187515</v>
      </c>
      <c r="AR167" s="43">
        <f t="shared" si="187"/>
        <v>-82.528663023257366</v>
      </c>
      <c r="AS167" t="str">
        <f t="shared" si="164"/>
        <v>-0,0000166666666666667</v>
      </c>
      <c r="AT167" t="str">
        <f t="shared" si="165"/>
        <v>1,94751495529828E-06i</v>
      </c>
      <c r="AU167">
        <f t="shared" si="188"/>
        <v>1.9475149552982798E-6</v>
      </c>
      <c r="AV167">
        <f t="shared" si="189"/>
        <v>1.5707963267948966</v>
      </c>
      <c r="AW167" t="str">
        <f t="shared" si="166"/>
        <v>1+0,00127768227769023i</v>
      </c>
      <c r="AX167">
        <f t="shared" si="190"/>
        <v>1.0000008162356682</v>
      </c>
      <c r="AY167">
        <f t="shared" si="191"/>
        <v>1.2776815824307288E-3</v>
      </c>
      <c r="AZ167" t="str">
        <f t="shared" si="167"/>
        <v>1+0,427171774841099i</v>
      </c>
      <c r="BA167">
        <f t="shared" si="192"/>
        <v>1.0874169969339704</v>
      </c>
      <c r="BB167">
        <f t="shared" si="193"/>
        <v>0.40370872121095891</v>
      </c>
      <c r="BC167" s="41" t="str">
        <f t="shared" si="194"/>
        <v>-3,64475932217881+8,56257144285258i</v>
      </c>
      <c r="BD167">
        <f t="shared" si="195"/>
        <v>19.375274214699353</v>
      </c>
      <c r="BE167" s="43">
        <f t="shared" si="196"/>
        <v>113.05760011577669</v>
      </c>
      <c r="BF167" s="41" t="str">
        <f t="shared" si="197"/>
        <v>70,2137806425743+41,2055381355349i</v>
      </c>
      <c r="BG167" s="20">
        <f t="shared" si="198"/>
        <v>38.213740709690555</v>
      </c>
      <c r="BH167" s="43">
        <f t="shared" si="199"/>
        <v>30.406894332588639</v>
      </c>
      <c r="BI167" s="41" t="str">
        <f t="shared" si="152"/>
        <v>232,138747819323+136,898140251224i</v>
      </c>
      <c r="BJ167" s="20">
        <f t="shared" si="200"/>
        <v>48.611130486574481</v>
      </c>
      <c r="BK167" s="43">
        <f t="shared" si="153"/>
        <v>30.528937092519339</v>
      </c>
      <c r="BL167">
        <f t="shared" si="201"/>
        <v>38.213740709690555</v>
      </c>
      <c r="BM167" s="43">
        <f t="shared" si="202"/>
        <v>30.406894332588639</v>
      </c>
    </row>
    <row r="168" spans="14:65" x14ac:dyDescent="0.25">
      <c r="N168" s="9">
        <v>50</v>
      </c>
      <c r="O168" s="34">
        <f t="shared" si="154"/>
        <v>316.22776601683825</v>
      </c>
      <c r="P168" s="33" t="str">
        <f t="shared" si="155"/>
        <v>66,7780509511648</v>
      </c>
      <c r="Q168" s="4" t="str">
        <f t="shared" si="156"/>
        <v>1+7,74383249770503i</v>
      </c>
      <c r="R168" s="4">
        <f t="shared" si="168"/>
        <v>7.8081330516655854</v>
      </c>
      <c r="S168" s="4">
        <f t="shared" si="169"/>
        <v>1.4423720168766851</v>
      </c>
      <c r="T168" s="4" t="str">
        <f t="shared" si="157"/>
        <v>1+0,00198691765315922i</v>
      </c>
      <c r="U168" s="4">
        <f t="shared" si="170"/>
        <v>1.0000019739189321</v>
      </c>
      <c r="V168" s="4">
        <f t="shared" si="171"/>
        <v>1.9869150384865847E-3</v>
      </c>
      <c r="W168" t="str">
        <f t="shared" si="158"/>
        <v>1-0,00432228483193859i</v>
      </c>
      <c r="X168" s="4">
        <f t="shared" si="172"/>
        <v>1.0000093410294568</v>
      </c>
      <c r="Y168" s="4">
        <f t="shared" si="173"/>
        <v>-4.3222579157212969E-3</v>
      </c>
      <c r="Z168" t="str">
        <f t="shared" si="159"/>
        <v>0,9999999+0,000849546566654526i</v>
      </c>
      <c r="AA168" s="4">
        <f t="shared" si="174"/>
        <v>1.0000002608646554</v>
      </c>
      <c r="AB168" s="4">
        <f t="shared" si="175"/>
        <v>8.4954644722831586E-4</v>
      </c>
      <c r="AC168" s="47" t="str">
        <f t="shared" si="176"/>
        <v>1,0683079947026-8,48548085995352i</v>
      </c>
      <c r="AD168" s="20">
        <f t="shared" si="177"/>
        <v>18.641826694246816</v>
      </c>
      <c r="AE168" s="43">
        <f t="shared" si="178"/>
        <v>-82.824309771314404</v>
      </c>
      <c r="AF168" t="str">
        <f t="shared" si="160"/>
        <v>223,849857273222</v>
      </c>
      <c r="AG168" t="str">
        <f t="shared" si="161"/>
        <v>1+7,84332294074787i</v>
      </c>
      <c r="AH168">
        <f t="shared" si="179"/>
        <v>7.9068144503878308</v>
      </c>
      <c r="AI168">
        <f t="shared" si="180"/>
        <v>1.4439835261179816</v>
      </c>
      <c r="AJ168" t="str">
        <f t="shared" si="162"/>
        <v>1+0,00198691765315922i</v>
      </c>
      <c r="AK168">
        <f t="shared" si="181"/>
        <v>1.0000019739189321</v>
      </c>
      <c r="AL168">
        <f t="shared" si="182"/>
        <v>1.9869150384865847E-3</v>
      </c>
      <c r="AM168" t="str">
        <f t="shared" si="163"/>
        <v>1-0,00130597301690444i</v>
      </c>
      <c r="AN168">
        <f t="shared" si="183"/>
        <v>1.0000008527823967</v>
      </c>
      <c r="AO168">
        <f t="shared" si="184"/>
        <v>-1.3059722744310168E-3</v>
      </c>
      <c r="AP168" s="41" t="str">
        <f t="shared" si="185"/>
        <v>3,59971556406627-28,0813023041715i</v>
      </c>
      <c r="AQ168">
        <f t="shared" si="186"/>
        <v>29.039130042526359</v>
      </c>
      <c r="AR168" s="43">
        <f t="shared" si="187"/>
        <v>-82.695146586508656</v>
      </c>
      <c r="AS168" t="str">
        <f t="shared" si="164"/>
        <v>-0,0000166666666666667</v>
      </c>
      <c r="AT168" t="str">
        <f t="shared" si="165"/>
        <v>0,0000019928784061187i</v>
      </c>
      <c r="AU168">
        <f t="shared" si="188"/>
        <v>1.9928784061187001E-6</v>
      </c>
      <c r="AV168">
        <f t="shared" si="189"/>
        <v>1.5707963267948966</v>
      </c>
      <c r="AW168" t="str">
        <f t="shared" si="166"/>
        <v>1+0,00130744332112172i</v>
      </c>
      <c r="AX168">
        <f t="shared" si="190"/>
        <v>1.0000008547036539</v>
      </c>
      <c r="AY168">
        <f t="shared" si="191"/>
        <v>1.3074425761377768E-3</v>
      </c>
      <c r="AZ168" t="str">
        <f t="shared" si="167"/>
        <v>1+0,437121883695028i</v>
      </c>
      <c r="BA168">
        <f t="shared" si="192"/>
        <v>1.0913640736276276</v>
      </c>
      <c r="BB168">
        <f t="shared" si="193"/>
        <v>0.41209302778431239</v>
      </c>
      <c r="BC168" s="41" t="str">
        <f t="shared" si="194"/>
        <v>-3,64475904176594+8,36787799524263i</v>
      </c>
      <c r="BD168">
        <f t="shared" si="195"/>
        <v>19.206744605668259</v>
      </c>
      <c r="BE168" s="43">
        <f t="shared" si="196"/>
        <v>113.5362803172401</v>
      </c>
      <c r="BF168" s="41" t="str">
        <f t="shared" si="197"/>
        <v>67,1117433439744+39,8670040490611i</v>
      </c>
      <c r="BG168" s="20">
        <f t="shared" si="198"/>
        <v>37.848571299915072</v>
      </c>
      <c r="BH168" s="43">
        <f t="shared" si="199"/>
        <v>30.711970545925737</v>
      </c>
      <c r="BI168" s="41" t="str">
        <f t="shared" si="152"/>
        <v>221,860815778917+132,471561135374i</v>
      </c>
      <c r="BJ168" s="20">
        <f t="shared" si="200"/>
        <v>48.245874648194622</v>
      </c>
      <c r="BK168" s="43">
        <f t="shared" si="153"/>
        <v>30.841133730731354</v>
      </c>
      <c r="BL168">
        <f t="shared" si="201"/>
        <v>37.848571299915072</v>
      </c>
      <c r="BM168" s="43">
        <f t="shared" si="202"/>
        <v>30.711970545925737</v>
      </c>
    </row>
    <row r="169" spans="14:65" x14ac:dyDescent="0.25">
      <c r="N169" s="9">
        <v>51</v>
      </c>
      <c r="O169" s="34">
        <f t="shared" si="154"/>
        <v>323.59365692962825</v>
      </c>
      <c r="P169" s="33" t="str">
        <f t="shared" si="155"/>
        <v>66,7780509511648</v>
      </c>
      <c r="Q169" s="4" t="str">
        <f t="shared" si="156"/>
        <v>1+7,92420952829752i</v>
      </c>
      <c r="R169" s="4">
        <f t="shared" si="168"/>
        <v>7.9870580721790922</v>
      </c>
      <c r="S169" s="4">
        <f t="shared" si="169"/>
        <v>1.4452643465385659</v>
      </c>
      <c r="T169" s="4" t="str">
        <f t="shared" si="157"/>
        <v>1+0,00203319891071675i</v>
      </c>
      <c r="U169" s="4">
        <f t="shared" si="170"/>
        <v>1.0000020669467691</v>
      </c>
      <c r="V169" s="4">
        <f t="shared" si="171"/>
        <v>2.033196109044857E-3</v>
      </c>
      <c r="W169" t="str">
        <f t="shared" si="158"/>
        <v>1-0,00442296377916415i</v>
      </c>
      <c r="X169" s="4">
        <f t="shared" si="172"/>
        <v>1.0000097812564595</v>
      </c>
      <c r="Y169" s="4">
        <f t="shared" si="173"/>
        <v>-4.4229349379329326E-3</v>
      </c>
      <c r="Z169" t="str">
        <f t="shared" si="159"/>
        <v>0,999999895287145+0,000869335048273751i</v>
      </c>
      <c r="AA169" s="4">
        <f t="shared" si="174"/>
        <v>1.0000002731588262</v>
      </c>
      <c r="AB169" s="4">
        <f t="shared" si="175"/>
        <v>8.6933492030626342E-4</v>
      </c>
      <c r="AC169" s="47" t="str">
        <f t="shared" si="176"/>
        <v>1,01976348003131-8,29845621181093i</v>
      </c>
      <c r="AD169" s="20">
        <f t="shared" si="177"/>
        <v>18.445038480296432</v>
      </c>
      <c r="AE169" s="43">
        <f t="shared" si="178"/>
        <v>-82.994278508343413</v>
      </c>
      <c r="AF169" t="str">
        <f t="shared" si="160"/>
        <v>223,849857273222</v>
      </c>
      <c r="AG169" t="str">
        <f t="shared" si="161"/>
        <v>1+8,02601740146216i</v>
      </c>
      <c r="AH169">
        <f t="shared" si="179"/>
        <v>8.0880748839617844</v>
      </c>
      <c r="AI169">
        <f t="shared" si="180"/>
        <v>1.4468403223189468</v>
      </c>
      <c r="AJ169" t="str">
        <f t="shared" si="162"/>
        <v>1+0,00203319891071675i</v>
      </c>
      <c r="AK169">
        <f t="shared" si="181"/>
        <v>1.0000020669467691</v>
      </c>
      <c r="AL169">
        <f t="shared" si="182"/>
        <v>2.033196109044857E-3</v>
      </c>
      <c r="AM169" t="str">
        <f t="shared" si="163"/>
        <v>1-0,00133639303630606i</v>
      </c>
      <c r="AN169">
        <f t="shared" si="183"/>
        <v>1.0000008929727751</v>
      </c>
      <c r="AO169">
        <f t="shared" si="184"/>
        <v>-1.3363922407314916E-3</v>
      </c>
      <c r="AP169" s="41" t="str">
        <f t="shared" si="185"/>
        <v>3,44104004432341-27,4618673793339i</v>
      </c>
      <c r="AQ169">
        <f t="shared" si="186"/>
        <v>28.842258874876737</v>
      </c>
      <c r="AR169" s="43">
        <f t="shared" si="187"/>
        <v>-82.85792017742061</v>
      </c>
      <c r="AS169" t="str">
        <f t="shared" si="164"/>
        <v>-0,0000166666666666667</v>
      </c>
      <c r="AT169" t="str">
        <f t="shared" si="165"/>
        <v>0,0000020392985074489i</v>
      </c>
      <c r="AU169">
        <f t="shared" si="188"/>
        <v>2.0392985074488998E-6</v>
      </c>
      <c r="AV169">
        <f t="shared" si="189"/>
        <v>1.5707963267948966</v>
      </c>
      <c r="AW169" t="str">
        <f t="shared" si="166"/>
        <v>1+0,00133789758830813i</v>
      </c>
      <c r="AX169">
        <f t="shared" si="190"/>
        <v>1.0000008949845778</v>
      </c>
      <c r="AY169">
        <f t="shared" si="191"/>
        <v>1.3378967900434912E-3</v>
      </c>
      <c r="AZ169" t="str">
        <f t="shared" si="167"/>
        <v>1+0,447303760357685i</v>
      </c>
      <c r="BA169">
        <f t="shared" si="192"/>
        <v>1.095481927751492</v>
      </c>
      <c r="BB169">
        <f t="shared" si="193"/>
        <v>0.42060947014054706</v>
      </c>
      <c r="BC169" s="41" t="str">
        <f t="shared" si="194"/>
        <v>-3,64475874813769+8,1776213072732i</v>
      </c>
      <c r="BD169">
        <f t="shared" si="195"/>
        <v>19.039455538358506</v>
      </c>
      <c r="BE169" s="43">
        <f t="shared" si="196"/>
        <v>114.02249162279358</v>
      </c>
      <c r="BF169" s="41" t="str">
        <f t="shared" si="197"/>
        <v>64,1448404703033+38,5851104367186i</v>
      </c>
      <c r="BG169" s="20">
        <f t="shared" si="198"/>
        <v>37.484494018654949</v>
      </c>
      <c r="BH169" s="43">
        <f t="shared" si="199"/>
        <v>31.028213114450192</v>
      </c>
      <c r="BI169" s="41" t="str">
        <f t="shared" si="152"/>
        <v>212,030991014512+128,231403756664i</v>
      </c>
      <c r="BJ169" s="20">
        <f t="shared" si="200"/>
        <v>47.881714413235258</v>
      </c>
      <c r="BK169" s="43">
        <f t="shared" si="153"/>
        <v>31.164571445373024</v>
      </c>
      <c r="BL169">
        <f t="shared" si="201"/>
        <v>37.484494018654949</v>
      </c>
      <c r="BM169" s="43">
        <f t="shared" si="202"/>
        <v>31.028213114450192</v>
      </c>
    </row>
    <row r="170" spans="14:65" x14ac:dyDescent="0.25">
      <c r="N170" s="9">
        <v>52</v>
      </c>
      <c r="O170" s="34">
        <f t="shared" si="154"/>
        <v>331.13112148259137</v>
      </c>
      <c r="P170" s="33" t="str">
        <f t="shared" si="155"/>
        <v>66,7780509511648</v>
      </c>
      <c r="Q170" s="4" t="str">
        <f t="shared" si="156"/>
        <v>1+8,10878807967126i</v>
      </c>
      <c r="R170" s="4">
        <f t="shared" si="168"/>
        <v>8.1702168955921088</v>
      </c>
      <c r="S170" s="4">
        <f t="shared" si="169"/>
        <v>1.4480928804132698</v>
      </c>
      <c r="T170" s="4" t="str">
        <f t="shared" si="157"/>
        <v>1+0,00208055819724932i</v>
      </c>
      <c r="U170" s="4">
        <f t="shared" si="170"/>
        <v>1.0000021643588639</v>
      </c>
      <c r="V170" s="4">
        <f t="shared" si="171"/>
        <v>2.080555195204151E-3</v>
      </c>
      <c r="W170" t="str">
        <f t="shared" si="158"/>
        <v>1-0,00452598784033029i</v>
      </c>
      <c r="X170" s="4">
        <f t="shared" si="172"/>
        <v>1.0000102422305137</v>
      </c>
      <c r="Y170" s="4">
        <f t="shared" si="173"/>
        <v>-4.5259569364113489E-3</v>
      </c>
      <c r="Z170" t="str">
        <f t="shared" si="159"/>
        <v>0,99999989035218+0,000889584462842583i</v>
      </c>
      <c r="AA170" s="4">
        <f t="shared" si="174"/>
        <v>1.0000002860324033</v>
      </c>
      <c r="AB170" s="4">
        <f t="shared" si="175"/>
        <v>8.8958432572295166E-4</v>
      </c>
      <c r="AC170" s="47" t="str">
        <f t="shared" si="176"/>
        <v>0,973336824007365-8,11528819198558i</v>
      </c>
      <c r="AD170" s="20">
        <f t="shared" si="177"/>
        <v>18.248108341709763</v>
      </c>
      <c r="AE170" s="43">
        <f t="shared" si="178"/>
        <v>-83.160691016993027</v>
      </c>
      <c r="AF170" t="str">
        <f t="shared" si="160"/>
        <v>223,849857273222</v>
      </c>
      <c r="AG170" t="str">
        <f t="shared" si="161"/>
        <v>1+8,21296736283964i</v>
      </c>
      <c r="AH170">
        <f t="shared" si="179"/>
        <v>8.2736227194058767</v>
      </c>
      <c r="AI170">
        <f t="shared" si="180"/>
        <v>1.4496340564149621</v>
      </c>
      <c r="AJ170" t="str">
        <f t="shared" si="162"/>
        <v>1+0,00208055819724932i</v>
      </c>
      <c r="AK170">
        <f t="shared" si="181"/>
        <v>1.0000021643588639</v>
      </c>
      <c r="AL170">
        <f t="shared" si="182"/>
        <v>2.080555195204151E-3</v>
      </c>
      <c r="AM170" t="str">
        <f t="shared" si="163"/>
        <v>1-0,0013675216289848i</v>
      </c>
      <c r="AN170">
        <f t="shared" si="183"/>
        <v>1.0000009350572656</v>
      </c>
      <c r="AO170">
        <f t="shared" si="184"/>
        <v>-1.3675207765113345E-3</v>
      </c>
      <c r="AP170" s="41" t="str">
        <f t="shared" si="185"/>
        <v>3,28929252573168-26,8552390266301i</v>
      </c>
      <c r="AQ170">
        <f t="shared" si="186"/>
        <v>28.645249097340532</v>
      </c>
      <c r="AR170" s="43">
        <f t="shared" si="187"/>
        <v>-83.017059408168166</v>
      </c>
      <c r="AS170" t="str">
        <f t="shared" si="164"/>
        <v>-0,0000166666666666667</v>
      </c>
      <c r="AT170" t="str">
        <f t="shared" si="165"/>
        <v>2,08679987184107E-06i</v>
      </c>
      <c r="AU170">
        <f t="shared" si="188"/>
        <v>2.08679987184107E-6</v>
      </c>
      <c r="AV170">
        <f t="shared" si="189"/>
        <v>1.5707963267948966</v>
      </c>
      <c r="AW170" t="str">
        <f t="shared" si="166"/>
        <v>1+0,00136906122650504i</v>
      </c>
      <c r="AX170">
        <f t="shared" si="190"/>
        <v>1.0000009371638818</v>
      </c>
      <c r="AY170">
        <f t="shared" si="191"/>
        <v>1.3690603711491122E-3</v>
      </c>
      <c r="AZ170" t="str">
        <f t="shared" si="167"/>
        <v>1+0,45772280339485i</v>
      </c>
      <c r="BA170">
        <f t="shared" si="192"/>
        <v>1.0997773250743264</v>
      </c>
      <c r="BB170">
        <f t="shared" si="193"/>
        <v>0.42925762119794536</v>
      </c>
      <c r="BC170" s="41" t="str">
        <f t="shared" si="194"/>
        <v>-3,64475844067121+7,9917005023274i</v>
      </c>
      <c r="BD170">
        <f t="shared" si="195"/>
        <v>18.873446049985787</v>
      </c>
      <c r="BE170" s="43">
        <f t="shared" si="196"/>
        <v>114.51620863730227</v>
      </c>
      <c r="BF170" s="41" t="str">
        <f t="shared" si="197"/>
        <v>61,3073751155058+37,3568815215723i</v>
      </c>
      <c r="BG170" s="20">
        <f t="shared" si="198"/>
        <v>37.121554391695547</v>
      </c>
      <c r="BH170" s="43">
        <f t="shared" si="199"/>
        <v>31.355517620309278</v>
      </c>
      <c r="BI170" s="41" t="str">
        <f t="shared" si="152"/>
        <v>202,630350522245+124,167899848745i</v>
      </c>
      <c r="BJ170" s="20">
        <f t="shared" si="200"/>
        <v>47.518695147326326</v>
      </c>
      <c r="BK170" s="43">
        <f t="shared" si="153"/>
        <v>31.499149229134183</v>
      </c>
      <c r="BL170">
        <f t="shared" si="201"/>
        <v>37.121554391695547</v>
      </c>
      <c r="BM170" s="43">
        <f t="shared" si="202"/>
        <v>31.355517620309278</v>
      </c>
    </row>
    <row r="171" spans="14:65" x14ac:dyDescent="0.25">
      <c r="N171" s="9">
        <v>53</v>
      </c>
      <c r="O171" s="34">
        <f t="shared" si="154"/>
        <v>338.84415613920277</v>
      </c>
      <c r="P171" s="33" t="str">
        <f t="shared" si="155"/>
        <v>66,7780509511648</v>
      </c>
      <c r="Q171" s="4" t="str">
        <f t="shared" si="156"/>
        <v>1+8,29766601781728i</v>
      </c>
      <c r="R171" s="4">
        <f t="shared" si="168"/>
        <v>8.3577067035903863</v>
      </c>
      <c r="S171" s="4">
        <f t="shared" si="169"/>
        <v>1.450858937090304</v>
      </c>
      <c r="T171" s="4" t="str">
        <f t="shared" si="157"/>
        <v>1+0,0021290206232775i</v>
      </c>
      <c r="U171" s="4">
        <f t="shared" si="170"/>
        <v>1.0000022663618389</v>
      </c>
      <c r="V171" s="4">
        <f t="shared" si="171"/>
        <v>2.12901740652854E-3</v>
      </c>
      <c r="W171" t="str">
        <f t="shared" si="158"/>
        <v>1-0,00463141164015788i</v>
      </c>
      <c r="X171" s="4">
        <f t="shared" si="172"/>
        <v>1.0000107249293781</v>
      </c>
      <c r="Y171" s="4">
        <f t="shared" si="173"/>
        <v>-4.6313785260313082E-3</v>
      </c>
      <c r="Z171" t="str">
        <f t="shared" si="159"/>
        <v>0,999999885184638+0,000910305546868651i</v>
      </c>
      <c r="AA171" s="4">
        <f t="shared" si="174"/>
        <v>1.000000299512694</v>
      </c>
      <c r="AB171" s="4">
        <f t="shared" si="175"/>
        <v>9.1030539994232061E-4</v>
      </c>
      <c r="AC171" s="47" t="str">
        <f t="shared" si="176"/>
        <v>0,928938473314819-7,93591487137849i</v>
      </c>
      <c r="AD171" s="20">
        <f t="shared" si="177"/>
        <v>18.051042493959628</v>
      </c>
      <c r="AE171" s="43">
        <f t="shared" si="178"/>
        <v>-83.323625152560837</v>
      </c>
      <c r="AF171" t="str">
        <f t="shared" si="160"/>
        <v>223,849857273222</v>
      </c>
      <c r="AG171" t="str">
        <f t="shared" si="161"/>
        <v>1+8,40427194822432i</v>
      </c>
      <c r="AH171">
        <f t="shared" si="179"/>
        <v>8.4635564025833858</v>
      </c>
      <c r="AI171">
        <f t="shared" si="180"/>
        <v>1.4523660351477776</v>
      </c>
      <c r="AJ171" t="str">
        <f t="shared" si="162"/>
        <v>1+0,0021290206232775i</v>
      </c>
      <c r="AK171">
        <f t="shared" si="181"/>
        <v>1.0000022663618389</v>
      </c>
      <c r="AL171">
        <f t="shared" si="182"/>
        <v>2.12901740652854E-3</v>
      </c>
      <c r="AM171" t="str">
        <f t="shared" si="163"/>
        <v>1-0,0013993752997325i</v>
      </c>
      <c r="AN171">
        <f t="shared" si="183"/>
        <v>1.0000009791251354</v>
      </c>
      <c r="AO171">
        <f t="shared" si="184"/>
        <v>-1.3993743862907727E-3</v>
      </c>
      <c r="AP171" s="41" t="str">
        <f t="shared" si="185"/>
        <v>3,14417958618183-26,2612092947919i</v>
      </c>
      <c r="AQ171">
        <f t="shared" si="186"/>
        <v>28.448106770917136</v>
      </c>
      <c r="AR171" s="43">
        <f t="shared" si="187"/>
        <v>-83.172638656505839</v>
      </c>
      <c r="AS171" t="str">
        <f t="shared" si="164"/>
        <v>-0,0000166666666666667</v>
      </c>
      <c r="AT171" t="str">
        <f t="shared" si="165"/>
        <v>2,13540768514734E-06i</v>
      </c>
      <c r="AU171">
        <f t="shared" si="188"/>
        <v>2.1354076851473398E-6</v>
      </c>
      <c r="AV171">
        <f t="shared" si="189"/>
        <v>1.5707963267948966</v>
      </c>
      <c r="AW171" t="str">
        <f t="shared" si="166"/>
        <v>1+0,00140095075908589i</v>
      </c>
      <c r="AX171">
        <f t="shared" si="190"/>
        <v>1.0000009813310331</v>
      </c>
      <c r="AY171">
        <f t="shared" si="191"/>
        <v>1.4009498425555491E-3</v>
      </c>
      <c r="AZ171" t="str">
        <f t="shared" si="167"/>
        <v>1+0,46838453712105i</v>
      </c>
      <c r="BA171">
        <f t="shared" si="192"/>
        <v>1.1042572501976613</v>
      </c>
      <c r="BB171">
        <f t="shared" si="193"/>
        <v>0.43803689088643871</v>
      </c>
      <c r="BC171" s="41" t="str">
        <f t="shared" si="194"/>
        <v>-3,64475811871432+7,81001700273095i</v>
      </c>
      <c r="BD171">
        <f t="shared" si="195"/>
        <v>18.708755628578896</v>
      </c>
      <c r="BE171" s="43">
        <f t="shared" si="196"/>
        <v>115.01739660553751</v>
      </c>
      <c r="BF171" s="41" t="str">
        <f t="shared" si="197"/>
        <v>58,5938740352911+36,1795154279621i</v>
      </c>
      <c r="BG171" s="20">
        <f t="shared" si="198"/>
        <v>36.759798122538513</v>
      </c>
      <c r="BH171" s="43">
        <f t="shared" si="199"/>
        <v>31.69377145297668</v>
      </c>
      <c r="BI171" s="41" t="str">
        <f t="shared" si="152"/>
        <v>193,640717031169+120,271851812168i</v>
      </c>
      <c r="BJ171" s="20">
        <f t="shared" si="200"/>
        <v>47.156862399496035</v>
      </c>
      <c r="BK171" s="43">
        <f t="shared" si="153"/>
        <v>31.84475794903156</v>
      </c>
      <c r="BL171">
        <f t="shared" si="201"/>
        <v>36.759798122538513</v>
      </c>
      <c r="BM171" s="43">
        <f t="shared" si="202"/>
        <v>31.69377145297668</v>
      </c>
    </row>
    <row r="172" spans="14:65" x14ac:dyDescent="0.25">
      <c r="N172" s="9">
        <v>54</v>
      </c>
      <c r="O172" s="34">
        <f t="shared" si="154"/>
        <v>346.73685045253183</v>
      </c>
      <c r="P172" s="33" t="str">
        <f t="shared" si="155"/>
        <v>66,7780509511648</v>
      </c>
      <c r="Q172" s="4" t="str">
        <f t="shared" si="156"/>
        <v>1+8,49094348831858i</v>
      </c>
      <c r="R172" s="4">
        <f t="shared" si="168"/>
        <v>8.549626969746674</v>
      </c>
      <c r="S172" s="4">
        <f t="shared" si="169"/>
        <v>1.4535638137724129</v>
      </c>
      <c r="T172" s="4" t="str">
        <f t="shared" si="157"/>
        <v>1+0,00217861188422107i</v>
      </c>
      <c r="U172" s="4">
        <f t="shared" si="170"/>
        <v>1.0000023731720551</v>
      </c>
      <c r="V172" s="4">
        <f t="shared" si="171"/>
        <v>2.1786084374129009E-3</v>
      </c>
      <c r="W172" t="str">
        <f t="shared" si="158"/>
        <v>1-0,00473929107574107i</v>
      </c>
      <c r="X172" s="4">
        <f t="shared" si="172"/>
        <v>1.0000112303768895</v>
      </c>
      <c r="Y172" s="4">
        <f t="shared" si="173"/>
        <v>-4.7392555933366935E-3</v>
      </c>
      <c r="Z172" t="str">
        <f t="shared" si="159"/>
        <v>0,999999879773557+0,00093150928694499i</v>
      </c>
      <c r="AA172" s="4">
        <f t="shared" si="174"/>
        <v>1.0000003136282909</v>
      </c>
      <c r="AB172" s="4">
        <f t="shared" si="175"/>
        <v>9.3150912951059286E-4</v>
      </c>
      <c r="AC172" s="47" t="str">
        <f t="shared" si="176"/>
        <v>0,88648241426398-7,76027409847867i</v>
      </c>
      <c r="AD172" s="20">
        <f t="shared" si="177"/>
        <v>17.853846890218776</v>
      </c>
      <c r="AE172" s="43">
        <f t="shared" si="178"/>
        <v>-83.483157598654699</v>
      </c>
      <c r="AF172" t="str">
        <f t="shared" si="160"/>
        <v>223,849857273222</v>
      </c>
      <c r="AG172" t="str">
        <f t="shared" si="161"/>
        <v>1+8,60003258983967i</v>
      </c>
      <c r="AH172">
        <f t="shared" si="179"/>
        <v>8.6579767004944301</v>
      </c>
      <c r="AI172">
        <f t="shared" si="180"/>
        <v>1.4550375438355296</v>
      </c>
      <c r="AJ172" t="str">
        <f t="shared" si="162"/>
        <v>1+0,00217861188422107i</v>
      </c>
      <c r="AK172">
        <f t="shared" si="181"/>
        <v>1.0000023731720551</v>
      </c>
      <c r="AL172">
        <f t="shared" si="182"/>
        <v>2.1786084374129009E-3</v>
      </c>
      <c r="AM172" t="str">
        <f t="shared" si="163"/>
        <v>1-0,00143197093778705i</v>
      </c>
      <c r="AN172">
        <f t="shared" si="183"/>
        <v>1.0000010252698577</v>
      </c>
      <c r="AO172">
        <f t="shared" si="184"/>
        <v>-1.4319699590166592E-3</v>
      </c>
      <c r="AP172" s="41" t="str">
        <f t="shared" si="185"/>
        <v>3,00541944271206-25,6795696841679i</v>
      </c>
      <c r="AQ172">
        <f t="shared" si="186"/>
        <v>28.250837699773903</v>
      </c>
      <c r="AR172" s="43">
        <f t="shared" si="187"/>
        <v>-83.32473106122319</v>
      </c>
      <c r="AS172" t="str">
        <f t="shared" si="164"/>
        <v>-0,0000166666666666667</v>
      </c>
      <c r="AT172" t="str">
        <f t="shared" si="165"/>
        <v>2,18514771987374E-06i</v>
      </c>
      <c r="AU172">
        <f t="shared" si="188"/>
        <v>2.1851477198737399E-6</v>
      </c>
      <c r="AV172">
        <f t="shared" si="189"/>
        <v>1.5707963267948966</v>
      </c>
      <c r="AW172" t="str">
        <f t="shared" si="166"/>
        <v>1+0,001433583094303i</v>
      </c>
      <c r="AX172">
        <f t="shared" si="190"/>
        <v>1.0000010275797162</v>
      </c>
      <c r="AY172">
        <f t="shared" si="191"/>
        <v>1.4335821122231005E-3</v>
      </c>
      <c r="AZ172" t="str">
        <f t="shared" si="167"/>
        <v>1+0,479294614528635i</v>
      </c>
      <c r="BA172">
        <f t="shared" si="192"/>
        <v>1.1089289100371371</v>
      </c>
      <c r="BB172">
        <f t="shared" si="193"/>
        <v>0.44694651973010258</v>
      </c>
      <c r="BC172" s="41" t="str">
        <f t="shared" si="194"/>
        <v>-3,64475778158416+7,63247447748462i</v>
      </c>
      <c r="BD172">
        <f t="shared" si="195"/>
        <v>18.545424154938921</v>
      </c>
      <c r="BE172" s="43">
        <f t="shared" si="196"/>
        <v>115.52601104397966</v>
      </c>
      <c r="BF172" s="41" t="str">
        <f t="shared" si="197"/>
        <v>55,9990803172973+35,0503738092649i</v>
      </c>
      <c r="BG172" s="20">
        <f t="shared" si="198"/>
        <v>36.399271045157704</v>
      </c>
      <c r="BH172" s="43">
        <f t="shared" si="199"/>
        <v>32.042853445324923</v>
      </c>
      <c r="BI172" s="41" t="str">
        <f t="shared" si="152"/>
        <v>185,04463430645+116,53459862474i</v>
      </c>
      <c r="BJ172" s="20">
        <f t="shared" si="200"/>
        <v>46.796261854712839</v>
      </c>
      <c r="BK172" s="43">
        <f t="shared" si="153"/>
        <v>32.201279982756603</v>
      </c>
      <c r="BL172">
        <f t="shared" si="201"/>
        <v>36.399271045157704</v>
      </c>
      <c r="BM172" s="43">
        <f t="shared" si="202"/>
        <v>32.042853445324923</v>
      </c>
    </row>
    <row r="173" spans="14:65" x14ac:dyDescent="0.25">
      <c r="N173" s="9">
        <v>55</v>
      </c>
      <c r="O173" s="34">
        <f t="shared" si="154"/>
        <v>354.81338923357566</v>
      </c>
      <c r="P173" s="33" t="str">
        <f t="shared" si="155"/>
        <v>66,7780509511648</v>
      </c>
      <c r="Q173" s="4" t="str">
        <f t="shared" si="156"/>
        <v>1+8,6887229694483i</v>
      </c>
      <c r="R173" s="4">
        <f t="shared" si="168"/>
        <v>8.7460795125483788</v>
      </c>
      <c r="S173" s="4">
        <f t="shared" si="169"/>
        <v>1.456208786217092</v>
      </c>
      <c r="T173" s="4" t="str">
        <f t="shared" si="157"/>
        <v>1+0,00222935827402299i</v>
      </c>
      <c r="U173" s="4">
        <f t="shared" si="170"/>
        <v>1.0000024850160694</v>
      </c>
      <c r="V173" s="4">
        <f t="shared" si="171"/>
        <v>2.2293545807019911E-3</v>
      </c>
      <c r="W173" t="str">
        <f t="shared" si="158"/>
        <v>1-0,00484968334618455i</v>
      </c>
      <c r="X173" s="4">
        <f t="shared" si="172"/>
        <v>1.0000117596451346</v>
      </c>
      <c r="Y173" s="4">
        <f t="shared" si="173"/>
        <v>-4.8496453261274112E-3</v>
      </c>
      <c r="Z173" t="str">
        <f t="shared" si="159"/>
        <v>0,999999874107459+0,000953206925575251i</v>
      </c>
      <c r="AA173" s="4">
        <f t="shared" si="174"/>
        <v>1.0000003284091346</v>
      </c>
      <c r="AB173" s="4">
        <f t="shared" si="175"/>
        <v>9.5320675688125836E-4</v>
      </c>
      <c r="AC173" s="47" t="str">
        <f t="shared" si="176"/>
        <v>0,845886054613024-7,58830360350399i</v>
      </c>
      <c r="AD173" s="20">
        <f t="shared" si="177"/>
        <v>17.656527231801967</v>
      </c>
      <c r="AE173" s="43">
        <f t="shared" si="178"/>
        <v>-83.639363865090459</v>
      </c>
      <c r="AF173" t="str">
        <f t="shared" si="160"/>
        <v>223,849857273222</v>
      </c>
      <c r="AG173" t="str">
        <f t="shared" si="161"/>
        <v>1+8,80035308256904i</v>
      </c>
      <c r="AH173">
        <f t="shared" si="179"/>
        <v>8.8569867549795074</v>
      </c>
      <c r="AI173">
        <f t="shared" si="180"/>
        <v>1.4576498463337271</v>
      </c>
      <c r="AJ173" t="str">
        <f t="shared" si="162"/>
        <v>1+0,00222935827402299i</v>
      </c>
      <c r="AK173">
        <f t="shared" si="181"/>
        <v>1.0000024850160694</v>
      </c>
      <c r="AL173">
        <f t="shared" si="182"/>
        <v>2.2293545807019911E-3</v>
      </c>
      <c r="AM173" t="str">
        <f t="shared" si="163"/>
        <v>1-0,00146532582578719i</v>
      </c>
      <c r="AN173">
        <f t="shared" si="183"/>
        <v>1.0000010735893117</v>
      </c>
      <c r="AO173">
        <f t="shared" si="184"/>
        <v>-1.4653247770158818E-3</v>
      </c>
      <c r="AP173" s="41" t="str">
        <f t="shared" si="185"/>
        <v>2,87274155911231-25,1101114806685i</v>
      </c>
      <c r="AQ173">
        <f t="shared" si="186"/>
        <v>28.053447441476067</v>
      </c>
      <c r="AR173" s="43">
        <f t="shared" si="187"/>
        <v>-83.473408519642135</v>
      </c>
      <c r="AS173" t="str">
        <f t="shared" si="164"/>
        <v>-0,0000166666666666667</v>
      </c>
      <c r="AT173" t="str">
        <f t="shared" si="165"/>
        <v>2,23604634884506E-06i</v>
      </c>
      <c r="AU173">
        <f t="shared" si="188"/>
        <v>2.2360463488450601E-6</v>
      </c>
      <c r="AV173">
        <f t="shared" si="189"/>
        <v>1.5707963267948966</v>
      </c>
      <c r="AW173" t="str">
        <f t="shared" si="166"/>
        <v>1+0,00146697553425242i</v>
      </c>
      <c r="AX173">
        <f t="shared" si="190"/>
        <v>1.0000010760080302</v>
      </c>
      <c r="AY173">
        <f t="shared" si="191"/>
        <v>1.4669744819349093E-3</v>
      </c>
      <c r="AZ173" t="str">
        <f t="shared" si="167"/>
        <v>1+0,490458820285057i</v>
      </c>
      <c r="BA173">
        <f t="shared" si="192"/>
        <v>1.1137997371140873</v>
      </c>
      <c r="BB173">
        <f t="shared" si="193"/>
        <v>0.45598557265169098</v>
      </c>
      <c r="BC173" s="41" t="str">
        <f t="shared" si="194"/>
        <v>-3,64475742856559+7,45897879118843i</v>
      </c>
      <c r="BD173">
        <f t="shared" si="195"/>
        <v>18.383491839652091</v>
      </c>
      <c r="BE173" s="43">
        <f t="shared" si="196"/>
        <v>116.04199738532957</v>
      </c>
      <c r="BF173" s="41" t="str">
        <f t="shared" si="197"/>
        <v>53,5179461583641+33,9669720702028i</v>
      </c>
      <c r="BG173" s="20">
        <f t="shared" si="198"/>
        <v>36.040019071454054</v>
      </c>
      <c r="BH173" s="43">
        <f t="shared" si="199"/>
        <v>32.402633520239128</v>
      </c>
      <c r="BI173" s="41" t="str">
        <f t="shared" si="152"/>
        <v>176,82534284076+112,947983713261i</v>
      </c>
      <c r="BJ173" s="20">
        <f t="shared" si="200"/>
        <v>46.436939281128168</v>
      </c>
      <c r="BK173" s="43">
        <f t="shared" si="153"/>
        <v>32.568588865687424</v>
      </c>
      <c r="BL173">
        <f t="shared" si="201"/>
        <v>36.040019071454054</v>
      </c>
      <c r="BM173" s="43">
        <f t="shared" si="202"/>
        <v>32.402633520239128</v>
      </c>
    </row>
    <row r="174" spans="14:65" x14ac:dyDescent="0.25">
      <c r="N174" s="9">
        <v>56</v>
      </c>
      <c r="O174" s="34">
        <f t="shared" si="154"/>
        <v>363.07805477010152</v>
      </c>
      <c r="P174" s="33" t="str">
        <f t="shared" si="155"/>
        <v>66,7780509511648</v>
      </c>
      <c r="Q174" s="4" t="str">
        <f t="shared" si="156"/>
        <v>1+8,8911093265053i</v>
      </c>
      <c r="R174" s="4">
        <f t="shared" si="168"/>
        <v>8.9471685496513089</v>
      </c>
      <c r="S174" s="4">
        <f t="shared" si="169"/>
        <v>1.4587951087126183</v>
      </c>
      <c r="T174" s="4" t="str">
        <f t="shared" si="157"/>
        <v>1+0,00228128669909085i</v>
      </c>
      <c r="U174" s="4">
        <f t="shared" si="170"/>
        <v>1.0000026021311161</v>
      </c>
      <c r="V174" s="4">
        <f t="shared" si="171"/>
        <v>2.2812827416266554E-3</v>
      </c>
      <c r="W174" t="str">
        <f t="shared" si="158"/>
        <v>1-0,00496264698293135i</v>
      </c>
      <c r="X174" s="4">
        <f t="shared" si="172"/>
        <v>1.0000123138567232</v>
      </c>
      <c r="Y174" s="4">
        <f t="shared" si="173"/>
        <v>-4.9626062437332329E-3</v>
      </c>
      <c r="Z174" t="str">
        <f t="shared" si="159"/>
        <v>0,999999868174326+0,000975409967134639i</v>
      </c>
      <c r="AA174" s="4">
        <f t="shared" si="174"/>
        <v>1.0000003438865774</v>
      </c>
      <c r="AB174" s="4">
        <f t="shared" si="175"/>
        <v>9.7540978637577266E-4</v>
      </c>
      <c r="AC174" s="47" t="str">
        <f t="shared" si="176"/>
        <v>0,807070107347411-7,41994109458199i</v>
      </c>
      <c r="AD174" s="20">
        <f t="shared" si="177"/>
        <v>17.459088978257743</v>
      </c>
      <c r="AE174" s="43">
        <f t="shared" si="178"/>
        <v>-83.792318287796164</v>
      </c>
      <c r="AF174" t="str">
        <f t="shared" si="160"/>
        <v>223,849857273222</v>
      </c>
      <c r="AG174" t="str">
        <f t="shared" si="161"/>
        <v>1+9,00533963898926i</v>
      </c>
      <c r="AH174">
        <f t="shared" si="179"/>
        <v>9.0606921376653791</v>
      </c>
      <c r="AI174">
        <f t="shared" si="180"/>
        <v>1.4602041850292549</v>
      </c>
      <c r="AJ174" t="str">
        <f t="shared" si="162"/>
        <v>1+0,00228128669909085i</v>
      </c>
      <c r="AK174">
        <f t="shared" si="181"/>
        <v>1.0000026021311161</v>
      </c>
      <c r="AL174">
        <f t="shared" si="182"/>
        <v>2.2812827416266554E-3</v>
      </c>
      <c r="AM174" t="str">
        <f t="shared" si="163"/>
        <v>1-0,00149945764893604i</v>
      </c>
      <c r="AN174">
        <f t="shared" si="183"/>
        <v>1.0000011241859885</v>
      </c>
      <c r="AO174">
        <f t="shared" si="184"/>
        <v>-1.4994565251574047E-3</v>
      </c>
      <c r="AP174" s="41" t="str">
        <f t="shared" si="185"/>
        <v>2,74588626042649-24,5526260638855i</v>
      </c>
      <c r="AQ174">
        <f t="shared" si="186"/>
        <v>27.855941316869483</v>
      </c>
      <c r="AR174" s="43">
        <f t="shared" si="187"/>
        <v>-83.618741686999883</v>
      </c>
      <c r="AS174" t="str">
        <f t="shared" si="164"/>
        <v>-0,0000166666666666667</v>
      </c>
      <c r="AT174" t="str">
        <f t="shared" si="165"/>
        <v>2,28813055918812E-06i</v>
      </c>
      <c r="AU174">
        <f t="shared" si="188"/>
        <v>2.2881305591881198E-6</v>
      </c>
      <c r="AV174">
        <f t="shared" si="189"/>
        <v>1.5707963267948966</v>
      </c>
      <c r="AW174" t="str">
        <f t="shared" si="166"/>
        <v>1+0,00150114578404782i</v>
      </c>
      <c r="AX174">
        <f t="shared" si="190"/>
        <v>1.0000011267186977</v>
      </c>
      <c r="AY174">
        <f t="shared" si="191"/>
        <v>1.5011446564693607E-3</v>
      </c>
      <c r="AZ174" t="str">
        <f t="shared" si="167"/>
        <v>1+0,501883073799987i</v>
      </c>
      <c r="BA174">
        <f t="shared" si="192"/>
        <v>1.1188773926426985</v>
      </c>
      <c r="BB174">
        <f t="shared" si="193"/>
        <v>0.46515293304840677</v>
      </c>
      <c r="BC174" s="41" t="str">
        <f t="shared" si="194"/>
        <v>-3,64475705890987+7,28943795412973i</v>
      </c>
      <c r="BD174">
        <f t="shared" si="195"/>
        <v>18.222999155136293</v>
      </c>
      <c r="BE174" s="43">
        <f t="shared" si="196"/>
        <v>116.56529063855078</v>
      </c>
      <c r="BF174" s="41" t="str">
        <f t="shared" si="197"/>
        <v>51,1456257614632+32,9269701533149i</v>
      </c>
      <c r="BG174" s="20">
        <f t="shared" si="198"/>
        <v>35.682088133394039</v>
      </c>
      <c r="BH174" s="43">
        <f t="shared" si="199"/>
        <v>32.772972350754607</v>
      </c>
      <c r="BI174" s="41" t="str">
        <f t="shared" si="152"/>
        <v>168,966755972989+109,504324685597i</v>
      </c>
      <c r="BJ174" s="20">
        <f t="shared" si="200"/>
        <v>46.078940472005776</v>
      </c>
      <c r="BK174" s="43">
        <f t="shared" si="153"/>
        <v>32.946548951550753</v>
      </c>
      <c r="BL174">
        <f t="shared" si="201"/>
        <v>35.682088133394039</v>
      </c>
      <c r="BM174" s="43">
        <f t="shared" si="202"/>
        <v>32.772972350754607</v>
      </c>
    </row>
    <row r="175" spans="14:65" x14ac:dyDescent="0.25">
      <c r="N175" s="9">
        <v>57</v>
      </c>
      <c r="O175" s="34">
        <f t="shared" si="154"/>
        <v>371.53522909717265</v>
      </c>
      <c r="P175" s="33" t="str">
        <f t="shared" si="155"/>
        <v>66,7780509511648</v>
      </c>
      <c r="Q175" s="4" t="str">
        <f t="shared" si="156"/>
        <v>1+9,09820986741493i</v>
      </c>
      <c r="R175" s="4">
        <f t="shared" si="168"/>
        <v>9.1530007533882785</v>
      </c>
      <c r="S175" s="4">
        <f t="shared" si="169"/>
        <v>1.4613240140859192</v>
      </c>
      <c r="T175" s="4" t="str">
        <f t="shared" si="157"/>
        <v>1+0,00233442469256296i</v>
      </c>
      <c r="U175" s="4">
        <f t="shared" si="170"/>
        <v>1.0000027247656105</v>
      </c>
      <c r="V175" s="4">
        <f t="shared" si="171"/>
        <v>2.3344204520642999E-3</v>
      </c>
      <c r="W175" t="str">
        <f t="shared" si="158"/>
        <v>1-0,00507824188079687i</v>
      </c>
      <c r="X175" s="4">
        <f t="shared" si="172"/>
        <v>1.00001289418717</v>
      </c>
      <c r="Y175" s="4">
        <f t="shared" si="173"/>
        <v>-5.078198227990007E-3</v>
      </c>
      <c r="Z175" t="str">
        <f t="shared" si="159"/>
        <v>0,999999861961574+0,000998130183969677i</v>
      </c>
      <c r="AA175" s="4">
        <f t="shared" si="174"/>
        <v>1.0000003600934506</v>
      </c>
      <c r="AB175" s="4">
        <f t="shared" si="175"/>
        <v>9.9812999028306513E-4</v>
      </c>
      <c r="AC175" s="47" t="str">
        <f t="shared" si="176"/>
        <v>0,769958476592983-7,25512434642101i</v>
      </c>
      <c r="AD175" s="20">
        <f t="shared" si="177"/>
        <v>17.261537357116708</v>
      </c>
      <c r="AE175" s="43">
        <f t="shared" si="178"/>
        <v>-83.942094030570217</v>
      </c>
      <c r="AF175" t="str">
        <f t="shared" si="160"/>
        <v>223,849857273222</v>
      </c>
      <c r="AG175" t="str">
        <f t="shared" si="161"/>
        <v>1+9,2151009456858i</v>
      </c>
      <c r="AH175">
        <f t="shared" si="179"/>
        <v>9.2692009061827605</v>
      </c>
      <c r="AI175">
        <f t="shared" si="180"/>
        <v>1.4627017808648053</v>
      </c>
      <c r="AJ175" t="str">
        <f t="shared" si="162"/>
        <v>1+0,00233442469256296i</v>
      </c>
      <c r="AK175">
        <f t="shared" si="181"/>
        <v>1.0000027247656105</v>
      </c>
      <c r="AL175">
        <f t="shared" si="182"/>
        <v>2.3344204520642999E-3</v>
      </c>
      <c r="AM175" t="str">
        <f t="shared" si="163"/>
        <v>1-0,00153438450437803i</v>
      </c>
      <c r="AN175">
        <f t="shared" si="183"/>
        <v>1.0000011771672108</v>
      </c>
      <c r="AO175">
        <f t="shared" si="184"/>
        <v>-1.5343833002276041E-3</v>
      </c>
      <c r="AP175" s="41" t="str">
        <f t="shared" si="185"/>
        <v>2,62460435488988-24,0069051908588i</v>
      </c>
      <c r="AQ175">
        <f t="shared" si="186"/>
        <v>27.658324419622037</v>
      </c>
      <c r="AR175" s="43">
        <f t="shared" si="187"/>
        <v>-83.760799977568837</v>
      </c>
      <c r="AS175" t="str">
        <f t="shared" si="164"/>
        <v>-0,0000166666666666667</v>
      </c>
      <c r="AT175" t="str">
        <f t="shared" si="165"/>
        <v>2,34142796664065E-06i</v>
      </c>
      <c r="AU175">
        <f t="shared" si="188"/>
        <v>2.3414279666406501E-6</v>
      </c>
      <c r="AV175">
        <f t="shared" si="189"/>
        <v>1.5707963267948966</v>
      </c>
      <c r="AW175" t="str">
        <f t="shared" si="166"/>
        <v>1+0,00153611196120793i</v>
      </c>
      <c r="AX175">
        <f t="shared" si="190"/>
        <v>1.0000011798192827</v>
      </c>
      <c r="AY175">
        <f t="shared" si="191"/>
        <v>1.5361107529859197E-3</v>
      </c>
      <c r="AZ175" t="str">
        <f t="shared" si="167"/>
        <v>1+0,513573432363851i</v>
      </c>
      <c r="BA175">
        <f t="shared" si="192"/>
        <v>1.1241697693987269</v>
      </c>
      <c r="BB175">
        <f t="shared" si="193"/>
        <v>0.47444729719006695</v>
      </c>
      <c r="BC175" s="41" t="str">
        <f t="shared" si="194"/>
        <v>-3,64475667183286+7,12376207350912i</v>
      </c>
      <c r="BD175">
        <f t="shared" si="195"/>
        <v>18.06398676273804</v>
      </c>
      <c r="BE175" s="43">
        <f t="shared" si="196"/>
        <v>117.09581506736914</v>
      </c>
      <c r="BF175" s="41" t="str">
        <f t="shared" si="197"/>
        <v>48,8774683630301+31,9281638603249i</v>
      </c>
      <c r="BG175" s="20">
        <f t="shared" si="198"/>
        <v>35.325524119854748</v>
      </c>
      <c r="BH175" s="43">
        <f t="shared" si="199"/>
        <v>33.153721036798878</v>
      </c>
      <c r="BI175" s="41" t="str">
        <f t="shared" si="152"/>
        <v>161,453436467563+106,196384825773i</v>
      </c>
      <c r="BJ175" s="20">
        <f t="shared" si="200"/>
        <v>45.722311182360087</v>
      </c>
      <c r="BK175" s="43">
        <f t="shared" si="153"/>
        <v>33.335015089800272</v>
      </c>
      <c r="BL175">
        <f t="shared" si="201"/>
        <v>35.325524119854748</v>
      </c>
      <c r="BM175" s="43">
        <f t="shared" si="202"/>
        <v>33.153721036798878</v>
      </c>
    </row>
    <row r="176" spans="14:65" x14ac:dyDescent="0.25">
      <c r="N176" s="9">
        <v>58</v>
      </c>
      <c r="O176" s="34">
        <f t="shared" si="154"/>
        <v>380.18939632056163</v>
      </c>
      <c r="P176" s="33" t="str">
        <f t="shared" si="155"/>
        <v>66,7780509511648</v>
      </c>
      <c r="Q176" s="4" t="str">
        <f t="shared" si="156"/>
        <v>1+9,3101343996253i</v>
      </c>
      <c r="R176" s="4">
        <f t="shared" si="168"/>
        <v>9.3636853075638076</v>
      </c>
      <c r="S176" s="4">
        <f t="shared" si="169"/>
        <v>1.4637967137397758</v>
      </c>
      <c r="T176" s="4" t="str">
        <f t="shared" si="157"/>
        <v>1+0,00238880042890683i</v>
      </c>
      <c r="U176" s="4">
        <f t="shared" si="170"/>
        <v>1.0000028531796743</v>
      </c>
      <c r="V176" s="4">
        <f t="shared" si="171"/>
        <v>2.3887958851313519E-3</v>
      </c>
      <c r="W176" t="str">
        <f t="shared" si="158"/>
        <v>1-0,00519652932972608i</v>
      </c>
      <c r="X176" s="4">
        <f t="shared" si="172"/>
        <v>1.000013501867387</v>
      </c>
      <c r="Y176" s="4">
        <f t="shared" si="173"/>
        <v>-5.1964825549349067E-3</v>
      </c>
      <c r="Z176" t="str">
        <f t="shared" si="159"/>
        <v>0,999999855456023+0,00102137962264007i</v>
      </c>
      <c r="AA176" s="4">
        <f t="shared" si="174"/>
        <v>1.000000377064129</v>
      </c>
      <c r="AB176" s="4">
        <f t="shared" si="175"/>
        <v>1.0213794151011305E-3</v>
      </c>
      <c r="AC176" s="47" t="str">
        <f t="shared" si="176"/>
        <v>0,734478145811106-7,09379128190348i</v>
      </c>
      <c r="AD176" s="20">
        <f t="shared" si="177"/>
        <v>17.063877373302677</v>
      </c>
      <c r="AE176" s="43">
        <f t="shared" si="178"/>
        <v>-84.088763088550394</v>
      </c>
      <c r="AF176" t="str">
        <f t="shared" si="160"/>
        <v>223,849857273222</v>
      </c>
      <c r="AG176" t="str">
        <f t="shared" si="161"/>
        <v>1+9,42974822088003i</v>
      </c>
      <c r="AH176">
        <f t="shared" si="179"/>
        <v>9.4826236616872084</v>
      </c>
      <c r="AI176">
        <f t="shared" si="180"/>
        <v>1.4651438333913136</v>
      </c>
      <c r="AJ176" t="str">
        <f t="shared" si="162"/>
        <v>1+0,00238880042890683i</v>
      </c>
      <c r="AK176">
        <f t="shared" si="181"/>
        <v>1.0000028531796743</v>
      </c>
      <c r="AL176">
        <f t="shared" si="182"/>
        <v>2.3887958851313519E-3</v>
      </c>
      <c r="AM176" t="str">
        <f t="shared" si="163"/>
        <v>1-0,00157012491079421i</v>
      </c>
      <c r="AN176">
        <f t="shared" si="183"/>
        <v>1.000001232645358</v>
      </c>
      <c r="AO176">
        <f t="shared" si="184"/>
        <v>-1.5701236205238681E-3</v>
      </c>
      <c r="AP176" s="41" t="str">
        <f t="shared" si="185"/>
        <v>2,50865676375211-23,4727412569075i</v>
      </c>
      <c r="AQ176">
        <f t="shared" si="186"/>
        <v>27.46060162543149</v>
      </c>
      <c r="AR176" s="43">
        <f t="shared" si="187"/>
        <v>-83.899651567374491</v>
      </c>
      <c r="AS176" t="str">
        <f t="shared" si="164"/>
        <v>-0,0000166666666666667</v>
      </c>
      <c r="AT176" t="str">
        <f t="shared" si="165"/>
        <v>2,39596683019355E-06i</v>
      </c>
      <c r="AU176">
        <f t="shared" si="188"/>
        <v>2.3959668301935502E-6</v>
      </c>
      <c r="AV176">
        <f t="shared" si="189"/>
        <v>1.5707963267948966</v>
      </c>
      <c r="AW176" t="str">
        <f t="shared" si="166"/>
        <v>1+0,00157189260526272i</v>
      </c>
      <c r="AX176">
        <f t="shared" si="190"/>
        <v>1.0000012354224181</v>
      </c>
      <c r="AY176">
        <f t="shared" si="191"/>
        <v>1.5718913106295973E-3</v>
      </c>
      <c r="AZ176" t="str">
        <f t="shared" si="167"/>
        <v>1+0,525536094359502i</v>
      </c>
      <c r="BA176">
        <f t="shared" si="192"/>
        <v>1.1296849943566745</v>
      </c>
      <c r="BB176">
        <f t="shared" si="193"/>
        <v>0.48386716899259941</v>
      </c>
      <c r="BC176" s="41" t="str">
        <f t="shared" si="194"/>
        <v>-3,64475626651357+6,96186330577798i</v>
      </c>
      <c r="BD176">
        <f t="shared" si="195"/>
        <v>17.906495434935895</v>
      </c>
      <c r="BE176" s="43">
        <f t="shared" si="196"/>
        <v>117.63348389026689</v>
      </c>
      <c r="BF176" s="41" t="str">
        <f t="shared" si="197"/>
        <v>46,7090113997693+30,9684766802752i</v>
      </c>
      <c r="BG176" s="20">
        <f t="shared" si="198"/>
        <v>34.970372808238572</v>
      </c>
      <c r="BH176" s="43">
        <f t="shared" si="199"/>
        <v>33.544720801716466</v>
      </c>
      <c r="BI176" s="41" t="str">
        <f t="shared" si="152"/>
        <v>154,270573582268+103,017346258723i</v>
      </c>
      <c r="BJ176" s="20">
        <f t="shared" si="200"/>
        <v>45.367097060367385</v>
      </c>
      <c r="BK176" s="43">
        <f t="shared" si="153"/>
        <v>33.733832322892475</v>
      </c>
      <c r="BL176">
        <f t="shared" si="201"/>
        <v>34.970372808238572</v>
      </c>
      <c r="BM176" s="43">
        <f t="shared" si="202"/>
        <v>33.544720801716466</v>
      </c>
    </row>
    <row r="177" spans="14:65" x14ac:dyDescent="0.25">
      <c r="N177" s="9">
        <v>59</v>
      </c>
      <c r="O177" s="34">
        <f t="shared" si="154"/>
        <v>389.04514499428063</v>
      </c>
      <c r="P177" s="33" t="str">
        <f t="shared" si="155"/>
        <v>66,7780509511648</v>
      </c>
      <c r="Q177" s="4" t="str">
        <f t="shared" si="156"/>
        <v>1+9,52699528832856i</v>
      </c>
      <c r="R177" s="4">
        <f t="shared" si="168"/>
        <v>9.5793339655653824</v>
      </c>
      <c r="S177" s="4">
        <f t="shared" si="169"/>
        <v>1.4662143977169859</v>
      </c>
      <c r="T177" s="4" t="str">
        <f t="shared" si="157"/>
        <v>1+0,00244444273885762i</v>
      </c>
      <c r="U177" s="4">
        <f t="shared" si="170"/>
        <v>1.0000029876456888</v>
      </c>
      <c r="V177" s="4">
        <f t="shared" si="171"/>
        <v>2.4444378701152618E-3</v>
      </c>
      <c r="W177" t="str">
        <f t="shared" si="158"/>
        <v>1-0,0053175720472901i</v>
      </c>
      <c r="X177" s="4">
        <f t="shared" si="172"/>
        <v>1.000014138186295</v>
      </c>
      <c r="Y177" s="4">
        <f t="shared" si="173"/>
        <v>-5.3175219272366308E-3</v>
      </c>
      <c r="Z177" t="str">
        <f t="shared" si="159"/>
        <v>0,999999848643875+0,00104517061030595i</v>
      </c>
      <c r="AA177" s="4">
        <f t="shared" si="174"/>
        <v>1.000000394834611</v>
      </c>
      <c r="AB177" s="4">
        <f t="shared" si="175"/>
        <v>1.0451703879239748E-3</v>
      </c>
      <c r="AC177" s="47" t="str">
        <f t="shared" si="176"/>
        <v>0,700559068399617-6,93588004701564i</v>
      </c>
      <c r="AD177" s="20">
        <f t="shared" si="177"/>
        <v>16.866113818213879</v>
      </c>
      <c r="AE177" s="43">
        <f t="shared" si="178"/>
        <v>-84.232396293258688</v>
      </c>
      <c r="AF177" t="str">
        <f t="shared" si="160"/>
        <v>223,849857273222</v>
      </c>
      <c r="AG177" t="str">
        <f t="shared" si="161"/>
        <v>1+9,64939527339845i</v>
      </c>
      <c r="AH177">
        <f t="shared" si="179"/>
        <v>9.7010736077139601</v>
      </c>
      <c r="AI177">
        <f t="shared" si="180"/>
        <v>1.4675315208460999</v>
      </c>
      <c r="AJ177" t="str">
        <f t="shared" si="162"/>
        <v>1+0,00244444273885762i</v>
      </c>
      <c r="AK177">
        <f t="shared" si="181"/>
        <v>1.0000029876456888</v>
      </c>
      <c r="AL177">
        <f t="shared" si="182"/>
        <v>2.4444378701152618E-3</v>
      </c>
      <c r="AM177" t="str">
        <f t="shared" si="163"/>
        <v>1-0,00160669781822116i</v>
      </c>
      <c r="AN177">
        <f t="shared" si="183"/>
        <v>1.0000012907381064</v>
      </c>
      <c r="AO177">
        <f t="shared" si="184"/>
        <v>-1.6066964356716759E-3</v>
      </c>
      <c r="AP177" s="41" t="str">
        <f t="shared" si="185"/>
        <v>2,39781415935763-22,9499275348775i</v>
      </c>
      <c r="AQ177">
        <f t="shared" si="186"/>
        <v>27.262777600906283</v>
      </c>
      <c r="AR177" s="43">
        <f t="shared" si="187"/>
        <v>-84.035363398379644</v>
      </c>
      <c r="AS177" t="str">
        <f t="shared" si="164"/>
        <v>-0,0000166666666666667</v>
      </c>
      <c r="AT177" t="str">
        <f t="shared" si="165"/>
        <v>2,45177606707419E-06i</v>
      </c>
      <c r="AU177">
        <f t="shared" si="188"/>
        <v>2.45177606707419E-6</v>
      </c>
      <c r="AV177">
        <f t="shared" si="189"/>
        <v>1.5707963267948966</v>
      </c>
      <c r="AW177" t="str">
        <f t="shared" si="166"/>
        <v>1+0,00160850668758328i</v>
      </c>
      <c r="AX177">
        <f t="shared" si="190"/>
        <v>1.0000012936460452</v>
      </c>
      <c r="AY177">
        <f t="shared" si="191"/>
        <v>1.6085053003589928E-3</v>
      </c>
      <c r="AZ177" t="str">
        <f t="shared" si="167"/>
        <v>1+0,537777402548676i</v>
      </c>
      <c r="BA177">
        <f t="shared" si="192"/>
        <v>1.1354314310833573</v>
      </c>
      <c r="BB177">
        <f t="shared" si="193"/>
        <v>0.49341085522103512</v>
      </c>
      <c r="BC177" s="41" t="str">
        <f t="shared" si="194"/>
        <v>-3,64475584209229+6,80365581006265i</v>
      </c>
      <c r="BD177">
        <f t="shared" si="195"/>
        <v>17.750565972749037</v>
      </c>
      <c r="BE177" s="43">
        <f t="shared" si="196"/>
        <v>118.17819900507082</v>
      </c>
      <c r="BF177" s="41" t="str">
        <f t="shared" si="197"/>
        <v>44,6359738224953+30,0459520974207i</v>
      </c>
      <c r="BG177" s="20">
        <f t="shared" si="198"/>
        <v>34.616679790962905</v>
      </c>
      <c r="BH177" s="43">
        <f t="shared" si="199"/>
        <v>33.945802711812121</v>
      </c>
      <c r="BI177" s="41" t="str">
        <f t="shared" si="152"/>
        <v>147,403960647616+99,9607846951035i</v>
      </c>
      <c r="BJ177" s="20">
        <f t="shared" si="200"/>
        <v>45.013343573655327</v>
      </c>
      <c r="BK177" s="43">
        <f t="shared" si="153"/>
        <v>34.142835606691129</v>
      </c>
      <c r="BL177">
        <f t="shared" si="201"/>
        <v>34.616679790962905</v>
      </c>
      <c r="BM177" s="43">
        <f t="shared" si="202"/>
        <v>33.945802711812121</v>
      </c>
    </row>
    <row r="178" spans="14:65" x14ac:dyDescent="0.25">
      <c r="N178" s="9">
        <v>60</v>
      </c>
      <c r="O178" s="34">
        <f t="shared" si="154"/>
        <v>398.10717055349761</v>
      </c>
      <c r="P178" s="33" t="str">
        <f t="shared" si="155"/>
        <v>66,7780509511648</v>
      </c>
      <c r="Q178" s="4" t="str">
        <f t="shared" si="156"/>
        <v>1+9,74890751603836i</v>
      </c>
      <c r="R178" s="4">
        <f t="shared" si="168"/>
        <v>9.8000611098232024</v>
      </c>
      <c r="S178" s="4">
        <f t="shared" si="169"/>
        <v>1.4685782347892629</v>
      </c>
      <c r="T178" s="4" t="str">
        <f t="shared" si="157"/>
        <v>1+0,00250138112470457i</v>
      </c>
      <c r="U178" s="4">
        <f t="shared" si="170"/>
        <v>1.000003128448872</v>
      </c>
      <c r="V178" s="4">
        <f t="shared" si="171"/>
        <v>2.5013759077540227E-3</v>
      </c>
      <c r="W178" t="str">
        <f t="shared" si="158"/>
        <v>1-0,00544143421193997i</v>
      </c>
      <c r="X178" s="4">
        <f t="shared" si="172"/>
        <v>1.0000148044935548</v>
      </c>
      <c r="Y178" s="4">
        <f t="shared" si="173"/>
        <v>-5.441380507378038E-3</v>
      </c>
      <c r="Z178" t="str">
        <f t="shared" si="159"/>
        <v>0,999999841510681+0,00106951576126387i</v>
      </c>
      <c r="AA178" s="4">
        <f t="shared" si="174"/>
        <v>1.0000004134425899</v>
      </c>
      <c r="AB178" s="4">
        <f t="shared" si="175"/>
        <v>1.0695155229772948E-3</v>
      </c>
      <c r="AC178" s="47" t="str">
        <f t="shared" si="176"/>
        <v>0,668134060800801-6,78132907951019i</v>
      </c>
      <c r="AD178" s="20">
        <f t="shared" si="177"/>
        <v>16.668251278481904</v>
      </c>
      <c r="AE178" s="43">
        <f t="shared" si="178"/>
        <v>-84.373063319095081</v>
      </c>
      <c r="AF178" t="str">
        <f t="shared" si="160"/>
        <v>223,849857273222</v>
      </c>
      <c r="AG178" t="str">
        <f t="shared" si="161"/>
        <v>1+9,87415856301564i</v>
      </c>
      <c r="AH178">
        <f t="shared" si="179"/>
        <v>9.9246666103993189</v>
      </c>
      <c r="AI178">
        <f t="shared" si="180"/>
        <v>1.4698660002545711</v>
      </c>
      <c r="AJ178" t="str">
        <f t="shared" si="162"/>
        <v>1+0,00250138112470457i</v>
      </c>
      <c r="AK178">
        <f t="shared" si="181"/>
        <v>1.000003128448872</v>
      </c>
      <c r="AL178">
        <f t="shared" si="182"/>
        <v>2.5013759077540227E-3</v>
      </c>
      <c r="AM178" t="str">
        <f t="shared" si="163"/>
        <v>1-0,00164412261809849i</v>
      </c>
      <c r="AN178">
        <f t="shared" si="183"/>
        <v>1.0000013515686783</v>
      </c>
      <c r="AO178">
        <f t="shared" si="184"/>
        <v>-1.6441211366701356E-3</v>
      </c>
      <c r="AP178" s="41" t="str">
        <f t="shared" si="185"/>
        <v>2,29185661178406-22,4382583941016i</v>
      </c>
      <c r="AQ178">
        <f t="shared" si="186"/>
        <v>27.064856812127207</v>
      </c>
      <c r="AR178" s="43">
        <f t="shared" si="187"/>
        <v>-84.168001184011572</v>
      </c>
      <c r="AS178" t="str">
        <f t="shared" si="164"/>
        <v>-0,0000166666666666667</v>
      </c>
      <c r="AT178" t="str">
        <f t="shared" si="165"/>
        <v>2,50888526807869E-06i</v>
      </c>
      <c r="AU178">
        <f t="shared" si="188"/>
        <v>2.5088852680786899E-6</v>
      </c>
      <c r="AV178">
        <f t="shared" si="189"/>
        <v>1.5707963267948966</v>
      </c>
      <c r="AW178" t="str">
        <f t="shared" si="166"/>
        <v>1+0,00164597362144069i</v>
      </c>
      <c r="AX178">
        <f t="shared" si="190"/>
        <v>1.0000013546136637</v>
      </c>
      <c r="AY178">
        <f t="shared" si="191"/>
        <v>1.6459721350031943E-3</v>
      </c>
      <c r="AZ178" t="str">
        <f t="shared" si="167"/>
        <v>1+0,550303847435005i</v>
      </c>
      <c r="BA178">
        <f t="shared" si="192"/>
        <v>1.1414176818771335</v>
      </c>
      <c r="BB178">
        <f t="shared" si="193"/>
        <v>0.50307646117709326</v>
      </c>
      <c r="BC178" s="41" t="str">
        <f t="shared" si="194"/>
        <v>-3,64475539766872+6,64905570265046i</v>
      </c>
      <c r="BD178">
        <f t="shared" si="195"/>
        <v>17.596239118494999</v>
      </c>
      <c r="BE178" s="43">
        <f t="shared" si="196"/>
        <v>118.72985074129261</v>
      </c>
      <c r="BF178" s="41" t="str">
        <f t="shared" si="197"/>
        <v>42,6542495631966+29,1587463530152i</v>
      </c>
      <c r="BG178" s="20">
        <f t="shared" si="198"/>
        <v>34.26449039697691</v>
      </c>
      <c r="BH178" s="43">
        <f t="shared" si="199"/>
        <v>34.356787422197556</v>
      </c>
      <c r="BI178" s="41" t="str">
        <f t="shared" ref="BI178:BI241" si="203">IMPRODUCT(AP178,BC178)</f>
        <v>140,839973176363+97,0206456704272i</v>
      </c>
      <c r="BJ178" s="20">
        <f t="shared" si="200"/>
        <v>44.661095930622203</v>
      </c>
      <c r="BK178" s="43">
        <f t="shared" ref="BK178:BK241" si="204">(180/PI())*IMARGUMENT(BI178)</f>
        <v>34.561849557281079</v>
      </c>
      <c r="BL178">
        <f t="shared" si="201"/>
        <v>34.26449039697691</v>
      </c>
      <c r="BM178" s="43">
        <f t="shared" si="202"/>
        <v>34.356787422197556</v>
      </c>
    </row>
    <row r="179" spans="14:65" x14ac:dyDescent="0.25">
      <c r="N179" s="9">
        <v>61</v>
      </c>
      <c r="O179" s="34">
        <f t="shared" si="154"/>
        <v>407.38027780411272</v>
      </c>
      <c r="P179" s="33" t="str">
        <f t="shared" si="155"/>
        <v>66,7780509511648</v>
      </c>
      <c r="Q179" s="4" t="str">
        <f t="shared" si="156"/>
        <v>1+9,97598874355523i</v>
      </c>
      <c r="R179" s="4">
        <f t="shared" si="168"/>
        <v>10.025983812651038</v>
      </c>
      <c r="S179" s="4">
        <f t="shared" si="169"/>
        <v>1.4708893725687746</v>
      </c>
      <c r="T179" s="4" t="str">
        <f t="shared" si="157"/>
        <v>1+0,00255964577593354i</v>
      </c>
      <c r="U179" s="4">
        <f t="shared" si="170"/>
        <v>1.0000032758878834</v>
      </c>
      <c r="V179" s="4">
        <f t="shared" si="171"/>
        <v>2.5596401858713029E-3</v>
      </c>
      <c r="W179" t="str">
        <f t="shared" si="158"/>
        <v>1-0,00556818149703492i</v>
      </c>
      <c r="X179" s="4">
        <f t="shared" si="172"/>
        <v>1.0000155022024328</v>
      </c>
      <c r="Y179" s="4">
        <f t="shared" si="173"/>
        <v>-5.5681239516082101E-3</v>
      </c>
      <c r="Z179" t="str">
        <f t="shared" si="159"/>
        <v>0,999999834041309+0,00109442798363514i</v>
      </c>
      <c r="AA179" s="4">
        <f t="shared" si="174"/>
        <v>1.0000004329275347</v>
      </c>
      <c r="AB179" s="4">
        <f t="shared" si="175"/>
        <v>1.0944277283064807E-3</v>
      </c>
      <c r="AC179" s="47" t="str">
        <f t="shared" si="176"/>
        <v>0,637138698197221-6,63007717167992i</v>
      </c>
      <c r="AD179" s="20">
        <f t="shared" si="177"/>
        <v>16.470294144415373</v>
      </c>
      <c r="AE179" s="43">
        <f t="shared" si="178"/>
        <v>-84.510832691160914</v>
      </c>
      <c r="AF179" t="str">
        <f t="shared" si="160"/>
        <v>223,849857273222</v>
      </c>
      <c r="AG179" t="str">
        <f t="shared" si="161"/>
        <v>1+10,1041572622029i</v>
      </c>
      <c r="AH179">
        <f t="shared" si="179"/>
        <v>10.153521260101225</v>
      </c>
      <c r="AI179">
        <f t="shared" si="180"/>
        <v>1.4721484075534563</v>
      </c>
      <c r="AJ179" t="str">
        <f t="shared" si="162"/>
        <v>1+0,00255964577593354i</v>
      </c>
      <c r="AK179">
        <f t="shared" si="181"/>
        <v>1.0000032758878834</v>
      </c>
      <c r="AL179">
        <f t="shared" si="182"/>
        <v>2.5596401858713029E-3</v>
      </c>
      <c r="AM179" t="str">
        <f t="shared" si="163"/>
        <v>1-0,00168241915355047i</v>
      </c>
      <c r="AN179">
        <f t="shared" si="183"/>
        <v>1.0000014152661025</v>
      </c>
      <c r="AO179">
        <f t="shared" si="184"/>
        <v>-1.6824175661715104E-3</v>
      </c>
      <c r="AP179" s="41" t="str">
        <f t="shared" si="185"/>
        <v>2,19057324427454-21,9375295003072i</v>
      </c>
      <c r="AQ179">
        <f t="shared" si="186"/>
        <v>26.866843532897278</v>
      </c>
      <c r="AR179" s="43">
        <f t="shared" si="187"/>
        <v>-84.297629415915878</v>
      </c>
      <c r="AS179" t="str">
        <f t="shared" si="164"/>
        <v>-0,0000166666666666667</v>
      </c>
      <c r="AT179" t="str">
        <f t="shared" si="165"/>
        <v>2,56732471326134E-06i</v>
      </c>
      <c r="AU179">
        <f t="shared" si="188"/>
        <v>2.5673247132613399E-6</v>
      </c>
      <c r="AV179">
        <f t="shared" si="189"/>
        <v>1.5707963267948966</v>
      </c>
      <c r="AW179" t="str">
        <f t="shared" si="166"/>
        <v>1+0,00168431327229924i</v>
      </c>
      <c r="AX179">
        <f t="shared" si="190"/>
        <v>1.0000014184545936</v>
      </c>
      <c r="AY179">
        <f t="shared" si="191"/>
        <v>1.6843116795528894E-3</v>
      </c>
      <c r="AZ179" t="str">
        <f t="shared" si="167"/>
        <v>1+0,563122070705378i</v>
      </c>
      <c r="BA179">
        <f t="shared" si="192"/>
        <v>1.1476525896435352</v>
      </c>
      <c r="BB179">
        <f t="shared" si="193"/>
        <v>0.51286188692679724</v>
      </c>
      <c r="BC179" s="41" t="str">
        <f t="shared" si="194"/>
        <v>-3,64475493230026+6,49798101251353i</v>
      </c>
      <c r="BD179">
        <f t="shared" si="195"/>
        <v>17.443555464088703</v>
      </c>
      <c r="BE179" s="43">
        <f t="shared" si="196"/>
        <v>119.28831764339817</v>
      </c>
      <c r="BF179" s="41" t="str">
        <f t="shared" si="197"/>
        <v>40,7599011602618+28,3051216362349i</v>
      </c>
      <c r="BG179" s="20">
        <f t="shared" si="198"/>
        <v>33.913849608504073</v>
      </c>
      <c r="BH179" s="43">
        <f t="shared" si="199"/>
        <v>34.77748495223733</v>
      </c>
      <c r="BI179" s="41" t="str">
        <f t="shared" si="203"/>
        <v>134,565547517817+94,1912221965433i</v>
      </c>
      <c r="BJ179" s="20">
        <f t="shared" si="200"/>
        <v>44.310398996985981</v>
      </c>
      <c r="BK179" s="43">
        <f t="shared" si="204"/>
        <v>34.990688227482316</v>
      </c>
      <c r="BL179">
        <f t="shared" si="201"/>
        <v>33.913849608504073</v>
      </c>
      <c r="BM179" s="43">
        <f t="shared" si="202"/>
        <v>34.77748495223733</v>
      </c>
    </row>
    <row r="180" spans="14:65" x14ac:dyDescent="0.25">
      <c r="N180" s="9">
        <v>62</v>
      </c>
      <c r="O180" s="34">
        <f t="shared" si="154"/>
        <v>416.86938347033572</v>
      </c>
      <c r="P180" s="33" t="str">
        <f t="shared" si="155"/>
        <v>66,7780509511648</v>
      </c>
      <c r="Q180" s="4" t="str">
        <f t="shared" si="156"/>
        <v>1+10,2083593723518i</v>
      </c>
      <c r="R180" s="4">
        <f t="shared" si="168"/>
        <v>10.257221898500726</v>
      </c>
      <c r="S180" s="4">
        <f t="shared" si="169"/>
        <v>1.4731489376403568</v>
      </c>
      <c r="T180" s="4" t="str">
        <f t="shared" si="157"/>
        <v>1+0,00261926758523383i</v>
      </c>
      <c r="U180" s="4">
        <f t="shared" si="170"/>
        <v>1.0000034302754581</v>
      </c>
      <c r="V180" s="4">
        <f t="shared" si="171"/>
        <v>2.6192615953753353E-3</v>
      </c>
      <c r="W180" t="str">
        <f t="shared" si="158"/>
        <v>1-0,00569788110566321i</v>
      </c>
      <c r="X180" s="4">
        <f t="shared" si="172"/>
        <v>1.0000162327927953</v>
      </c>
      <c r="Y180" s="4">
        <f t="shared" si="173"/>
        <v>-5.6978194446816203E-3</v>
      </c>
      <c r="Z180" t="str">
        <f t="shared" si="159"/>
        <v>0,999999826219917+0,00111992048620979i</v>
      </c>
      <c r="AA180" s="4">
        <f t="shared" si="174"/>
        <v>1.0000004533307769</v>
      </c>
      <c r="AB180" s="4">
        <f t="shared" si="175"/>
        <v>1.1199202126202089E-3</v>
      </c>
      <c r="AC180" s="47" t="str">
        <f t="shared" si="176"/>
        <v>0,607511212858019-6,48206352760418i</v>
      </c>
      <c r="AD180" s="20">
        <f t="shared" si="177"/>
        <v>16.272246618137064</v>
      </c>
      <c r="AE180" s="43">
        <f t="shared" si="178"/>
        <v>-84.645771794300003</v>
      </c>
      <c r="AF180" t="str">
        <f t="shared" si="160"/>
        <v>223,849857273222</v>
      </c>
      <c r="AG180" t="str">
        <f t="shared" si="161"/>
        <v>1+10,339513319315i</v>
      </c>
      <c r="AH180">
        <f t="shared" si="179"/>
        <v>10.387758934452236</v>
      </c>
      <c r="AI180">
        <f t="shared" si="180"/>
        <v>1.4743798577336795</v>
      </c>
      <c r="AJ180" t="str">
        <f t="shared" si="162"/>
        <v>1+0,00261926758523383i</v>
      </c>
      <c r="AK180">
        <f t="shared" si="181"/>
        <v>1.0000034302754581</v>
      </c>
      <c r="AL180">
        <f t="shared" si="182"/>
        <v>2.6192615953753353E-3</v>
      </c>
      <c r="AM180" t="str">
        <f t="shared" si="163"/>
        <v>1-0,00172160772990712i</v>
      </c>
      <c r="AN180">
        <f t="shared" si="183"/>
        <v>1.0000014819654899</v>
      </c>
      <c r="AO180">
        <f t="shared" si="184"/>
        <v>-1.7216060290000561E-3</v>
      </c>
      <c r="AP180" s="41" t="str">
        <f t="shared" si="185"/>
        <v>2,09376189764223-21,4475379976513i</v>
      </c>
      <c r="AQ180">
        <f t="shared" si="186"/>
        <v>26.668741852688534</v>
      </c>
      <c r="AR180" s="43">
        <f t="shared" si="187"/>
        <v>-84.42431137182885</v>
      </c>
      <c r="AS180" t="str">
        <f t="shared" si="164"/>
        <v>-0,0000166666666666667</v>
      </c>
      <c r="AT180" t="str">
        <f t="shared" si="165"/>
        <v>2,62712538798953E-06i</v>
      </c>
      <c r="AU180">
        <f t="shared" si="188"/>
        <v>2.6271253879895298E-6</v>
      </c>
      <c r="AV180">
        <f t="shared" si="189"/>
        <v>1.5707963267948966</v>
      </c>
      <c r="AW180" t="str">
        <f t="shared" si="166"/>
        <v>1+0,00172354596834928i</v>
      </c>
      <c r="AX180">
        <f t="shared" si="190"/>
        <v>1.0000014853042494</v>
      </c>
      <c r="AY180">
        <f t="shared" si="191"/>
        <v>1.7235442616909539E-3</v>
      </c>
      <c r="AZ180" t="str">
        <f t="shared" si="167"/>
        <v>1+0,576238868751442i</v>
      </c>
      <c r="BA180">
        <f t="shared" si="192"/>
        <v>1.1541452394997527</v>
      </c>
      <c r="BB180">
        <f t="shared" si="193"/>
        <v>0.52276482412332903</v>
      </c>
      <c r="BC180" s="41" t="str">
        <f t="shared" si="194"/>
        <v>-3,64475444499977+6,35035163784646i</v>
      </c>
      <c r="BD180">
        <f t="shared" si="195"/>
        <v>17.292555355123898</v>
      </c>
      <c r="BE180" s="43">
        <f t="shared" si="196"/>
        <v>119.85346628816659</v>
      </c>
      <c r="BF180" s="41" t="str">
        <f t="shared" si="197"/>
        <v>38,9491535456945+27,4834396805892i</v>
      </c>
      <c r="BG180" s="20">
        <f t="shared" si="198"/>
        <v>33.564801973260955</v>
      </c>
      <c r="BH180" s="43">
        <f t="shared" si="199"/>
        <v>35.207694493866583</v>
      </c>
      <c r="BI180" s="41" t="str">
        <f t="shared" si="203"/>
        <v>128,568160067956+91,4671337471939i</v>
      </c>
      <c r="BJ180" s="20">
        <f t="shared" si="200"/>
        <v>43.961297207812422</v>
      </c>
      <c r="BK180" s="43">
        <f t="shared" si="204"/>
        <v>35.429154916337851</v>
      </c>
      <c r="BL180">
        <f t="shared" si="201"/>
        <v>33.564801973260955</v>
      </c>
      <c r="BM180" s="43">
        <f t="shared" si="202"/>
        <v>35.207694493866583</v>
      </c>
    </row>
    <row r="181" spans="14:65" x14ac:dyDescent="0.25">
      <c r="N181" s="9">
        <v>63</v>
      </c>
      <c r="O181" s="34">
        <f t="shared" si="154"/>
        <v>426.57951880159294</v>
      </c>
      <c r="P181" s="33" t="str">
        <f t="shared" si="155"/>
        <v>66,7780509511648</v>
      </c>
      <c r="Q181" s="4" t="str">
        <f t="shared" si="156"/>
        <v>1+10,4461426084111i</v>
      </c>
      <c r="R181" s="4">
        <f t="shared" si="168"/>
        <v>10.493898007664352</v>
      </c>
      <c r="S181" s="4">
        <f t="shared" si="169"/>
        <v>1.47535803571255</v>
      </c>
      <c r="T181" s="4" t="str">
        <f t="shared" si="157"/>
        <v>1+0,00268027816487791i</v>
      </c>
      <c r="U181" s="4">
        <f t="shared" si="170"/>
        <v>1.0000035919390695</v>
      </c>
      <c r="V181" s="4">
        <f t="shared" si="171"/>
        <v>2.6802717466301424E-3</v>
      </c>
      <c r="W181" t="str">
        <f t="shared" si="158"/>
        <v>1-0,00583060180627407i</v>
      </c>
      <c r="X181" s="4">
        <f t="shared" si="172"/>
        <v>1.0000169978142488</v>
      </c>
      <c r="Y181" s="4">
        <f t="shared" si="173"/>
        <v>-5.83053573540257E-3</v>
      </c>
      <c r="Z181" t="str">
        <f t="shared" si="159"/>
        <v>0,999999818029914+0,00114600678545013i</v>
      </c>
      <c r="AA181" s="4">
        <f t="shared" si="174"/>
        <v>1.0000004746955939</v>
      </c>
      <c r="AB181" s="4">
        <f t="shared" si="175"/>
        <v>1.1460064922936193E-3</v>
      </c>
      <c r="AC181" s="47" t="str">
        <f t="shared" si="176"/>
        <v>0,579192395181676-6,33722781521189i</v>
      </c>
      <c r="AD181" s="20">
        <f t="shared" si="177"/>
        <v>16.07411272142226</v>
      </c>
      <c r="AE181" s="43">
        <f t="shared" si="178"/>
        <v>-84.777946883252241</v>
      </c>
      <c r="AF181" t="str">
        <f t="shared" si="160"/>
        <v>223,849857273222</v>
      </c>
      <c r="AG181" t="str">
        <f t="shared" si="161"/>
        <v>1+10,5803515232485i</v>
      </c>
      <c r="AH181">
        <f t="shared" si="179"/>
        <v>10.627503862878942</v>
      </c>
      <c r="AI181">
        <f t="shared" si="180"/>
        <v>1.4765614450010811</v>
      </c>
      <c r="AJ181" t="str">
        <f t="shared" si="162"/>
        <v>1+0,00268027816487791i</v>
      </c>
      <c r="AK181">
        <f t="shared" si="181"/>
        <v>1.0000035919390695</v>
      </c>
      <c r="AL181">
        <f t="shared" si="182"/>
        <v>2.6802717466301424E-3</v>
      </c>
      <c r="AM181" t="str">
        <f t="shared" si="163"/>
        <v>1-0,00176170912547033i</v>
      </c>
      <c r="AN181">
        <f t="shared" si="183"/>
        <v>1.0000015518083172</v>
      </c>
      <c r="AO181">
        <f t="shared" si="184"/>
        <v>-1.7617073029157274E-3</v>
      </c>
      <c r="AP181" s="41" t="str">
        <f t="shared" si="185"/>
        <v>2,00122880377314-20,9680826740029i</v>
      </c>
      <c r="AQ181">
        <f t="shared" si="186"/>
        <v>26.470555684293316</v>
      </c>
      <c r="AR181" s="43">
        <f t="shared" si="187"/>
        <v>-84.548109124464546</v>
      </c>
      <c r="AS181" t="str">
        <f t="shared" si="164"/>
        <v>-0,0000166666666666667</v>
      </c>
      <c r="AT181" t="str">
        <f t="shared" si="165"/>
        <v>2,68831899937254E-06i</v>
      </c>
      <c r="AU181">
        <f t="shared" si="188"/>
        <v>2.6883189993725401E-6</v>
      </c>
      <c r="AV181">
        <f t="shared" si="189"/>
        <v>1.5707963267948966</v>
      </c>
      <c r="AW181" t="str">
        <f t="shared" si="166"/>
        <v>1+0,00176369251128556i</v>
      </c>
      <c r="AX181">
        <f t="shared" si="190"/>
        <v>1.0000015553044277</v>
      </c>
      <c r="AY181">
        <f t="shared" si="191"/>
        <v>1.7636906825683697E-3</v>
      </c>
      <c r="AZ181" t="str">
        <f t="shared" si="167"/>
        <v>1+0,58966119627314i</v>
      </c>
      <c r="BA181">
        <f t="shared" si="192"/>
        <v>1.1609049601023635</v>
      </c>
      <c r="BB181">
        <f t="shared" si="193"/>
        <v>0.53278275347956661</v>
      </c>
      <c r="BC181" s="41" t="str">
        <f t="shared" si="194"/>
        <v>-3,64475393473367+6,20608930359545i</v>
      </c>
      <c r="BD181">
        <f t="shared" si="195"/>
        <v>17.143278791031765</v>
      </c>
      <c r="BE181" s="43">
        <f t="shared" si="196"/>
        <v>120.42515113926041</v>
      </c>
      <c r="BF181" s="41" t="str">
        <f t="shared" si="197"/>
        <v>37,2183879971278+26,692155743258i</v>
      </c>
      <c r="BG181" s="20">
        <f t="shared" si="198"/>
        <v>33.217391512454022</v>
      </c>
      <c r="BH181" s="43">
        <f t="shared" si="199"/>
        <v>35.64720425600818</v>
      </c>
      <c r="BI181" s="41" t="str">
        <f t="shared" si="203"/>
        <v>122,83580704318+88,8433065030366i</v>
      </c>
      <c r="BJ181" s="20">
        <f t="shared" si="200"/>
        <v>43.613834475325092</v>
      </c>
      <c r="BK181" s="43">
        <f t="shared" si="204"/>
        <v>35.877042014795869</v>
      </c>
      <c r="BL181">
        <f t="shared" si="201"/>
        <v>33.217391512454022</v>
      </c>
      <c r="BM181" s="43">
        <f t="shared" si="202"/>
        <v>35.64720425600818</v>
      </c>
    </row>
    <row r="182" spans="14:65" x14ac:dyDescent="0.25">
      <c r="N182" s="9">
        <v>64</v>
      </c>
      <c r="O182" s="34">
        <f t="shared" si="154"/>
        <v>436.51583224016622</v>
      </c>
      <c r="P182" s="33" t="str">
        <f t="shared" si="155"/>
        <v>66,7780509511648</v>
      </c>
      <c r="Q182" s="4" t="str">
        <f t="shared" si="156"/>
        <v>1+10,6894645275525i</v>
      </c>
      <c r="R182" s="4">
        <f t="shared" si="168"/>
        <v>10.736137661459228</v>
      </c>
      <c r="S182" s="4">
        <f t="shared" si="169"/>
        <v>1.4775177517857441</v>
      </c>
      <c r="T182" s="4" t="str">
        <f t="shared" si="157"/>
        <v>1+0,00274270986348268i</v>
      </c>
      <c r="U182" s="4">
        <f t="shared" si="170"/>
        <v>1.0000037612216242</v>
      </c>
      <c r="V182" s="4">
        <f t="shared" si="171"/>
        <v>2.7427029862076885E-3</v>
      </c>
      <c r="W182" t="str">
        <f t="shared" si="158"/>
        <v>1-0,00596641396913975i</v>
      </c>
      <c r="X182" s="4">
        <f t="shared" si="172"/>
        <v>1.0000177988894254</v>
      </c>
      <c r="Y182" s="4">
        <f t="shared" si="173"/>
        <v>-5.9663431729934787E-3</v>
      </c>
      <c r="Z182" t="str">
        <f t="shared" si="159"/>
        <v>0,999999809453928+0,00117270071265731i</v>
      </c>
      <c r="AA182" s="4">
        <f t="shared" si="174"/>
        <v>1.0000004970673033</v>
      </c>
      <c r="AB182" s="4">
        <f t="shared" si="175"/>
        <v>1.1727003985344574E-3</v>
      </c>
      <c r="AC182" s="47" t="str">
        <f t="shared" si="176"/>
        <v>0,55212549746629-6,19551021348772i</v>
      </c>
      <c r="AD182" s="20">
        <f t="shared" si="177"/>
        <v>15.875896303245625</v>
      </c>
      <c r="AE182" s="43">
        <f t="shared" si="178"/>
        <v>-84.907423093822018</v>
      </c>
      <c r="AF182" t="str">
        <f t="shared" si="160"/>
        <v>223,849857273222</v>
      </c>
      <c r="AG182" t="str">
        <f t="shared" si="161"/>
        <v>1+10,8267995696072i</v>
      </c>
      <c r="AH182">
        <f t="shared" si="179"/>
        <v>10.872883192624055</v>
      </c>
      <c r="AI182">
        <f t="shared" si="180"/>
        <v>1.4786942429533398</v>
      </c>
      <c r="AJ182" t="str">
        <f t="shared" si="162"/>
        <v>1+0,00274270986348268i</v>
      </c>
      <c r="AK182">
        <f t="shared" si="181"/>
        <v>1.0000037612216242</v>
      </c>
      <c r="AL182">
        <f t="shared" si="182"/>
        <v>2.7427029862076885E-3</v>
      </c>
      <c r="AM182" t="str">
        <f t="shared" si="163"/>
        <v>1-0,00180274460253084i</v>
      </c>
      <c r="AN182">
        <f t="shared" si="183"/>
        <v>1.0000016249427308</v>
      </c>
      <c r="AO182">
        <f t="shared" si="184"/>
        <v>-1.8027426496285697E-3</v>
      </c>
      <c r="AP182" s="41" t="str">
        <f t="shared" si="185"/>
        <v>1,91278826830583-20,4989641105374i</v>
      </c>
      <c r="AQ182">
        <f t="shared" si="186"/>
        <v>26.272288771187679</v>
      </c>
      <c r="AR182" s="43">
        <f t="shared" si="187"/>
        <v>-84.669083551323055</v>
      </c>
      <c r="AS182" t="str">
        <f t="shared" si="164"/>
        <v>-0,0000166666666666667</v>
      </c>
      <c r="AT182" t="str">
        <f t="shared" si="165"/>
        <v>2,75093799307313E-06i</v>
      </c>
      <c r="AU182">
        <f t="shared" si="188"/>
        <v>2.7509379930731301E-6</v>
      </c>
      <c r="AV182">
        <f t="shared" si="189"/>
        <v>1.5707963267948966</v>
      </c>
      <c r="AW182" t="str">
        <f t="shared" si="166"/>
        <v>1+0,00180477418733656i</v>
      </c>
      <c r="AX182">
        <f t="shared" si="190"/>
        <v>1.0000016286036075</v>
      </c>
      <c r="AY182">
        <f t="shared" si="191"/>
        <v>1.804772227830959E-3</v>
      </c>
      <c r="AZ182" t="str">
        <f t="shared" si="167"/>
        <v>1+0,603396169966189i</v>
      </c>
      <c r="BA182">
        <f t="shared" si="192"/>
        <v>1.1679413246948094</v>
      </c>
      <c r="BB182">
        <f t="shared" si="193"/>
        <v>0.54291294294325276</v>
      </c>
      <c r="BC182" s="41" t="str">
        <f t="shared" si="194"/>
        <v>-3,64475340041961+6,06511751995565i</v>
      </c>
      <c r="BD182">
        <f t="shared" si="195"/>
        <v>16.995765321661548</v>
      </c>
      <c r="BE182" s="43">
        <f t="shared" si="196"/>
        <v>121.00321444203814</v>
      </c>
      <c r="BF182" s="41" t="str">
        <f t="shared" si="197"/>
        <v>35,5641362565399+25,9298129458408i</v>
      </c>
      <c r="BG182" s="20">
        <f t="shared" si="198"/>
        <v>32.871661624907176</v>
      </c>
      <c r="BH182" s="43">
        <f t="shared" si="199"/>
        <v>36.09579134821611</v>
      </c>
      <c r="BI182" s="41" t="str">
        <f t="shared" si="203"/>
        <v>117,356984822572+86,314954785028i</v>
      </c>
      <c r="BJ182" s="20">
        <f t="shared" si="200"/>
        <v>43.268054092849226</v>
      </c>
      <c r="BK182" s="43">
        <f t="shared" si="204"/>
        <v>36.334130890715073</v>
      </c>
      <c r="BL182">
        <f t="shared" si="201"/>
        <v>32.871661624907176</v>
      </c>
      <c r="BM182" s="43">
        <f t="shared" si="202"/>
        <v>36.09579134821611</v>
      </c>
    </row>
    <row r="183" spans="14:65" x14ac:dyDescent="0.25">
      <c r="N183" s="9">
        <v>65</v>
      </c>
      <c r="O183" s="34">
        <f t="shared" si="154"/>
        <v>446.68359215096331</v>
      </c>
      <c r="P183" s="33" t="str">
        <f t="shared" si="155"/>
        <v>66,7780509511648</v>
      </c>
      <c r="Q183" s="4" t="str">
        <f t="shared" si="156"/>
        <v>1+10,9384541422782i</v>
      </c>
      <c r="R183" s="4">
        <f t="shared" si="168"/>
        <v>10.984069328929197</v>
      </c>
      <c r="S183" s="4">
        <f t="shared" si="169"/>
        <v>1.4796291503357903</v>
      </c>
      <c r="T183" s="4" t="str">
        <f t="shared" si="157"/>
        <v>1+0,00280659578316113i</v>
      </c>
      <c r="U183" s="4">
        <f t="shared" si="170"/>
        <v>1.0000039384821893</v>
      </c>
      <c r="V183" s="4">
        <f t="shared" si="171"/>
        <v>2.8065884140297767E-3</v>
      </c>
      <c r="W183" t="str">
        <f t="shared" si="158"/>
        <v>1-0,00610538960366671i</v>
      </c>
      <c r="X183" s="4">
        <f t="shared" si="172"/>
        <v>1.0000186377174241</v>
      </c>
      <c r="Y183" s="4">
        <f t="shared" si="173"/>
        <v>-6.1053137443056026E-3</v>
      </c>
      <c r="Z183" t="str">
        <f t="shared" si="159"/>
        <v>0,999999800473768+0,00120001642130488i</v>
      </c>
      <c r="AA183" s="4">
        <f t="shared" si="174"/>
        <v>1.0000005204933582</v>
      </c>
      <c r="AB183" s="4">
        <f t="shared" si="175"/>
        <v>1.2000160847161886E-3</v>
      </c>
      <c r="AC183" s="47" t="str">
        <f t="shared" si="176"/>
        <v>0,526256140425619-6,05685145513392i</v>
      </c>
      <c r="AD183" s="20">
        <f t="shared" si="177"/>
        <v>15.677601047047002</v>
      </c>
      <c r="AE183" s="43">
        <f t="shared" si="178"/>
        <v>-85.03426445496855</v>
      </c>
      <c r="AF183" t="str">
        <f t="shared" si="160"/>
        <v>223,849857273222</v>
      </c>
      <c r="AG183" t="str">
        <f t="shared" si="161"/>
        <v>1+11,0789881284073i</v>
      </c>
      <c r="AH183">
        <f t="shared" si="179"/>
        <v>11.124027056304291</v>
      </c>
      <c r="AI183">
        <f t="shared" si="180"/>
        <v>1.4807793047715045</v>
      </c>
      <c r="AJ183" t="str">
        <f t="shared" si="162"/>
        <v>1+0,00280659578316113i</v>
      </c>
      <c r="AK183">
        <f t="shared" si="181"/>
        <v>1.0000039384821893</v>
      </c>
      <c r="AL183">
        <f t="shared" si="182"/>
        <v>2.8065884140297767E-3</v>
      </c>
      <c r="AM183" t="str">
        <f t="shared" si="163"/>
        <v>1-0,00184473591864176i</v>
      </c>
      <c r="AN183">
        <f t="shared" si="183"/>
        <v>1.0000017015238571</v>
      </c>
      <c r="AO183">
        <f t="shared" si="184"/>
        <v>-1.8447338260694686E-3</v>
      </c>
      <c r="AP183" s="41" t="str">
        <f t="shared" si="185"/>
        <v>1,8282623625268-20,0399848166588i</v>
      </c>
      <c r="AQ183">
        <f t="shared" si="186"/>
        <v>26.073944694616813</v>
      </c>
      <c r="AR183" s="43">
        <f t="shared" si="187"/>
        <v>-84.787294345328036</v>
      </c>
      <c r="AS183" t="str">
        <f t="shared" si="164"/>
        <v>-0,0000166666666666667</v>
      </c>
      <c r="AT183" t="str">
        <f t="shared" si="165"/>
        <v>2,81501557051062E-06i</v>
      </c>
      <c r="AU183">
        <f t="shared" si="188"/>
        <v>2.8150155705106199E-6</v>
      </c>
      <c r="AV183">
        <f t="shared" si="189"/>
        <v>1.5707963267948966</v>
      </c>
      <c r="AW183" t="str">
        <f t="shared" si="166"/>
        <v>1+0,00184681277855069i</v>
      </c>
      <c r="AX183">
        <f t="shared" si="190"/>
        <v>1.0000017053572654</v>
      </c>
      <c r="AY183">
        <f t="shared" si="191"/>
        <v>1.8468106789028033E-3</v>
      </c>
      <c r="AZ183" t="str">
        <f t="shared" si="167"/>
        <v>1+0,617451072295448i</v>
      </c>
      <c r="BA183">
        <f t="shared" si="192"/>
        <v>1.175264151873441</v>
      </c>
      <c r="BB183">
        <f t="shared" si="193"/>
        <v>0.55315244662558039</v>
      </c>
      <c r="BC183" s="41" t="str">
        <f t="shared" si="194"/>
        <v>-3,64475284092426+5,92736154181531i</v>
      </c>
      <c r="BD183">
        <f t="shared" si="195"/>
        <v>16.850053940683498</v>
      </c>
      <c r="BE183" s="43">
        <f t="shared" si="196"/>
        <v>121.58748616152047</v>
      </c>
      <c r="BF183" s="41" t="str">
        <f t="shared" si="197"/>
        <v>33,9830748167788+25,1950369560586i</v>
      </c>
      <c r="BG183" s="20">
        <f t="shared" si="198"/>
        <v>32.527654987730507</v>
      </c>
      <c r="BH183" s="43">
        <f t="shared" si="199"/>
        <v>36.55322170655198</v>
      </c>
      <c r="BI183" s="41" t="str">
        <f t="shared" si="203"/>
        <v>112,120670861052+83,877563608586i</v>
      </c>
      <c r="BJ183" s="20">
        <f t="shared" si="200"/>
        <v>42.923998635300329</v>
      </c>
      <c r="BK183" s="43">
        <f t="shared" si="204"/>
        <v>36.800191816192395</v>
      </c>
      <c r="BL183">
        <f t="shared" si="201"/>
        <v>32.527654987730507</v>
      </c>
      <c r="BM183" s="43">
        <f t="shared" si="202"/>
        <v>36.55322170655198</v>
      </c>
    </row>
    <row r="184" spans="14:65" x14ac:dyDescent="0.25">
      <c r="N184" s="9">
        <v>66</v>
      </c>
      <c r="O184" s="34">
        <f t="shared" ref="O184:O218" si="205">10^(2+(N184/100))</f>
        <v>457.0881896148756</v>
      </c>
      <c r="P184" s="33" t="str">
        <f t="shared" si="155"/>
        <v>66,7780509511648</v>
      </c>
      <c r="Q184" s="4" t="str">
        <f t="shared" si="156"/>
        <v>1+11,1932434701776i</v>
      </c>
      <c r="R184" s="4">
        <f t="shared" si="168"/>
        <v>11.237824495100174</v>
      </c>
      <c r="S184" s="4">
        <f t="shared" si="169"/>
        <v>1.4816932755115837</v>
      </c>
      <c r="T184" s="4" t="str">
        <f t="shared" si="157"/>
        <v>1+0,0028719697970735i</v>
      </c>
      <c r="U184" s="4">
        <f t="shared" si="170"/>
        <v>1.0000041240967534</v>
      </c>
      <c r="V184" s="4">
        <f t="shared" si="171"/>
        <v>2.8719619009087509E-3</v>
      </c>
      <c r="W184" t="str">
        <f t="shared" si="158"/>
        <v>1-0,00624760239657592i</v>
      </c>
      <c r="X184" s="4">
        <f t="shared" si="172"/>
        <v>1.0000195160774143</v>
      </c>
      <c r="Y184" s="4">
        <f t="shared" si="173"/>
        <v>-6.2475211118916867E-3</v>
      </c>
      <c r="Z184" t="str">
        <f t="shared" si="159"/>
        <v>0,999999791070387+0,00122796839454311i</v>
      </c>
      <c r="AA184" s="4">
        <f t="shared" si="174"/>
        <v>1.0000005450234493</v>
      </c>
      <c r="AB184" s="4">
        <f t="shared" si="175"/>
        <v>1.2279680338818388E-3</v>
      </c>
      <c r="AC184" s="47" t="str">
        <f t="shared" si="176"/>
        <v>0,501532222456731-5,92119286498103i</v>
      </c>
      <c r="AD184" s="20">
        <f t="shared" si="177"/>
        <v>15.479230477722075</v>
      </c>
      <c r="AE184" s="43">
        <f t="shared" si="178"/>
        <v>-85.158533901732667</v>
      </c>
      <c r="AF184" t="str">
        <f t="shared" si="160"/>
        <v>223,849857273222</v>
      </c>
      <c r="AG184" t="str">
        <f t="shared" si="161"/>
        <v>1+11,3370509133609i</v>
      </c>
      <c r="AH184">
        <f t="shared" si="179"/>
        <v>11.381068641043214</v>
      </c>
      <c r="AI184">
        <f t="shared" si="180"/>
        <v>1.4828176634247039</v>
      </c>
      <c r="AJ184" t="str">
        <f t="shared" si="162"/>
        <v>1+0,0028719697970735i</v>
      </c>
      <c r="AK184">
        <f t="shared" si="181"/>
        <v>1.0000041240967534</v>
      </c>
      <c r="AL184">
        <f t="shared" si="182"/>
        <v>2.8719619009087509E-3</v>
      </c>
      <c r="AM184" t="str">
        <f t="shared" si="163"/>
        <v>1-0,00188770533815472i</v>
      </c>
      <c r="AN184">
        <f t="shared" si="183"/>
        <v>1.0000017817141347</v>
      </c>
      <c r="AO184">
        <f t="shared" si="184"/>
        <v>-1.887703095923328E-3</v>
      </c>
      <c r="AP184" s="41" t="str">
        <f t="shared" si="185"/>
        <v>1,74748062448099-19,5909493512046i</v>
      </c>
      <c r="AQ184">
        <f t="shared" si="186"/>
        <v>25.875526880408692</v>
      </c>
      <c r="AR184" s="43">
        <f t="shared" si="187"/>
        <v>-84.90280002621148</v>
      </c>
      <c r="AS184" t="str">
        <f t="shared" si="164"/>
        <v>-0,0000166666666666667</v>
      </c>
      <c r="AT184" t="str">
        <f t="shared" si="165"/>
        <v>2,88058570646472E-06i</v>
      </c>
      <c r="AU184">
        <f t="shared" si="188"/>
        <v>2.88058570646472E-6</v>
      </c>
      <c r="AV184">
        <f t="shared" si="189"/>
        <v>1.5707963267948966</v>
      </c>
      <c r="AW184" t="str">
        <f t="shared" si="166"/>
        <v>1+0,00188983057434547i</v>
      </c>
      <c r="AX184">
        <f t="shared" si="190"/>
        <v>1.0000017857282055</v>
      </c>
      <c r="AY184">
        <f t="shared" si="191"/>
        <v>1.8898283245324422E-3</v>
      </c>
      <c r="AZ184" t="str">
        <f t="shared" si="167"/>
        <v>1+0,631833355356169i</v>
      </c>
      <c r="BA184">
        <f t="shared" si="192"/>
        <v>1.1828835060734573</v>
      </c>
      <c r="BB184">
        <f t="shared" si="193"/>
        <v>0.56349810453108773</v>
      </c>
      <c r="BC184" s="41" t="str">
        <f t="shared" si="194"/>
        <v>-3,64475225506091+5,79274832912496i</v>
      </c>
      <c r="BD184">
        <f t="shared" si="195"/>
        <v>16.70618297626562</v>
      </c>
      <c r="BE184" s="43">
        <f t="shared" si="196"/>
        <v>122.17778396625305</v>
      </c>
      <c r="BF184" s="41" t="str">
        <f t="shared" si="197"/>
        <v>32,4720193762606+24,4865309909287i</v>
      </c>
      <c r="BG184" s="20">
        <f t="shared" si="198"/>
        <v>32.185413453987685</v>
      </c>
      <c r="BH184" s="43">
        <f t="shared" si="199"/>
        <v>37.019250064520357</v>
      </c>
      <c r="BI184" s="41" t="str">
        <f t="shared" si="203"/>
        <v>107,11630517341+81,5268722942275i</v>
      </c>
      <c r="BJ184" s="20">
        <f t="shared" si="200"/>
        <v>42.581709856674323</v>
      </c>
      <c r="BK184" s="43">
        <f t="shared" si="204"/>
        <v>37.274983940041508</v>
      </c>
      <c r="BL184">
        <f t="shared" si="201"/>
        <v>32.185413453987685</v>
      </c>
      <c r="BM184" s="43">
        <f t="shared" si="202"/>
        <v>37.019250064520357</v>
      </c>
    </row>
    <row r="185" spans="14:65" x14ac:dyDescent="0.25">
      <c r="N185" s="9">
        <v>67</v>
      </c>
      <c r="O185" s="34">
        <f t="shared" si="205"/>
        <v>467.7351412871983</v>
      </c>
      <c r="P185" s="33" t="str">
        <f t="shared" si="155"/>
        <v>66,7780509511648</v>
      </c>
      <c r="Q185" s="4" t="str">
        <f t="shared" si="156"/>
        <v>1+11,4539676039251i</v>
      </c>
      <c r="R185" s="4">
        <f t="shared" si="168"/>
        <v>11.497537730825924</v>
      </c>
      <c r="S185" s="4">
        <f t="shared" si="169"/>
        <v>1.4837111513451922</v>
      </c>
      <c r="T185" s="4" t="str">
        <f t="shared" si="157"/>
        <v>1+0,00293886656738729i</v>
      </c>
      <c r="U185" s="4">
        <f t="shared" si="170"/>
        <v>1.0000043184590259</v>
      </c>
      <c r="V185" s="4">
        <f t="shared" si="171"/>
        <v>2.9388581064962974E-3</v>
      </c>
      <c r="W185" t="str">
        <f t="shared" si="158"/>
        <v>1-0,00639312775097258i</v>
      </c>
      <c r="X185" s="4">
        <f t="shared" si="172"/>
        <v>1.0000204358324085</v>
      </c>
      <c r="Y185" s="4">
        <f t="shared" si="173"/>
        <v>-6.3930406529603334E-3</v>
      </c>
      <c r="Z185" t="str">
        <f t="shared" si="159"/>
        <v>0,999999781223838+0,00125657145287821i</v>
      </c>
      <c r="AA185" s="4">
        <f t="shared" si="174"/>
        <v>1.0000005707096071</v>
      </c>
      <c r="AB185" s="4">
        <f t="shared" si="175"/>
        <v>1.256571066422706E-3</v>
      </c>
      <c r="AC185" s="47" t="str">
        <f t="shared" si="176"/>
        <v>0,477903831655056-5,78847639442801i</v>
      </c>
      <c r="AD185" s="20">
        <f t="shared" si="177"/>
        <v>15.280787968347347</v>
      </c>
      <c r="AE185" s="43">
        <f t="shared" si="178"/>
        <v>-85.280293288920063</v>
      </c>
      <c r="AF185" t="str">
        <f t="shared" si="160"/>
        <v>223,849857273222</v>
      </c>
      <c r="AG185" t="str">
        <f t="shared" si="161"/>
        <v>1+11,6011247527723i</v>
      </c>
      <c r="AH185">
        <f t="shared" si="179"/>
        <v>11.644144259213991</v>
      </c>
      <c r="AI185">
        <f t="shared" si="180"/>
        <v>1.4848103318866512</v>
      </c>
      <c r="AJ185" t="str">
        <f t="shared" si="162"/>
        <v>1+0,00293886656738729i</v>
      </c>
      <c r="AK185">
        <f t="shared" si="181"/>
        <v>1.0000043184590259</v>
      </c>
      <c r="AL185">
        <f t="shared" si="182"/>
        <v>2.9388581064962974E-3</v>
      </c>
      <c r="AM185" t="str">
        <f t="shared" si="163"/>
        <v>1-0,00193167564402469i</v>
      </c>
      <c r="AN185">
        <f t="shared" si="183"/>
        <v>1.0000018656836565</v>
      </c>
      <c r="AO185">
        <f t="shared" si="184"/>
        <v>-1.9316732414307086E-3</v>
      </c>
      <c r="AP185" s="41" t="str">
        <f t="shared" si="185"/>
        <v>1,67027976926616-19,1516644308468i</v>
      </c>
      <c r="AQ185">
        <f t="shared" si="186"/>
        <v>25.677038605526082</v>
      </c>
      <c r="AR185" s="43">
        <f t="shared" si="187"/>
        <v>-85.015657952566443</v>
      </c>
      <c r="AS185" t="str">
        <f t="shared" si="164"/>
        <v>-0,0000166666666666667</v>
      </c>
      <c r="AT185" t="str">
        <f t="shared" si="165"/>
        <v>2,94768316708945E-06i</v>
      </c>
      <c r="AU185">
        <f t="shared" si="188"/>
        <v>2.9476831670894498E-6</v>
      </c>
      <c r="AV185">
        <f t="shared" si="189"/>
        <v>1.5707963267948966</v>
      </c>
      <c r="AW185" t="str">
        <f t="shared" si="166"/>
        <v>1+0,00193385038332563i</v>
      </c>
      <c r="AX185">
        <f t="shared" si="190"/>
        <v>1.0000018698869044</v>
      </c>
      <c r="AY185">
        <f t="shared" si="191"/>
        <v>1.9338479726077808E-3</v>
      </c>
      <c r="AZ185" t="str">
        <f t="shared" si="167"/>
        <v>1+0,646550644825203i</v>
      </c>
      <c r="BA185">
        <f t="shared" si="192"/>
        <v>1.1908096977787366</v>
      </c>
      <c r="BB185">
        <f t="shared" si="193"/>
        <v>0.57394654313313842</v>
      </c>
      <c r="BC185" s="41" t="str">
        <f t="shared" si="194"/>
        <v>-3,64475164158687+5,66120650817041i</v>
      </c>
      <c r="BD185">
        <f t="shared" si="195"/>
        <v>16.564189979527676</v>
      </c>
      <c r="BE185" s="43">
        <f t="shared" si="196"/>
        <v>122.77391326060174</v>
      </c>
      <c r="BF185" s="41" t="str">
        <f t="shared" si="197"/>
        <v>31,0279194615812+23,8030711229235i</v>
      </c>
      <c r="BG185" s="20">
        <f t="shared" si="198"/>
        <v>31.844977947875019</v>
      </c>
      <c r="BH185" s="43">
        <f t="shared" si="199"/>
        <v>37.493619971681696</v>
      </c>
      <c r="BI185" s="41" t="str">
        <f t="shared" si="203"/>
        <v>102,333772387263+79,2588590736847i</v>
      </c>
      <c r="BJ185" s="20">
        <f t="shared" si="200"/>
        <v>42.241228585053733</v>
      </c>
      <c r="BK185" s="43">
        <f t="shared" si="204"/>
        <v>37.758255308035459</v>
      </c>
      <c r="BL185">
        <f t="shared" si="201"/>
        <v>31.844977947875019</v>
      </c>
      <c r="BM185" s="43">
        <f t="shared" si="202"/>
        <v>37.493619971681696</v>
      </c>
    </row>
    <row r="186" spans="14:65" x14ac:dyDescent="0.25">
      <c r="N186" s="9">
        <v>68</v>
      </c>
      <c r="O186" s="34">
        <f t="shared" si="205"/>
        <v>478.63009232263886</v>
      </c>
      <c r="P186" s="33" t="str">
        <f t="shared" si="155"/>
        <v>66,7780509511648</v>
      </c>
      <c r="Q186" s="4" t="str">
        <f t="shared" si="156"/>
        <v>1+11,7207647829073i</v>
      </c>
      <c r="R186" s="4">
        <f t="shared" si="168"/>
        <v>11.763346764260586</v>
      </c>
      <c r="S186" s="4">
        <f t="shared" si="169"/>
        <v>1.4856837819732041</v>
      </c>
      <c r="T186" s="4" t="str">
        <f t="shared" si="157"/>
        <v>1+0,00300732156365561i</v>
      </c>
      <c r="U186" s="4">
        <f t="shared" si="170"/>
        <v>1.0000045219812694</v>
      </c>
      <c r="V186" s="4">
        <f t="shared" si="171"/>
        <v>3.0073124976497858E-3</v>
      </c>
      <c r="W186" t="str">
        <f t="shared" si="158"/>
        <v>1-0,00654204282632586i</v>
      </c>
      <c r="X186" s="4">
        <f t="shared" si="172"/>
        <v>1.0000213989332136</v>
      </c>
      <c r="Y186" s="4">
        <f t="shared" si="173"/>
        <v>-6.5419494992321487E-3</v>
      </c>
      <c r="Z186" t="str">
        <f t="shared" si="159"/>
        <v>0,999999770913235+0,00128584076203032i</v>
      </c>
      <c r="AA186" s="4">
        <f t="shared" si="174"/>
        <v>1.0000005976063155</v>
      </c>
      <c r="AB186" s="4">
        <f t="shared" si="175"/>
        <v>1.2858403479357996E-3</v>
      </c>
      <c r="AC186" s="47" t="str">
        <f t="shared" si="176"/>
        <v>0,45532316056339-5,65864465217704i</v>
      </c>
      <c r="AD186" s="20">
        <f t="shared" si="177"/>
        <v>15.082276746648589</v>
      </c>
      <c r="AE186" s="43">
        <f t="shared" si="178"/>
        <v>-85.399603405464745</v>
      </c>
      <c r="AF186" t="str">
        <f t="shared" si="160"/>
        <v>223,849857273222</v>
      </c>
      <c r="AG186" t="str">
        <f t="shared" si="161"/>
        <v>1+11,8713496620867i</v>
      </c>
      <c r="AH186">
        <f t="shared" si="179"/>
        <v>11.91339342083212</v>
      </c>
      <c r="AI186">
        <f t="shared" si="180"/>
        <v>1.4867583033626854</v>
      </c>
      <c r="AJ186" t="str">
        <f t="shared" si="162"/>
        <v>1+0,00300732156365561i</v>
      </c>
      <c r="AK186">
        <f t="shared" si="181"/>
        <v>1.0000045219812694</v>
      </c>
      <c r="AL186">
        <f t="shared" si="182"/>
        <v>3.0073124976497858E-3</v>
      </c>
      <c r="AM186" t="str">
        <f t="shared" si="163"/>
        <v>1-0,00197667014988988i</v>
      </c>
      <c r="AN186">
        <f t="shared" si="183"/>
        <v>1.0000019536105325</v>
      </c>
      <c r="AO186">
        <f t="shared" si="184"/>
        <v>-1.9766675754643178E-3</v>
      </c>
      <c r="AP186" s="41" t="str">
        <f t="shared" si="185"/>
        <v>1,59650340844937-18,7219390265457i</v>
      </c>
      <c r="AQ186">
        <f t="shared" si="186"/>
        <v>25.478483004363575</v>
      </c>
      <c r="AR186" s="43">
        <f t="shared" si="187"/>
        <v>-85.12592433449494</v>
      </c>
      <c r="AS186" t="str">
        <f t="shared" si="164"/>
        <v>-0,0000166666666666667</v>
      </c>
      <c r="AT186" t="str">
        <f t="shared" si="165"/>
        <v>3,01634352834658E-06i</v>
      </c>
      <c r="AU186">
        <f t="shared" si="188"/>
        <v>3.0163435283465798E-6</v>
      </c>
      <c r="AV186">
        <f t="shared" si="189"/>
        <v>1.5707963267948966</v>
      </c>
      <c r="AW186" t="str">
        <f t="shared" si="166"/>
        <v>1+0,00197889554537657i</v>
      </c>
      <c r="AX186">
        <f t="shared" si="190"/>
        <v>1.0000019580118729</v>
      </c>
      <c r="AY186">
        <f t="shared" si="191"/>
        <v>1.9788929622461286E-3</v>
      </c>
      <c r="AZ186" t="str">
        <f t="shared" si="167"/>
        <v>1+0,661610744004234i</v>
      </c>
      <c r="BA186">
        <f t="shared" si="192"/>
        <v>1.1990532834623473</v>
      </c>
      <c r="BB186">
        <f t="shared" si="193"/>
        <v>0.58449417683483196</v>
      </c>
      <c r="BC186" s="41" t="str">
        <f t="shared" si="194"/>
        <v>-3,64475099920091+5,53266633372956i</v>
      </c>
      <c r="BD186">
        <f t="shared" si="195"/>
        <v>16.424111611326502</v>
      </c>
      <c r="BE186" s="43">
        <f t="shared" si="196"/>
        <v>123.37566726776421</v>
      </c>
      <c r="BF186" s="41" t="str">
        <f t="shared" si="197"/>
        <v>29,647853217216+23,1435018715616i</v>
      </c>
      <c r="BG186" s="20">
        <f t="shared" si="198"/>
        <v>31.506388357975098</v>
      </c>
      <c r="BH186" s="43">
        <f t="shared" si="199"/>
        <v>37.976063862299512</v>
      </c>
      <c r="BI186" s="41" t="str">
        <f t="shared" si="203"/>
        <v>97,7633843611335+77,0697266335933i</v>
      </c>
      <c r="BJ186" s="20">
        <f t="shared" si="200"/>
        <v>41.902594615690077</v>
      </c>
      <c r="BK186" s="43">
        <f t="shared" si="204"/>
        <v>38.249742933269282</v>
      </c>
      <c r="BL186">
        <f t="shared" si="201"/>
        <v>31.506388357975098</v>
      </c>
      <c r="BM186" s="43">
        <f t="shared" si="202"/>
        <v>37.976063862299512</v>
      </c>
    </row>
    <row r="187" spans="14:65" x14ac:dyDescent="0.25">
      <c r="N187" s="9">
        <v>69</v>
      </c>
      <c r="O187" s="34">
        <f t="shared" si="205"/>
        <v>489.77881936844625</v>
      </c>
      <c r="P187" s="33" t="str">
        <f t="shared" si="155"/>
        <v>66,7780509511648</v>
      </c>
      <c r="Q187" s="4" t="str">
        <f t="shared" si="156"/>
        <v>1+11,9937764665201i</v>
      </c>
      <c r="R187" s="4">
        <f t="shared" si="168"/>
        <v>12.035392553998866</v>
      </c>
      <c r="S187" s="4">
        <f t="shared" si="169"/>
        <v>1.4876121518680738</v>
      </c>
      <c r="T187" s="4" t="str">
        <f t="shared" si="157"/>
        <v>1+0,00307737108162359i</v>
      </c>
      <c r="U187" s="4">
        <f t="shared" si="170"/>
        <v>1.0000047350951764</v>
      </c>
      <c r="V187" s="4">
        <f t="shared" si="171"/>
        <v>3.0773613672258125E-3</v>
      </c>
      <c r="W187" t="str">
        <f t="shared" si="158"/>
        <v>1-0,00669442657937984i</v>
      </c>
      <c r="X187" s="4">
        <f t="shared" si="172"/>
        <v>1.0000224074225672</v>
      </c>
      <c r="Y187" s="4">
        <f t="shared" si="173"/>
        <v>-6.6943265777182452E-3</v>
      </c>
      <c r="Z187" t="str">
        <f t="shared" si="159"/>
        <v>0,999999760116708+0,00131579184097457i</v>
      </c>
      <c r="AA187" s="4">
        <f t="shared" si="174"/>
        <v>1.0000006257706253</v>
      </c>
      <c r="AB187" s="4">
        <f t="shared" si="175"/>
        <v>1.3157913972643121E-3</v>
      </c>
      <c r="AC187" s="47" t="str">
        <f t="shared" si="176"/>
        <v>0,433744423632821-5,53164093151182i</v>
      </c>
      <c r="AD187" s="20">
        <f t="shared" si="177"/>
        <v>14.883699901218549</v>
      </c>
      <c r="AE187" s="43">
        <f t="shared" si="178"/>
        <v>-85.516523989404831</v>
      </c>
      <c r="AF187" t="str">
        <f t="shared" si="160"/>
        <v>223,849857273222</v>
      </c>
      <c r="AG187" t="str">
        <f t="shared" si="161"/>
        <v>1+12,1478689181278i</v>
      </c>
      <c r="AH187">
        <f t="shared" si="179"/>
        <v>12.188958907635037</v>
      </c>
      <c r="AI187">
        <f t="shared" si="180"/>
        <v>1.4886625515261476</v>
      </c>
      <c r="AJ187" t="str">
        <f t="shared" si="162"/>
        <v>1+0,00307737108162359i</v>
      </c>
      <c r="AK187">
        <f t="shared" si="181"/>
        <v>1.0000047350951764</v>
      </c>
      <c r="AL187">
        <f t="shared" si="182"/>
        <v>3.0773613672258125E-3</v>
      </c>
      <c r="AM187" t="str">
        <f t="shared" si="163"/>
        <v>1-0,00202271271243286i</v>
      </c>
      <c r="AN187">
        <f t="shared" si="183"/>
        <v>1.0000020456812662</v>
      </c>
      <c r="AO187">
        <f t="shared" si="184"/>
        <v>-2.0227099538864752E-3</v>
      </c>
      <c r="AP187" s="41" t="str">
        <f t="shared" si="185"/>
        <v>1,52600177851971-18,3015844488719i</v>
      </c>
      <c r="AQ187">
        <f t="shared" si="186"/>
        <v>25.279863074798786</v>
      </c>
      <c r="AR187" s="43">
        <f t="shared" si="187"/>
        <v>-85.233654246782834</v>
      </c>
      <c r="AS187" t="str">
        <f t="shared" si="164"/>
        <v>-0,0000166666666666667</v>
      </c>
      <c r="AT187" t="str">
        <f t="shared" si="165"/>
        <v>3,08660319486846E-06i</v>
      </c>
      <c r="AU187">
        <f t="shared" si="188"/>
        <v>3.0866031948684601E-6</v>
      </c>
      <c r="AV187">
        <f t="shared" si="189"/>
        <v>1.5707963267948966</v>
      </c>
      <c r="AW187" t="str">
        <f t="shared" si="166"/>
        <v>1+0,00202498994403945i</v>
      </c>
      <c r="AX187">
        <f t="shared" si="190"/>
        <v>1.0000020502900349</v>
      </c>
      <c r="AY187">
        <f t="shared" si="191"/>
        <v>2.0249871761656205E-3</v>
      </c>
      <c r="AZ187" t="str">
        <f t="shared" si="167"/>
        <v>1+0,677021637957189i</v>
      </c>
      <c r="BA187">
        <f t="shared" si="192"/>
        <v>1.2076250652674592</v>
      </c>
      <c r="BB187">
        <f t="shared" si="193"/>
        <v>0.59513721035005629</v>
      </c>
      <c r="BC187" s="41" t="str">
        <f t="shared" si="194"/>
        <v>-3,64475032654047+5,40705965209249i</v>
      </c>
      <c r="BD187">
        <f t="shared" si="195"/>
        <v>16.285983527972306</v>
      </c>
      <c r="BE187" s="43">
        <f t="shared" si="196"/>
        <v>123.9828271654853</v>
      </c>
      <c r="BF187" s="41" t="str">
        <f t="shared" si="197"/>
        <v>28,32902236097+22,5067320637775i</v>
      </c>
      <c r="BG187" s="20">
        <f t="shared" si="198"/>
        <v>31.169683429190851</v>
      </c>
      <c r="BH187" s="43">
        <f t="shared" si="199"/>
        <v>38.466303176080551</v>
      </c>
      <c r="BI187" s="41" t="str">
        <f t="shared" si="203"/>
        <v>93,3958633622976+74,9558885418892i</v>
      </c>
      <c r="BJ187" s="20">
        <f t="shared" si="200"/>
        <v>41.565846602771103</v>
      </c>
      <c r="BK187" s="43">
        <f t="shared" si="204"/>
        <v>38.74917291870247</v>
      </c>
      <c r="BL187">
        <f t="shared" si="201"/>
        <v>31.169683429190851</v>
      </c>
      <c r="BM187" s="43">
        <f t="shared" si="202"/>
        <v>38.466303176080551</v>
      </c>
    </row>
    <row r="188" spans="14:65" x14ac:dyDescent="0.25">
      <c r="N188" s="9">
        <v>70</v>
      </c>
      <c r="O188" s="34">
        <f t="shared" si="205"/>
        <v>501.18723362727269</v>
      </c>
      <c r="P188" s="33" t="str">
        <f t="shared" si="155"/>
        <v>66,7780509511648</v>
      </c>
      <c r="Q188" s="4" t="str">
        <f t="shared" si="156"/>
        <v>1+12,2731474091718i</v>
      </c>
      <c r="R188" s="4">
        <f t="shared" si="168"/>
        <v>12.313819363920379</v>
      </c>
      <c r="S188" s="4">
        <f t="shared" si="169"/>
        <v>1.4894972260783033</v>
      </c>
      <c r="T188" s="4" t="str">
        <f t="shared" si="157"/>
        <v>1+0,00314905226247286i</v>
      </c>
      <c r="U188" s="4">
        <f t="shared" si="170"/>
        <v>1.0000049582527837</v>
      </c>
      <c r="V188" s="4">
        <f t="shared" si="171"/>
        <v>3.1490418533108903E-3</v>
      </c>
      <c r="W188" t="str">
        <f t="shared" si="158"/>
        <v>1-0,0068503598060174i</v>
      </c>
      <c r="X188" s="4">
        <f t="shared" si="172"/>
        <v>1.0000234634394694</v>
      </c>
      <c r="Y188" s="4">
        <f t="shared" si="173"/>
        <v>-6.8502526524422307E-3</v>
      </c>
      <c r="Z188" t="str">
        <f t="shared" si="159"/>
        <v>0,999999748811357+0,00134644057016947i</v>
      </c>
      <c r="AA188" s="4">
        <f t="shared" si="174"/>
        <v>1.0000006552622784</v>
      </c>
      <c r="AB188" s="4">
        <f t="shared" si="175"/>
        <v>1.3464400947253785E-3</v>
      </c>
      <c r="AC188" s="47" t="str">
        <f t="shared" si="176"/>
        <v>0,413123777367094-5,40740923435803i</v>
      </c>
      <c r="AD188" s="20">
        <f t="shared" si="177"/>
        <v>14.685060387495199</v>
      </c>
      <c r="AE188" s="43">
        <f t="shared" si="178"/>
        <v>-85.631113743403617</v>
      </c>
      <c r="AF188" t="str">
        <f t="shared" si="160"/>
        <v>223,849857273222</v>
      </c>
      <c r="AG188" t="str">
        <f t="shared" si="161"/>
        <v>1+12,4308291350654i</v>
      </c>
      <c r="AH188">
        <f t="shared" si="179"/>
        <v>12.47098684889014</v>
      </c>
      <c r="AI188">
        <f t="shared" si="180"/>
        <v>1.4905240307630025</v>
      </c>
      <c r="AJ188" t="str">
        <f t="shared" si="162"/>
        <v>1+0,00314905226247286i</v>
      </c>
      <c r="AK188">
        <f t="shared" si="181"/>
        <v>1.0000049582527837</v>
      </c>
      <c r="AL188">
        <f t="shared" si="182"/>
        <v>3.1490418533108903E-3</v>
      </c>
      <c r="AM188" t="str">
        <f t="shared" si="163"/>
        <v>1-0,00206982774402974i</v>
      </c>
      <c r="AN188">
        <f t="shared" si="183"/>
        <v>1.0000021420911507</v>
      </c>
      <c r="AO188">
        <f t="shared" si="184"/>
        <v>-2.0698247881943761E-3</v>
      </c>
      <c r="AP188" s="41" t="str">
        <f t="shared" si="185"/>
        <v>1,45863147826844-17,8904144229636i</v>
      </c>
      <c r="AQ188">
        <f t="shared" si="186"/>
        <v>25.081181684005323</v>
      </c>
      <c r="AR188" s="43">
        <f t="shared" si="187"/>
        <v>-85.338901642538062</v>
      </c>
      <c r="AS188" t="str">
        <f t="shared" si="164"/>
        <v>-0,0000166666666666667</v>
      </c>
      <c r="AT188" t="str">
        <f t="shared" si="165"/>
        <v>3,15849941926028E-06i</v>
      </c>
      <c r="AU188">
        <f t="shared" si="188"/>
        <v>3.1584994192602801E-6</v>
      </c>
      <c r="AV188">
        <f t="shared" si="189"/>
        <v>1.5707963267948966</v>
      </c>
      <c r="AW188" t="str">
        <f t="shared" si="166"/>
        <v>1+0,00207215801917456i</v>
      </c>
      <c r="AX188">
        <f t="shared" si="190"/>
        <v>1.0000021469171236</v>
      </c>
      <c r="AY188">
        <f t="shared" si="191"/>
        <v>2.0721550533446612E-3</v>
      </c>
      <c r="AZ188" t="str">
        <f t="shared" si="167"/>
        <v>1+0,692791497744029i</v>
      </c>
      <c r="BA188">
        <f t="shared" si="192"/>
        <v>1.2165360904413871</v>
      </c>
      <c r="BB188">
        <f t="shared" si="193"/>
        <v>0.60587164203351351</v>
      </c>
      <c r="BC188" s="41" t="str">
        <f t="shared" si="194"/>
        <v>-3,64474962217879+5,28431986492545i</v>
      </c>
      <c r="BD188">
        <f t="shared" si="195"/>
        <v>16.149840266519814</v>
      </c>
      <c r="BE188" s="43">
        <f t="shared" si="196"/>
        <v>124.59516227612791</v>
      </c>
      <c r="BF188" s="41" t="str">
        <f t="shared" si="197"/>
        <v>27,0687473034277+21,8917309473065i</v>
      </c>
      <c r="BG188" s="20">
        <f t="shared" si="198"/>
        <v>30.834900654015019</v>
      </c>
      <c r="BH188" s="43">
        <f t="shared" si="199"/>
        <v>38.964048532724256</v>
      </c>
      <c r="BI188" s="41" t="str">
        <f t="shared" si="203"/>
        <v>89,2223257976984+72,9139565049381i</v>
      </c>
      <c r="BJ188" s="20">
        <f t="shared" si="200"/>
        <v>41.23102195052514</v>
      </c>
      <c r="BK188" s="43">
        <f t="shared" si="204"/>
        <v>39.256260633589847</v>
      </c>
      <c r="BL188">
        <f t="shared" si="201"/>
        <v>30.834900654015019</v>
      </c>
      <c r="BM188" s="43">
        <f t="shared" si="202"/>
        <v>38.964048532724256</v>
      </c>
    </row>
    <row r="189" spans="14:65" x14ac:dyDescent="0.25">
      <c r="N189" s="9">
        <v>71</v>
      </c>
      <c r="O189" s="34">
        <f t="shared" si="205"/>
        <v>512.86138399136519</v>
      </c>
      <c r="P189" s="33" t="str">
        <f t="shared" si="155"/>
        <v>66,7780509511648</v>
      </c>
      <c r="Q189" s="4" t="str">
        <f t="shared" si="156"/>
        <v>1+12,5590257370342i</v>
      </c>
      <c r="R189" s="4">
        <f t="shared" si="168"/>
        <v>12.598774839780551</v>
      </c>
      <c r="S189" s="4">
        <f t="shared" si="169"/>
        <v>1.4913399504763953</v>
      </c>
      <c r="T189" s="4" t="str">
        <f t="shared" si="157"/>
        <v>1+0,00322240311251433i</v>
      </c>
      <c r="U189" s="4">
        <f t="shared" si="170"/>
        <v>1.0000051919274318</v>
      </c>
      <c r="V189" s="4">
        <f t="shared" si="171"/>
        <v>3.2223919588994553E-3</v>
      </c>
      <c r="W189" t="str">
        <f t="shared" si="158"/>
        <v>1-0,00700992518409935i</v>
      </c>
      <c r="X189" s="4">
        <f t="shared" si="172"/>
        <v>1.00002456922372</v>
      </c>
      <c r="Y189" s="4">
        <f t="shared" si="173"/>
        <v>-7.0098103671272834E-3</v>
      </c>
      <c r="Z189" t="str">
        <f t="shared" si="159"/>
        <v>0,999999736973201+0,00137780319997692i</v>
      </c>
      <c r="AA189" s="4">
        <f t="shared" si="174"/>
        <v>1.0000006861438291</v>
      </c>
      <c r="AB189" s="4">
        <f t="shared" si="175"/>
        <v>1.3778026905294156E-3</v>
      </c>
      <c r="AC189" s="47" t="str">
        <f t="shared" si="176"/>
        <v>0,39341924311507-5,28589429234724i</v>
      </c>
      <c r="AD189" s="20">
        <f t="shared" si="177"/>
        <v>14.48636103350535</v>
      </c>
      <c r="AE189" s="43">
        <f t="shared" si="178"/>
        <v>-85.74343035075735</v>
      </c>
      <c r="AF189" t="str">
        <f t="shared" si="160"/>
        <v>223,849857273222</v>
      </c>
      <c r="AG189" t="str">
        <f t="shared" si="161"/>
        <v>1+12,7203803421518i</v>
      </c>
      <c r="AH189">
        <f t="shared" si="179"/>
        <v>12.759626798970334</v>
      </c>
      <c r="AI189">
        <f t="shared" si="180"/>
        <v>1.4923436764236624</v>
      </c>
      <c r="AJ189" t="str">
        <f t="shared" si="162"/>
        <v>1+0,00322240311251433i</v>
      </c>
      <c r="AK189">
        <f t="shared" si="181"/>
        <v>1.0000051919274318</v>
      </c>
      <c r="AL189">
        <f t="shared" si="182"/>
        <v>3.2223919588994553E-3</v>
      </c>
      <c r="AM189" t="str">
        <f t="shared" si="163"/>
        <v>1-0,00211804022569392i</v>
      </c>
      <c r="AN189">
        <f t="shared" si="183"/>
        <v>1.0000022430446833</v>
      </c>
      <c r="AO189">
        <f t="shared" si="184"/>
        <v>-2.1180370584596483E-3</v>
      </c>
      <c r="AP189" s="41" t="str">
        <f t="shared" si="185"/>
        <v>1,39425521496919-17,4882451538442i</v>
      </c>
      <c r="AQ189">
        <f t="shared" si="186"/>
        <v>24.88244157403566</v>
      </c>
      <c r="AR189" s="43">
        <f t="shared" si="187"/>
        <v>-85.441719367233063</v>
      </c>
      <c r="AS189" t="str">
        <f t="shared" si="164"/>
        <v>-0,0000166666666666667</v>
      </c>
      <c r="AT189" t="str">
        <f t="shared" si="165"/>
        <v>3,23207032185188E-06i</v>
      </c>
      <c r="AU189">
        <f t="shared" si="188"/>
        <v>3.2320703218518798E-6</v>
      </c>
      <c r="AV189">
        <f t="shared" si="189"/>
        <v>1.5707963267948966</v>
      </c>
      <c r="AW189" t="str">
        <f t="shared" si="166"/>
        <v>1+0,0021204247799197i</v>
      </c>
      <c r="AX189">
        <f t="shared" si="190"/>
        <v>1.0000022480980968</v>
      </c>
      <c r="AY189">
        <f t="shared" si="191"/>
        <v>2.120421601976093E-3</v>
      </c>
      <c r="AZ189" t="str">
        <f t="shared" si="167"/>
        <v>1+0,708928684753152i</v>
      </c>
      <c r="BA189">
        <f t="shared" si="192"/>
        <v>1.2257976505385519</v>
      </c>
      <c r="BB189">
        <f t="shared" si="193"/>
        <v>0.61669326818193615</v>
      </c>
      <c r="BC189" s="41" t="str">
        <f t="shared" si="194"/>
        <v>-3,64474888462186+5,16438189395939i</v>
      </c>
      <c r="BD189">
        <f t="shared" si="195"/>
        <v>16.015715130316057</v>
      </c>
      <c r="BE189" s="43">
        <f t="shared" si="196"/>
        <v>125.21243031237285</v>
      </c>
      <c r="BF189" s="41" t="str">
        <f t="shared" si="197"/>
        <v>25,8644624292489+21,2975245421403i</v>
      </c>
      <c r="BG189" s="20">
        <f t="shared" si="198"/>
        <v>30.502076163821389</v>
      </c>
      <c r="BH189" s="43">
        <f t="shared" si="199"/>
        <v>39.468999961615502</v>
      </c>
      <c r="BI189" s="41" t="str">
        <f t="shared" si="203"/>
        <v>85,2342664899989+70,9407284062126i</v>
      </c>
      <c r="BJ189" s="20">
        <f t="shared" si="200"/>
        <v>40.89815670435172</v>
      </c>
      <c r="BK189" s="43">
        <f t="shared" si="204"/>
        <v>39.770710945139776</v>
      </c>
      <c r="BL189">
        <f t="shared" si="201"/>
        <v>30.502076163821389</v>
      </c>
      <c r="BM189" s="43">
        <f t="shared" si="202"/>
        <v>39.468999961615502</v>
      </c>
    </row>
    <row r="190" spans="14:65" x14ac:dyDescent="0.25">
      <c r="N190" s="9">
        <v>72</v>
      </c>
      <c r="O190" s="34">
        <f t="shared" si="205"/>
        <v>524.80746024977248</v>
      </c>
      <c r="P190" s="33" t="str">
        <f t="shared" si="155"/>
        <v>66,7780509511648</v>
      </c>
      <c r="Q190" s="4" t="str">
        <f t="shared" si="156"/>
        <v>1+12,8515630265808i</v>
      </c>
      <c r="R190" s="4">
        <f t="shared" si="168"/>
        <v>12.890410087587544</v>
      </c>
      <c r="S190" s="4">
        <f t="shared" si="169"/>
        <v>1.4931412520135805</v>
      </c>
      <c r="T190" s="4" t="str">
        <f t="shared" si="157"/>
        <v>1+0,00329746252333961i</v>
      </c>
      <c r="U190" s="4">
        <f t="shared" si="170"/>
        <v>1.0000054366147682</v>
      </c>
      <c r="V190" s="4">
        <f t="shared" si="171"/>
        <v>3.297450572029458E-3</v>
      </c>
      <c r="W190" t="str">
        <f t="shared" si="158"/>
        <v>1-0,00717320731730125i</v>
      </c>
      <c r="X190" s="4">
        <f t="shared" si="172"/>
        <v>1.0000257271206661</v>
      </c>
      <c r="Y190" s="4">
        <f t="shared" si="173"/>
        <v>-7.1730842888700552E-3</v>
      </c>
      <c r="Z190" t="str">
        <f t="shared" si="159"/>
        <v>0,99999972457713+0,00140989635927838i</v>
      </c>
      <c r="AA190" s="4">
        <f t="shared" si="174"/>
        <v>1.000000718480782</v>
      </c>
      <c r="AB190" s="4">
        <f t="shared" si="175"/>
        <v>1.4098958133955638E-3</v>
      </c>
      <c r="AC190" s="47" t="str">
        <f t="shared" si="176"/>
        <v>0,37459063247118-5,16704158509691i</v>
      </c>
      <c r="AD190" s="20">
        <f t="shared" si="177"/>
        <v>14.287604545384626</v>
      </c>
      <c r="AE190" s="43">
        <f t="shared" si="178"/>
        <v>-85.853530491832089</v>
      </c>
      <c r="AF190" t="str">
        <f t="shared" si="160"/>
        <v>223,849857273222</v>
      </c>
      <c r="AG190" t="str">
        <f t="shared" si="161"/>
        <v>1+13,0166760632698i</v>
      </c>
      <c r="AH190">
        <f t="shared" si="179"/>
        <v>13.05503181674028</v>
      </c>
      <c r="AI190">
        <f t="shared" si="180"/>
        <v>1.4941224050810702</v>
      </c>
      <c r="AJ190" t="str">
        <f t="shared" si="162"/>
        <v>1+0,00329746252333961i</v>
      </c>
      <c r="AK190">
        <f t="shared" si="181"/>
        <v>1.0000054366147682</v>
      </c>
      <c r="AL190">
        <f t="shared" si="182"/>
        <v>3.297450572029458E-3</v>
      </c>
      <c r="AM190" t="str">
        <f t="shared" si="163"/>
        <v>1-0,00216737572032134i</v>
      </c>
      <c r="AN190">
        <f t="shared" si="183"/>
        <v>1.0000023487559981</v>
      </c>
      <c r="AO190">
        <f t="shared" si="184"/>
        <v>-2.1673723265691041E-3</v>
      </c>
      <c r="AP190" s="41" t="str">
        <f t="shared" si="185"/>
        <v>1,33274155921392-17,0948953827827i</v>
      </c>
      <c r="AQ190">
        <f t="shared" si="186"/>
        <v>24.683645367181416</v>
      </c>
      <c r="AR190" s="43">
        <f t="shared" si="187"/>
        <v>-85.542159173096834</v>
      </c>
      <c r="AS190" t="str">
        <f t="shared" si="164"/>
        <v>-0,0000166666666666667</v>
      </c>
      <c r="AT190" t="str">
        <f t="shared" si="165"/>
        <v>3,30735491090962E-06i</v>
      </c>
      <c r="AU190">
        <f t="shared" si="188"/>
        <v>3.3073549109096198E-6</v>
      </c>
      <c r="AV190">
        <f t="shared" si="189"/>
        <v>1.5707963267948966</v>
      </c>
      <c r="AW190" t="str">
        <f t="shared" si="166"/>
        <v>1+0,00216981581795029i</v>
      </c>
      <c r="AX190">
        <f t="shared" si="190"/>
        <v>1.0000023540475711</v>
      </c>
      <c r="AY190">
        <f t="shared" si="191"/>
        <v>2.169812412722797E-3</v>
      </c>
      <c r="AZ190" t="str">
        <f t="shared" si="167"/>
        <v>1+0,725441755134714i</v>
      </c>
      <c r="BA190">
        <f t="shared" si="192"/>
        <v>1.2354212804112346</v>
      </c>
      <c r="BB190">
        <f t="shared" si="193"/>
        <v>0.62759768832148721</v>
      </c>
      <c r="BC190" s="41" t="str">
        <f t="shared" si="194"/>
        <v>-3,64474811230527+5,04718214648478i</v>
      </c>
      <c r="BD190">
        <f t="shared" si="195"/>
        <v>15.88364007552061</v>
      </c>
      <c r="BE190" s="43">
        <f t="shared" si="196"/>
        <v>125.83437767940397</v>
      </c>
      <c r="BF190" s="41" t="str">
        <f t="shared" si="197"/>
        <v>24,713711537859+20,7231922159338i</v>
      </c>
      <c r="BG190" s="20">
        <f t="shared" si="198"/>
        <v>30.171244620905249</v>
      </c>
      <c r="BH190" s="43">
        <f t="shared" si="199"/>
        <v>39.980847187571875</v>
      </c>
      <c r="BI190" s="41" t="str">
        <f t="shared" si="203"/>
        <v>81,4235434898702+69,0331770799961i</v>
      </c>
      <c r="BJ190" s="20">
        <f t="shared" si="200"/>
        <v>40.56728544270203</v>
      </c>
      <c r="BK190" s="43">
        <f t="shared" si="204"/>
        <v>40.292218506307137</v>
      </c>
      <c r="BL190">
        <f t="shared" si="201"/>
        <v>30.171244620905249</v>
      </c>
      <c r="BM190" s="43">
        <f t="shared" si="202"/>
        <v>39.980847187571875</v>
      </c>
    </row>
    <row r="191" spans="14:65" x14ac:dyDescent="0.25">
      <c r="N191" s="9">
        <v>73</v>
      </c>
      <c r="O191" s="34">
        <f t="shared" si="205"/>
        <v>537.03179637025301</v>
      </c>
      <c r="P191" s="33" t="str">
        <f t="shared" si="155"/>
        <v>66,7780509511648</v>
      </c>
      <c r="Q191" s="4" t="str">
        <f t="shared" si="156"/>
        <v>1+13,1509143849545i</v>
      </c>
      <c r="R191" s="4">
        <f t="shared" si="168"/>
        <v>13.188879753807873</v>
      </c>
      <c r="S191" s="4">
        <f t="shared" si="169"/>
        <v>1.4949020389803918</v>
      </c>
      <c r="T191" s="4" t="str">
        <f t="shared" si="157"/>
        <v>1+0,00337427029244183i</v>
      </c>
      <c r="U191" s="4">
        <f t="shared" si="170"/>
        <v>1.000005692833799</v>
      </c>
      <c r="V191" s="4">
        <f t="shared" si="171"/>
        <v>3.3742574863862163E-3</v>
      </c>
      <c r="W191" t="str">
        <f t="shared" si="158"/>
        <v>1-0,00734029277997138i</v>
      </c>
      <c r="X191" s="4">
        <f t="shared" si="172"/>
        <v>1.0000269395861772</v>
      </c>
      <c r="Y191" s="4">
        <f t="shared" si="173"/>
        <v>-7.3401609528240611E-3</v>
      </c>
      <c r="Z191" t="str">
        <f t="shared" si="159"/>
        <v>0,99999971159685+0,00144273706429172i</v>
      </c>
      <c r="AA191" s="4">
        <f t="shared" si="174"/>
        <v>1.0000007523417267</v>
      </c>
      <c r="AB191" s="4">
        <f t="shared" si="175"/>
        <v>1.4427364793677671E-3</v>
      </c>
      <c r="AC191" s="47" t="str">
        <f t="shared" si="176"/>
        <v>0,35659947523879-5,05079735590377i</v>
      </c>
      <c r="AD191" s="20">
        <f t="shared" si="177"/>
        <v>14.088793512679676</v>
      </c>
      <c r="AE191" s="43">
        <f t="shared" si="178"/>
        <v>-85.961469860878267</v>
      </c>
      <c r="AF191" t="str">
        <f t="shared" si="160"/>
        <v>223,849857273222</v>
      </c>
      <c r="AG191" t="str">
        <f t="shared" si="161"/>
        <v>1+13,3198733983326i</v>
      </c>
      <c r="AH191">
        <f t="shared" si="179"/>
        <v>13.357358546793915</v>
      </c>
      <c r="AI191">
        <f t="shared" si="180"/>
        <v>1.4958611147941419</v>
      </c>
      <c r="AJ191" t="str">
        <f t="shared" si="162"/>
        <v>1+0,00337427029244183i</v>
      </c>
      <c r="AK191">
        <f t="shared" si="181"/>
        <v>1.000005692833799</v>
      </c>
      <c r="AL191">
        <f t="shared" si="182"/>
        <v>3.3742574863862163E-3</v>
      </c>
      <c r="AM191" t="str">
        <f t="shared" si="163"/>
        <v>1-0,00221786038624427i</v>
      </c>
      <c r="AN191">
        <f t="shared" si="183"/>
        <v>1.000002459449322</v>
      </c>
      <c r="AO191">
        <f t="shared" si="184"/>
        <v>-2.2178567497737152E-3</v>
      </c>
      <c r="AP191" s="41" t="str">
        <f t="shared" si="185"/>
        <v>1,273964708247-16,7101864353421i</v>
      </c>
      <c r="AQ191">
        <f t="shared" si="186"/>
        <v>24.484795571119513</v>
      </c>
      <c r="AR191" s="43">
        <f t="shared" si="187"/>
        <v>-85.640271733804965</v>
      </c>
      <c r="AS191" t="str">
        <f t="shared" si="164"/>
        <v>-0,0000166666666666667</v>
      </c>
      <c r="AT191" t="str">
        <f t="shared" si="165"/>
        <v>3,38439310331916E-06i</v>
      </c>
      <c r="AU191">
        <f t="shared" si="188"/>
        <v>3.3843931033191601E-6</v>
      </c>
      <c r="AV191">
        <f t="shared" si="189"/>
        <v>1.5707963267948966</v>
      </c>
      <c r="AW191" t="str">
        <f t="shared" si="166"/>
        <v>1+0,00222035732104846i</v>
      </c>
      <c r="AX191">
        <f t="shared" si="190"/>
        <v>1.0000024649902786</v>
      </c>
      <c r="AY191">
        <f t="shared" si="191"/>
        <v>2.2203536722819484E-3</v>
      </c>
      <c r="AZ191" t="str">
        <f t="shared" si="167"/>
        <v>1+0,742339464337202i</v>
      </c>
      <c r="BA191">
        <f t="shared" si="192"/>
        <v>1.2454187570100443</v>
      </c>
      <c r="BB191">
        <f t="shared" si="193"/>
        <v>0.63858031148847472</v>
      </c>
      <c r="BC191" s="41" t="str">
        <f t="shared" si="194"/>
        <v>-3,64474730359086+4,93265848163356i</v>
      </c>
      <c r="BD191">
        <f t="shared" si="195"/>
        <v>15.753645599339158</v>
      </c>
      <c r="BE191" s="43">
        <f t="shared" si="196"/>
        <v>126.46073983399104</v>
      </c>
      <c r="BF191" s="41" t="str">
        <f t="shared" si="197"/>
        <v>23,6141434407726+20,1678634699968i</v>
      </c>
      <c r="BG191" s="20">
        <f t="shared" si="198"/>
        <v>29.842439112018834</v>
      </c>
      <c r="BH191" s="43">
        <f t="shared" si="199"/>
        <v>40.49926997311276</v>
      </c>
      <c r="BI191" s="41" t="str">
        <f t="shared" si="203"/>
        <v>77,7823634147151+67,1884397761501i</v>
      </c>
      <c r="BJ191" s="20">
        <f t="shared" si="200"/>
        <v>40.238441170458671</v>
      </c>
      <c r="BK191" s="43">
        <f t="shared" si="204"/>
        <v>40.820468100186105</v>
      </c>
      <c r="BL191">
        <f t="shared" si="201"/>
        <v>29.842439112018834</v>
      </c>
      <c r="BM191" s="43">
        <f t="shared" si="202"/>
        <v>40.49926997311276</v>
      </c>
    </row>
    <row r="192" spans="14:65" x14ac:dyDescent="0.25">
      <c r="N192" s="9">
        <v>74</v>
      </c>
      <c r="O192" s="34">
        <f t="shared" si="205"/>
        <v>549.54087385762534</v>
      </c>
      <c r="P192" s="33" t="str">
        <f t="shared" si="155"/>
        <v>66,7780509511648</v>
      </c>
      <c r="Q192" s="4" t="str">
        <f t="shared" si="156"/>
        <v>1+13,4572385322082i</v>
      </c>
      <c r="R192" s="4">
        <f t="shared" si="168"/>
        <v>13.49434210744448</v>
      </c>
      <c r="S192" s="4">
        <f t="shared" si="169"/>
        <v>1.4966232012722358</v>
      </c>
      <c r="T192" s="4" t="str">
        <f t="shared" si="157"/>
        <v>1+0,00345286714431686i</v>
      </c>
      <c r="U192" s="4">
        <f t="shared" si="170"/>
        <v>1.0000059611279906</v>
      </c>
      <c r="V192" s="4">
        <f t="shared" si="171"/>
        <v>3.4528534223854644E-3</v>
      </c>
      <c r="W192" t="str">
        <f t="shared" si="158"/>
        <v>1-0,00751127016303374i</v>
      </c>
      <c r="X192" s="4">
        <f t="shared" si="172"/>
        <v>1.0000282091918518</v>
      </c>
      <c r="Y192" s="4">
        <f t="shared" si="173"/>
        <v>-7.5111289079156356E-3</v>
      </c>
      <c r="Z192" t="str">
        <f t="shared" si="159"/>
        <v>0,999999698004828+0,00147634272759342i</v>
      </c>
      <c r="AA192" s="4">
        <f t="shared" si="174"/>
        <v>1.000000787798488</v>
      </c>
      <c r="AB192" s="4">
        <f t="shared" si="175"/>
        <v>1.4763421008361381E-3</v>
      </c>
      <c r="AC192" s="47" t="str">
        <f t="shared" si="176"/>
        <v>0,339408949907668-4,9371086250377i</v>
      </c>
      <c r="AD192" s="20">
        <f t="shared" si="177"/>
        <v>13.88993041344046</v>
      </c>
      <c r="AE192" s="43">
        <f t="shared" si="178"/>
        <v>-86.067303183175113</v>
      </c>
      <c r="AF192" t="str">
        <f t="shared" si="160"/>
        <v>223,849857273222</v>
      </c>
      <c r="AG192" t="str">
        <f t="shared" si="161"/>
        <v>1+13,6301331065806i</v>
      </c>
      <c r="AH192">
        <f t="shared" si="179"/>
        <v>13.666767302588587</v>
      </c>
      <c r="AI192">
        <f t="shared" si="180"/>
        <v>1.4975606853757539</v>
      </c>
      <c r="AJ192" t="str">
        <f t="shared" si="162"/>
        <v>1+0,00345286714431686i</v>
      </c>
      <c r="AK192">
        <f t="shared" si="181"/>
        <v>1.0000059611279906</v>
      </c>
      <c r="AL192">
        <f t="shared" si="182"/>
        <v>3.4528534223854644E-3</v>
      </c>
      <c r="AM192" t="str">
        <f t="shared" si="163"/>
        <v>1-0,00226952099110085i</v>
      </c>
      <c r="AN192">
        <f t="shared" si="183"/>
        <v>1.0000025753594481</v>
      </c>
      <c r="AO192">
        <f t="shared" si="184"/>
        <v>-2.2695170945529895E-3</v>
      </c>
      <c r="AP192" s="41" t="str">
        <f t="shared" si="185"/>
        <v>1,21780425762729-16,3339422617183i</v>
      </c>
      <c r="AQ192">
        <f t="shared" si="186"/>
        <v>24.285894583850197</v>
      </c>
      <c r="AR192" s="43">
        <f t="shared" si="187"/>
        <v>-85.736106659420329</v>
      </c>
      <c r="AS192" t="str">
        <f t="shared" si="164"/>
        <v>-0,0000166666666666667</v>
      </c>
      <c r="AT192" t="str">
        <f t="shared" si="165"/>
        <v>3,46322574574981E-06i</v>
      </c>
      <c r="AU192">
        <f t="shared" si="188"/>
        <v>3.4632257457498099E-6</v>
      </c>
      <c r="AV192">
        <f t="shared" si="189"/>
        <v>1.5707963267948966</v>
      </c>
      <c r="AW192" t="str">
        <f t="shared" si="166"/>
        <v>1+0,00227207608698816i</v>
      </c>
      <c r="AX192">
        <f t="shared" si="190"/>
        <v>1.0000025811615414</v>
      </c>
      <c r="AY192">
        <f t="shared" si="191"/>
        <v>2.2720721772649479E-3</v>
      </c>
      <c r="AZ192" t="str">
        <f t="shared" si="167"/>
        <v>1+0,759630771749708i</v>
      </c>
      <c r="BA192">
        <f t="shared" si="192"/>
        <v>1.2558020980190536</v>
      </c>
      <c r="BB192">
        <f t="shared" si="193"/>
        <v>0.64963636350220655</v>
      </c>
      <c r="BC192" s="41" t="str">
        <f t="shared" si="194"/>
        <v>-3,64474645676329+4,82075017743148i</v>
      </c>
      <c r="BD192">
        <f t="shared" si="195"/>
        <v>15.625760630733215</v>
      </c>
      <c r="BE192" s="43">
        <f t="shared" si="196"/>
        <v>127.09124170039659</v>
      </c>
      <c r="BF192" s="41" t="str">
        <f t="shared" si="197"/>
        <v>22,5635077125793+19,6307149232509i</v>
      </c>
      <c r="BG192" s="20">
        <f t="shared" si="198"/>
        <v>29.515691044173693</v>
      </c>
      <c r="BH192" s="43">
        <f t="shared" si="199"/>
        <v>41.023938517221495</v>
      </c>
      <c r="BI192" s="41" t="str">
        <f t="shared" si="203"/>
        <v>74,3032673033157+65,4038082744075i</v>
      </c>
      <c r="BJ192" s="20">
        <f t="shared" si="200"/>
        <v>39.911655214583412</v>
      </c>
      <c r="BK192" s="43">
        <f t="shared" si="204"/>
        <v>41.355135040976286</v>
      </c>
      <c r="BL192">
        <f t="shared" si="201"/>
        <v>29.515691044173693</v>
      </c>
      <c r="BM192" s="43">
        <f t="shared" si="202"/>
        <v>41.023938517221495</v>
      </c>
    </row>
    <row r="193" spans="14:65" x14ac:dyDescent="0.25">
      <c r="N193" s="9">
        <v>75</v>
      </c>
      <c r="O193" s="34">
        <f t="shared" si="205"/>
        <v>562.34132519034927</v>
      </c>
      <c r="P193" s="33" t="str">
        <f t="shared" si="155"/>
        <v>66,7780509511648</v>
      </c>
      <c r="Q193" s="4" t="str">
        <f t="shared" si="156"/>
        <v>1+13,7706978854591i</v>
      </c>
      <c r="R193" s="4">
        <f t="shared" si="168"/>
        <v>13.806959124028277</v>
      </c>
      <c r="S193" s="4">
        <f t="shared" si="169"/>
        <v>1.4983056106591466</v>
      </c>
      <c r="T193" s="4" t="str">
        <f t="shared" si="157"/>
        <v>1+0,0035332947520559i</v>
      </c>
      <c r="U193" s="4">
        <f t="shared" si="170"/>
        <v>1.0000062420664209</v>
      </c>
      <c r="V193" s="4">
        <f t="shared" si="171"/>
        <v>3.533280048746461E-3</v>
      </c>
      <c r="W193" t="str">
        <f t="shared" si="158"/>
        <v>1-0,00768623012095994i</v>
      </c>
      <c r="X193" s="4">
        <f t="shared" si="172"/>
        <v>1.0000295386304709</v>
      </c>
      <c r="Y193" s="4">
        <f t="shared" si="173"/>
        <v>-7.6860787636153869E-3</v>
      </c>
      <c r="Z193" t="str">
        <f t="shared" si="159"/>
        <v>0,999999683772234+0,001510731167351i</v>
      </c>
      <c r="AA193" s="4">
        <f t="shared" si="174"/>
        <v>1.000000824926274</v>
      </c>
      <c r="AB193" s="4">
        <f t="shared" si="175"/>
        <v>1.5107304957685012E-3</v>
      </c>
      <c r="AC193" s="47" t="str">
        <f t="shared" si="176"/>
        <v>0,322983816593661-4,82592320081285i</v>
      </c>
      <c r="AD193" s="20">
        <f t="shared" si="177"/>
        <v>13.691017619111641</v>
      </c>
      <c r="AE193" s="43">
        <f t="shared" si="178"/>
        <v>-86.171084232459208</v>
      </c>
      <c r="AF193" t="str">
        <f t="shared" si="160"/>
        <v>223,849857273222</v>
      </c>
      <c r="AG193" t="str">
        <f t="shared" si="161"/>
        <v>1+13,9476196918179i</v>
      </c>
      <c r="AH193">
        <f t="shared" si="179"/>
        <v>13.983422151518793</v>
      </c>
      <c r="AI193">
        <f t="shared" si="180"/>
        <v>1.4992219786645069</v>
      </c>
      <c r="AJ193" t="str">
        <f t="shared" si="162"/>
        <v>1+0,0035332947520559i</v>
      </c>
      <c r="AK193">
        <f t="shared" si="181"/>
        <v>1.0000062420664209</v>
      </c>
      <c r="AL193">
        <f t="shared" si="182"/>
        <v>3.533280048746461E-3</v>
      </c>
      <c r="AM193" t="str">
        <f t="shared" si="163"/>
        <v>1-0,00232238492602757i</v>
      </c>
      <c r="AN193">
        <f t="shared" si="183"/>
        <v>1.0000026967322362</v>
      </c>
      <c r="AO193">
        <f t="shared" si="184"/>
        <v>-2.3223807508019217E-3</v>
      </c>
      <c r="AP193" s="41" t="str">
        <f t="shared" si="185"/>
        <v>1,16414498103904-15,9659894699439i</v>
      </c>
      <c r="AQ193">
        <f t="shared" si="186"/>
        <v>24.086944698436771</v>
      </c>
      <c r="AR193" s="43">
        <f t="shared" si="187"/>
        <v>-85.829712511541018</v>
      </c>
      <c r="AS193" t="str">
        <f t="shared" si="164"/>
        <v>-0,0000166666666666667</v>
      </c>
      <c r="AT193" t="str">
        <f t="shared" si="165"/>
        <v>3,54389463631207E-06i</v>
      </c>
      <c r="AU193">
        <f t="shared" si="188"/>
        <v>3.5438946363120699E-6</v>
      </c>
      <c r="AV193">
        <f t="shared" si="189"/>
        <v>1.5707963267948966</v>
      </c>
      <c r="AW193" t="str">
        <f t="shared" si="166"/>
        <v>1+0,00232499953774366i</v>
      </c>
      <c r="AX193">
        <f t="shared" si="190"/>
        <v>1.0000027028077727</v>
      </c>
      <c r="AY193">
        <f t="shared" si="191"/>
        <v>2.3249953484003713E-3</v>
      </c>
      <c r="AZ193" t="str">
        <f t="shared" si="167"/>
        <v>1+0,777324845452297i</v>
      </c>
      <c r="BA193">
        <f t="shared" si="192"/>
        <v>1.2665835603533773</v>
      </c>
      <c r="BB193">
        <f t="shared" si="193"/>
        <v>0.66076089521996983</v>
      </c>
      <c r="BC193" s="41" t="str">
        <f t="shared" si="194"/>
        <v>-3,64474557002641+4,71139789860223i</v>
      </c>
      <c r="BD193">
        <f t="shared" si="195"/>
        <v>15.500012424377754</v>
      </c>
      <c r="BE193" s="43">
        <f t="shared" si="196"/>
        <v>127.72559814253948</v>
      </c>
      <c r="BF193" s="41" t="str">
        <f t="shared" si="197"/>
        <v>21,5596505924054+19,1109674822322i</v>
      </c>
      <c r="BG193" s="20">
        <f t="shared" si="198"/>
        <v>29.191030043489384</v>
      </c>
      <c r="BH193" s="43">
        <f t="shared" si="199"/>
        <v>41.554513910080303</v>
      </c>
      <c r="BI193" s="41" t="str">
        <f t="shared" si="203"/>
        <v>70,9791169752885+63,676719609002i</v>
      </c>
      <c r="BJ193" s="20">
        <f t="shared" si="200"/>
        <v>39.586957122814525</v>
      </c>
      <c r="BK193" s="43">
        <f t="shared" si="204"/>
        <v>41.89588563099845</v>
      </c>
      <c r="BL193">
        <f t="shared" si="201"/>
        <v>29.191030043489384</v>
      </c>
      <c r="BM193" s="43">
        <f t="shared" si="202"/>
        <v>41.554513910080303</v>
      </c>
    </row>
    <row r="194" spans="14:65" x14ac:dyDescent="0.25">
      <c r="N194" s="9">
        <v>76</v>
      </c>
      <c r="O194" s="34">
        <f t="shared" si="205"/>
        <v>575.43993733715706</v>
      </c>
      <c r="P194" s="33" t="str">
        <f t="shared" si="155"/>
        <v>66,7780509511648</v>
      </c>
      <c r="Q194" s="4" t="str">
        <f t="shared" si="156"/>
        <v>1+14,0914586450058i</v>
      </c>
      <c r="R194" s="4">
        <f t="shared" si="168"/>
        <v>14.126896571572564</v>
      </c>
      <c r="S194" s="4">
        <f t="shared" si="169"/>
        <v>1.4999501210590092</v>
      </c>
      <c r="T194" s="4" t="str">
        <f t="shared" si="157"/>
        <v>1+0,00361559575944117i</v>
      </c>
      <c r="U194" s="4">
        <f t="shared" si="170"/>
        <v>1.0000065362449866</v>
      </c>
      <c r="V194" s="4">
        <f t="shared" si="171"/>
        <v>3.6155800045668172E-3</v>
      </c>
      <c r="W194" t="str">
        <f t="shared" si="158"/>
        <v>1-0,00786526541983557i</v>
      </c>
      <c r="X194" s="4">
        <f t="shared" si="172"/>
        <v>1.0000309307217075</v>
      </c>
      <c r="Y194" s="4">
        <f t="shared" si="173"/>
        <v>-7.8651032377898139E-3</v>
      </c>
      <c r="Z194" t="str">
        <f t="shared" si="159"/>
        <v>0,999999668868878+0,00154592061677041i</v>
      </c>
      <c r="AA194" s="4">
        <f t="shared" si="174"/>
        <v>1.0000008638038367</v>
      </c>
      <c r="AB194" s="4">
        <f t="shared" si="175"/>
        <v>1.5459198971568304E-3</v>
      </c>
      <c r="AC194" s="47" t="str">
        <f t="shared" si="176"/>
        <v>0,307290352385687-4,71718968860009i</v>
      </c>
      <c r="AD194" s="20">
        <f t="shared" si="177"/>
        <v>13.492057399228228</v>
      </c>
      <c r="AE194" s="43">
        <f t="shared" si="178"/>
        <v>-86.272865848596993</v>
      </c>
      <c r="AF194" t="str">
        <f t="shared" si="160"/>
        <v>223,849857273222</v>
      </c>
      <c r="AG194" t="str">
        <f t="shared" si="161"/>
        <v>1+14,2725014896343i</v>
      </c>
      <c r="AH194">
        <f t="shared" si="179"/>
        <v>14.30749100197562</v>
      </c>
      <c r="AI194">
        <f t="shared" si="180"/>
        <v>1.50084583879956</v>
      </c>
      <c r="AJ194" t="str">
        <f t="shared" si="162"/>
        <v>1+0,00361559575944117i</v>
      </c>
      <c r="AK194">
        <f t="shared" si="181"/>
        <v>1.0000065362449866</v>
      </c>
      <c r="AL194">
        <f t="shared" si="182"/>
        <v>3.6155800045668172E-3</v>
      </c>
      <c r="AM194" t="str">
        <f t="shared" si="163"/>
        <v>1-0,00237648022018247i</v>
      </c>
      <c r="AN194">
        <f t="shared" si="183"/>
        <v>1.0000028238251315</v>
      </c>
      <c r="AO194">
        <f t="shared" si="184"/>
        <v>-2.3764757463482669E-3</v>
      </c>
      <c r="AP194" s="41" t="str">
        <f t="shared" si="185"/>
        <v>1,11287661806382-15,606157352487i</v>
      </c>
      <c r="AQ194">
        <f t="shared" si="186"/>
        <v>23.887948107551495</v>
      </c>
      <c r="AR194" s="43">
        <f t="shared" si="187"/>
        <v>-85.921136818614073</v>
      </c>
      <c r="AS194" t="str">
        <f t="shared" si="164"/>
        <v>-0,0000166666666666667</v>
      </c>
      <c r="AT194" t="str">
        <f t="shared" si="165"/>
        <v>3,62644254671949E-06i</v>
      </c>
      <c r="AU194">
        <f t="shared" si="188"/>
        <v>3.6264425467194902E-6</v>
      </c>
      <c r="AV194">
        <f t="shared" si="189"/>
        <v>1.5707963267948966</v>
      </c>
      <c r="AW194" t="str">
        <f t="shared" si="166"/>
        <v>1+0,00237915573402908i</v>
      </c>
      <c r="AX194">
        <f t="shared" si="190"/>
        <v>1.0000028301869983</v>
      </c>
      <c r="AY194">
        <f t="shared" si="191"/>
        <v>2.3791512450675564E-3</v>
      </c>
      <c r="AZ194" t="str">
        <f t="shared" si="167"/>
        <v>1+0,795431067077057i</v>
      </c>
      <c r="BA194">
        <f t="shared" si="192"/>
        <v>1.2777756385497987</v>
      </c>
      <c r="BB194">
        <f t="shared" si="193"/>
        <v>0.67194879175513489</v>
      </c>
      <c r="BC194" s="41" t="str">
        <f t="shared" si="194"/>
        <v>-3,64474464149936+4,60454366510718i</v>
      </c>
      <c r="BD194">
        <f t="shared" si="195"/>
        <v>15.376426458643932</v>
      </c>
      <c r="BE194" s="43">
        <f t="shared" si="196"/>
        <v>128.3635144913186</v>
      </c>
      <c r="BF194" s="41" t="str">
        <f t="shared" si="197"/>
        <v>20,6005110325103+18,6078836858873i</v>
      </c>
      <c r="BG194" s="20">
        <f t="shared" si="198"/>
        <v>28.868483857872175</v>
      </c>
      <c r="BH194" s="43">
        <f t="shared" si="199"/>
        <v>42.09064864272159</v>
      </c>
      <c r="BI194" s="41" t="str">
        <f t="shared" si="203"/>
        <v>67,8030818837218+62,0047473666245i</v>
      </c>
      <c r="BJ194" s="20">
        <f t="shared" si="200"/>
        <v>39.264374566195428</v>
      </c>
      <c r="BK194" s="43">
        <f t="shared" si="204"/>
        <v>42.442377672704524</v>
      </c>
      <c r="BL194">
        <f t="shared" si="201"/>
        <v>28.868483857872175</v>
      </c>
      <c r="BM194" s="43">
        <f t="shared" si="202"/>
        <v>42.09064864272159</v>
      </c>
    </row>
    <row r="195" spans="14:65" x14ac:dyDescent="0.25">
      <c r="N195" s="9">
        <v>77</v>
      </c>
      <c r="O195" s="34">
        <f t="shared" si="205"/>
        <v>588.84365535558959</v>
      </c>
      <c r="P195" s="33" t="str">
        <f t="shared" si="155"/>
        <v>66,7780509511648</v>
      </c>
      <c r="Q195" s="4" t="str">
        <f t="shared" si="156"/>
        <v>1+14,4196908824484i</v>
      </c>
      <c r="R195" s="4">
        <f t="shared" si="168"/>
        <v>14.454324098530705</v>
      </c>
      <c r="S195" s="4">
        <f t="shared" si="169"/>
        <v>1.5015575688135427</v>
      </c>
      <c r="T195" s="4" t="str">
        <f t="shared" si="157"/>
        <v>1+0,00369981380355616i</v>
      </c>
      <c r="U195" s="4">
        <f t="shared" si="170"/>
        <v>1.0000068442876684</v>
      </c>
      <c r="V195" s="4">
        <f t="shared" si="171"/>
        <v>3.6997969219103796E-3</v>
      </c>
      <c r="W195" t="str">
        <f t="shared" si="158"/>
        <v>1-0,00804847098654588i</v>
      </c>
      <c r="X195" s="4">
        <f t="shared" si="172"/>
        <v>1.0000323884181057</v>
      </c>
      <c r="Y195" s="4">
        <f t="shared" si="173"/>
        <v>-8.0482972056568677E-3</v>
      </c>
      <c r="Z195" t="str">
        <f t="shared" si="159"/>
        <v>0,99999965326315+0,0015819297337635i</v>
      </c>
      <c r="AA195" s="4">
        <f t="shared" si="174"/>
        <v>1.0000009045136424</v>
      </c>
      <c r="AB195" s="4">
        <f t="shared" si="175"/>
        <v>1.5819289626836915E-3</v>
      </c>
      <c r="AC195" s="47" t="str">
        <f t="shared" si="176"/>
        <v>0,292296289043415-4,61085749793778i</v>
      </c>
      <c r="AD195" s="20">
        <f t="shared" si="177"/>
        <v>13.293051925925594</v>
      </c>
      <c r="AE195" s="43">
        <f t="shared" si="178"/>
        <v>-86.372699955462096</v>
      </c>
      <c r="AF195" t="str">
        <f t="shared" si="160"/>
        <v>223,849857273222</v>
      </c>
      <c r="AG195" t="str">
        <f t="shared" si="161"/>
        <v>1+14,6049507566594i</v>
      </c>
      <c r="AH195">
        <f t="shared" si="179"/>
        <v>14.63914569243868</v>
      </c>
      <c r="AI195">
        <f t="shared" si="180"/>
        <v>1.5024330924978868</v>
      </c>
      <c r="AJ195" t="str">
        <f t="shared" si="162"/>
        <v>1+0,00369981380355616i</v>
      </c>
      <c r="AK195">
        <f t="shared" si="181"/>
        <v>1.0000068442876684</v>
      </c>
      <c r="AL195">
        <f t="shared" si="182"/>
        <v>3.6997969219103796E-3</v>
      </c>
      <c r="AM195" t="str">
        <f t="shared" si="163"/>
        <v>1-0,00243183555560655i</v>
      </c>
      <c r="AN195">
        <f t="shared" si="183"/>
        <v>1.0000029569077131</v>
      </c>
      <c r="AO195">
        <f t="shared" si="184"/>
        <v>-2.4318307618075982E-3</v>
      </c>
      <c r="AP195" s="41" t="str">
        <f t="shared" si="185"/>
        <v>1,06389366971987-15,2542779067512i</v>
      </c>
      <c r="AQ195">
        <f t="shared" si="186"/>
        <v>23.688906907836625</v>
      </c>
      <c r="AR195" s="43">
        <f t="shared" si="187"/>
        <v>-86.010426091378022</v>
      </c>
      <c r="AS195" t="str">
        <f t="shared" si="164"/>
        <v>-0,0000166666666666667</v>
      </c>
      <c r="AT195" t="str">
        <f t="shared" si="165"/>
        <v>3,71091324496683E-06i</v>
      </c>
      <c r="AU195">
        <f t="shared" si="188"/>
        <v>3.7109132449668302E-6</v>
      </c>
      <c r="AV195">
        <f t="shared" si="189"/>
        <v>1.5707963267948966</v>
      </c>
      <c r="AW195" t="str">
        <f t="shared" si="166"/>
        <v>1+0,00243457339017654i</v>
      </c>
      <c r="AX195">
        <f t="shared" si="190"/>
        <v>1.0000029635694048</v>
      </c>
      <c r="AY195">
        <f t="shared" si="191"/>
        <v>2.4345685801683767E-3</v>
      </c>
      <c r="AZ195" t="str">
        <f t="shared" si="167"/>
        <v>1+0,813959036782354i</v>
      </c>
      <c r="BA195">
        <f t="shared" si="192"/>
        <v>1.289391063083523</v>
      </c>
      <c r="BB195">
        <f t="shared" si="193"/>
        <v>0.68319478263004663</v>
      </c>
      <c r="BC195" s="41" t="str">
        <f t="shared" si="194"/>
        <v>-3,64474366921267+4,50013082140341i</v>
      </c>
      <c r="BD195">
        <f t="shared" si="195"/>
        <v>15.255026338376727</v>
      </c>
      <c r="BE195" s="43">
        <f t="shared" si="196"/>
        <v>129.0046871254805</v>
      </c>
      <c r="BF195" s="41" t="str">
        <f t="shared" si="197"/>
        <v>19,6841168905435+18,1207652145566i</v>
      </c>
      <c r="BG195" s="20">
        <f t="shared" si="198"/>
        <v>28.548078264302326</v>
      </c>
      <c r="BH195" s="43">
        <f t="shared" si="199"/>
        <v>42.631987170018391</v>
      </c>
      <c r="BI195" s="41" t="str">
        <f t="shared" si="203"/>
        <v>64,7686264489972+60,3855935228445i</v>
      </c>
      <c r="BJ195" s="20">
        <f t="shared" si="200"/>
        <v>38.943933246213348</v>
      </c>
      <c r="BK195" s="43">
        <f t="shared" si="204"/>
        <v>42.994261034102536</v>
      </c>
      <c r="BL195">
        <f t="shared" si="201"/>
        <v>28.548078264302326</v>
      </c>
      <c r="BM195" s="43">
        <f t="shared" si="202"/>
        <v>42.631987170018391</v>
      </c>
    </row>
    <row r="196" spans="14:65" x14ac:dyDescent="0.25">
      <c r="N196" s="9">
        <v>78</v>
      </c>
      <c r="O196" s="34">
        <f t="shared" si="205"/>
        <v>602.55958607435832</v>
      </c>
      <c r="P196" s="33" t="str">
        <f t="shared" si="155"/>
        <v>66,7780509511648</v>
      </c>
      <c r="Q196" s="4" t="str">
        <f t="shared" si="156"/>
        <v>1+14,7555686308642i</v>
      </c>
      <c r="R196" s="4">
        <f t="shared" si="168"/>
        <v>14.789415323809918</v>
      </c>
      <c r="S196" s="4">
        <f t="shared" si="169"/>
        <v>1.5031287729664424</v>
      </c>
      <c r="T196" s="4" t="str">
        <f t="shared" si="157"/>
        <v>1+0,00378599353792262i</v>
      </c>
      <c r="U196" s="4">
        <f t="shared" si="170"/>
        <v>1.0000071668478527</v>
      </c>
      <c r="V196" s="4">
        <f t="shared" si="171"/>
        <v>3.7859754489202638E-3</v>
      </c>
      <c r="W196" t="str">
        <f t="shared" si="158"/>
        <v>1-0,00823594395910736i</v>
      </c>
      <c r="X196" s="4">
        <f t="shared" si="172"/>
        <v>1.0000339148113415</v>
      </c>
      <c r="Y196" s="4">
        <f t="shared" si="173"/>
        <v>-8.2357577498709689E-3</v>
      </c>
      <c r="Z196" t="str">
        <f t="shared" si="159"/>
        <v>0,999999636921945+0,00161877761084075i</v>
      </c>
      <c r="AA196" s="4">
        <f t="shared" si="174"/>
        <v>1.0000009471420392</v>
      </c>
      <c r="AB196" s="4">
        <f t="shared" si="175"/>
        <v>1.6187767846138907E-3</v>
      </c>
      <c r="AC196" s="47" t="str">
        <f t="shared" si="176"/>
        <v>0,2779707529868-4,50687684788467i</v>
      </c>
      <c r="AD196" s="20">
        <f t="shared" si="177"/>
        <v>13.094003278267277</v>
      </c>
      <c r="AE196" s="43">
        <f t="shared" si="178"/>
        <v>-86.470637578983883</v>
      </c>
      <c r="AF196" t="str">
        <f t="shared" si="160"/>
        <v>223,849857273222</v>
      </c>
      <c r="AG196" t="str">
        <f t="shared" si="161"/>
        <v>1+14,945143761895i</v>
      </c>
      <c r="AH196">
        <f t="shared" si="179"/>
        <v>14.978562082646954</v>
      </c>
      <c r="AI196">
        <f t="shared" si="180"/>
        <v>1.5039845493333426</v>
      </c>
      <c r="AJ196" t="str">
        <f t="shared" si="162"/>
        <v>1+0,00378599353792262i</v>
      </c>
      <c r="AK196">
        <f t="shared" si="181"/>
        <v>1.0000071668478527</v>
      </c>
      <c r="AL196">
        <f t="shared" si="182"/>
        <v>3.7859754489202638E-3</v>
      </c>
      <c r="AM196" t="str">
        <f t="shared" si="163"/>
        <v>1-0,00248848028243136i</v>
      </c>
      <c r="AN196">
        <f t="shared" si="183"/>
        <v>1.0000030962622646</v>
      </c>
      <c r="AO196">
        <f t="shared" si="184"/>
        <v>-2.4884751457840966E-3</v>
      </c>
      <c r="AP196" s="41" t="str">
        <f t="shared" si="185"/>
        <v>1,01709520157016-14,9101858499478i</v>
      </c>
      <c r="AQ196">
        <f t="shared" si="186"/>
        <v>23.489823104087137</v>
      </c>
      <c r="AR196" s="43">
        <f t="shared" si="187"/>
        <v>-86.09762583839904</v>
      </c>
      <c r="AS196" t="str">
        <f t="shared" si="164"/>
        <v>-0,0000166666666666667</v>
      </c>
      <c r="AT196" t="str">
        <f t="shared" si="165"/>
        <v>3,79735151853639E-06i</v>
      </c>
      <c r="AU196">
        <f t="shared" si="188"/>
        <v>3.7973515185363899E-6</v>
      </c>
      <c r="AV196">
        <f t="shared" si="189"/>
        <v>1.5707963267948966</v>
      </c>
      <c r="AW196" t="str">
        <f t="shared" si="166"/>
        <v>1+0,00249128188936085i</v>
      </c>
      <c r="AX196">
        <f t="shared" si="190"/>
        <v>1.0000031032379111</v>
      </c>
      <c r="AY196">
        <f t="shared" si="191"/>
        <v>2.4912767353451083E-3</v>
      </c>
      <c r="AZ196" t="str">
        <f t="shared" si="167"/>
        <v>1+0,832918578342976i</v>
      </c>
      <c r="BA196">
        <f t="shared" si="192"/>
        <v>1.3014427986465191</v>
      </c>
      <c r="BB196">
        <f t="shared" si="193"/>
        <v>0.69449345282611319</v>
      </c>
      <c r="BC196" s="41" t="str">
        <f t="shared" si="194"/>
        <v>-3,64474265110411+4,39810400640428i</v>
      </c>
      <c r="BD196">
        <f t="shared" si="195"/>
        <v>15.13583370322301</v>
      </c>
      <c r="BE196" s="43">
        <f t="shared" si="196"/>
        <v>129.64880410386979</v>
      </c>
      <c r="BF196" s="41" t="str">
        <f t="shared" si="197"/>
        <v>18,8085812618817+17,6489505531334i</v>
      </c>
      <c r="BG196" s="20">
        <f t="shared" si="198"/>
        <v>28.22983698149028</v>
      </c>
      <c r="BH196" s="43">
        <f t="shared" si="199"/>
        <v>43.178166524886038</v>
      </c>
      <c r="BI196" s="41" t="str">
        <f t="shared" si="203"/>
        <v>61,8694978614917+58,817080784114i</v>
      </c>
      <c r="BJ196" s="20">
        <f t="shared" si="200"/>
        <v>38.625656807310143</v>
      </c>
      <c r="BK196" s="43">
        <f t="shared" si="204"/>
        <v>43.551178265470774</v>
      </c>
      <c r="BL196">
        <f t="shared" si="201"/>
        <v>28.22983698149028</v>
      </c>
      <c r="BM196" s="43">
        <f t="shared" si="202"/>
        <v>43.178166524886038</v>
      </c>
    </row>
    <row r="197" spans="14:65" x14ac:dyDescent="0.25">
      <c r="N197" s="9">
        <v>79</v>
      </c>
      <c r="O197" s="34">
        <f t="shared" si="205"/>
        <v>616.59500186148273</v>
      </c>
      <c r="P197" s="33" t="str">
        <f t="shared" si="155"/>
        <v>66,7780509511648</v>
      </c>
      <c r="Q197" s="4" t="str">
        <f t="shared" si="156"/>
        <v>1+15,099269977081i</v>
      </c>
      <c r="R197" s="4">
        <f t="shared" si="168"/>
        <v>15.132347928883334</v>
      </c>
      <c r="S197" s="4">
        <f t="shared" si="169"/>
        <v>1.504664535543069</v>
      </c>
      <c r="T197" s="4" t="str">
        <f t="shared" si="157"/>
        <v>1+0,00387418065617644i</v>
      </c>
      <c r="U197" s="4">
        <f t="shared" si="170"/>
        <v>1.0000075046097188</v>
      </c>
      <c r="V197" s="4">
        <f t="shared" si="171"/>
        <v>3.8741612734690587E-3</v>
      </c>
      <c r="W197" t="str">
        <f t="shared" si="158"/>
        <v>1-0,00842778373817158i</v>
      </c>
      <c r="X197" s="4">
        <f t="shared" si="172"/>
        <v>1.0000355131387773</v>
      </c>
      <c r="Y197" s="4">
        <f t="shared" si="173"/>
        <v>-8.4275842117626561E-3</v>
      </c>
      <c r="Z197" t="str">
        <f t="shared" si="159"/>
        <v>0,999999619810604+0,00165648378523432i</v>
      </c>
      <c r="AA197" s="4">
        <f t="shared" si="174"/>
        <v>1.0000009917794499</v>
      </c>
      <c r="AB197" s="4">
        <f t="shared" si="175"/>
        <v>1.6564828999163343E-3</v>
      </c>
      <c r="AC197" s="47" t="str">
        <f t="shared" si="176"/>
        <v>0,264284207517985-4,40519877075395i</v>
      </c>
      <c r="AD197" s="20">
        <f t="shared" si="177"/>
        <v>12.894913446401475</v>
      </c>
      <c r="AE197" s="43">
        <f t="shared" si="178"/>
        <v>-86.566728865333175</v>
      </c>
      <c r="AF197" t="str">
        <f t="shared" si="160"/>
        <v>223,849857273222</v>
      </c>
      <c r="AG197" t="str">
        <f t="shared" si="161"/>
        <v>1+15,2932608801756i</v>
      </c>
      <c r="AH197">
        <f t="shared" si="179"/>
        <v>15.325920146898502</v>
      </c>
      <c r="AI197">
        <f t="shared" si="180"/>
        <v>1.5055010020169943</v>
      </c>
      <c r="AJ197" t="str">
        <f t="shared" si="162"/>
        <v>1+0,00387418065617644i</v>
      </c>
      <c r="AK197">
        <f t="shared" si="181"/>
        <v>1.0000075046097188</v>
      </c>
      <c r="AL197">
        <f t="shared" si="182"/>
        <v>3.8741612734690587E-3</v>
      </c>
      <c r="AM197" t="str">
        <f t="shared" si="163"/>
        <v>1-0,00254644443444084i</v>
      </c>
      <c r="AN197">
        <f t="shared" si="183"/>
        <v>1.000003242184373</v>
      </c>
      <c r="AO197">
        <f t="shared" si="184"/>
        <v>-2.546438930425097E-3</v>
      </c>
      <c r="AP197" s="41" t="str">
        <f t="shared" si="185"/>
        <v>0,972384654196927-14,5737186287809i</v>
      </c>
      <c r="AQ197">
        <f t="shared" si="186"/>
        <v>23.290698613260869</v>
      </c>
      <c r="AR197" s="43">
        <f t="shared" si="187"/>
        <v>-86.182780581668567</v>
      </c>
      <c r="AS197" t="str">
        <f t="shared" si="164"/>
        <v>-0,0000166666666666667</v>
      </c>
      <c r="AT197" t="str">
        <f t="shared" si="165"/>
        <v>3,88580319814497E-06i</v>
      </c>
      <c r="AU197">
        <f t="shared" si="188"/>
        <v>3.8858031981449698E-6</v>
      </c>
      <c r="AV197">
        <f t="shared" si="189"/>
        <v>1.5707963267948966</v>
      </c>
      <c r="AW197" t="str">
        <f t="shared" si="166"/>
        <v>1+0,00254931129917891i</v>
      </c>
      <c r="AX197">
        <f t="shared" si="190"/>
        <v>1.0000032494887705</v>
      </c>
      <c r="AY197">
        <f t="shared" si="191"/>
        <v>2.5493057765525124E-3</v>
      </c>
      <c r="AZ197" t="str">
        <f t="shared" si="167"/>
        <v>1+0,852319744358816i</v>
      </c>
      <c r="BA197">
        <f t="shared" si="192"/>
        <v>1.3139440424248963</v>
      </c>
      <c r="BB197">
        <f t="shared" si="193"/>
        <v>0.70583925468421826</v>
      </c>
      <c r="BC197" s="41" t="str">
        <f t="shared" si="194"/>
        <v>-3,64474158501416+4,29840912412596i</v>
      </c>
      <c r="BD197">
        <f t="shared" si="195"/>
        <v>15.018868142239389</v>
      </c>
      <c r="BE197" s="43">
        <f t="shared" si="196"/>
        <v>130.29554584638063</v>
      </c>
      <c r="BF197" s="41" t="str">
        <f t="shared" si="197"/>
        <v>17,9720989483939+17,1918127989779i</v>
      </c>
      <c r="BG197" s="20">
        <f t="shared" si="198"/>
        <v>27.913781588640859</v>
      </c>
      <c r="BH197" s="43">
        <f t="shared" si="199"/>
        <v>43.72881698104753</v>
      </c>
      <c r="BI197" s="41" t="str">
        <f t="shared" si="203"/>
        <v>59,0997143406151+57,2971454043734i</v>
      </c>
      <c r="BJ197" s="20">
        <f t="shared" si="200"/>
        <v>38.309566755500256</v>
      </c>
      <c r="BK197" s="43">
        <f t="shared" si="204"/>
        <v>44.112765264712088</v>
      </c>
      <c r="BL197">
        <f t="shared" si="201"/>
        <v>27.913781588640859</v>
      </c>
      <c r="BM197" s="43">
        <f t="shared" si="202"/>
        <v>43.72881698104753</v>
      </c>
    </row>
    <row r="198" spans="14:65" x14ac:dyDescent="0.25">
      <c r="N198" s="9">
        <v>80</v>
      </c>
      <c r="O198" s="34">
        <f t="shared" si="205"/>
        <v>630.95734448019323</v>
      </c>
      <c r="P198" s="33" t="str">
        <f t="shared" si="155"/>
        <v>66,7780509511648</v>
      </c>
      <c r="Q198" s="4" t="str">
        <f t="shared" si="156"/>
        <v>1+15,4509771561022i</v>
      </c>
      <c r="R198" s="4">
        <f t="shared" si="168"/>
        <v>15.483303752054729</v>
      </c>
      <c r="S198" s="4">
        <f t="shared" si="169"/>
        <v>1.5061656418311762</v>
      </c>
      <c r="T198" s="4" t="str">
        <f t="shared" si="157"/>
        <v>1+0,003964421916295i</v>
      </c>
      <c r="U198" s="4">
        <f t="shared" si="170"/>
        <v>1.0000078582896887</v>
      </c>
      <c r="V198" s="4">
        <f t="shared" si="171"/>
        <v>3.964401147358668E-3</v>
      </c>
      <c r="W198" t="str">
        <f t="shared" si="158"/>
        <v>1-0,00862409203972867i</v>
      </c>
      <c r="X198" s="4">
        <f t="shared" si="172"/>
        <v>1.0000371867903262</v>
      </c>
      <c r="Y198" s="4">
        <f t="shared" si="173"/>
        <v>-8.6238782437589763E-3</v>
      </c>
      <c r="Z198" t="str">
        <f t="shared" si="159"/>
        <v>0,999999601892829+0,00169506824925697i</v>
      </c>
      <c r="AA198" s="4">
        <f t="shared" si="174"/>
        <v>1.0000010385205538</v>
      </c>
      <c r="AB198" s="4">
        <f t="shared" si="175"/>
        <v>1.6950673006217091E-3</v>
      </c>
      <c r="AC198" s="47" t="str">
        <f t="shared" si="176"/>
        <v>0,251208397214557-4,30577511435475i</v>
      </c>
      <c r="AD198" s="20">
        <f t="shared" si="177"/>
        <v>12.695784335549373</v>
      </c>
      <c r="AE198" s="43">
        <f t="shared" si="178"/>
        <v>-86.661023099217076</v>
      </c>
      <c r="AF198" t="str">
        <f t="shared" si="160"/>
        <v>223,849857273222</v>
      </c>
      <c r="AG198" t="str">
        <f t="shared" si="161"/>
        <v>1+15,6494866878051i</v>
      </c>
      <c r="AH198">
        <f t="shared" si="179"/>
        <v>15.681404069527352</v>
      </c>
      <c r="AI198">
        <f t="shared" si="180"/>
        <v>1.5069832266781957</v>
      </c>
      <c r="AJ198" t="str">
        <f t="shared" si="162"/>
        <v>1+0,003964421916295i</v>
      </c>
      <c r="AK198">
        <f t="shared" si="181"/>
        <v>1.0000078582896887</v>
      </c>
      <c r="AL198">
        <f t="shared" si="182"/>
        <v>3.964401147358668E-3</v>
      </c>
      <c r="AM198" t="str">
        <f t="shared" si="163"/>
        <v>1-0,00260575874499564i</v>
      </c>
      <c r="AN198">
        <f t="shared" si="183"/>
        <v>1.0000033949835556</v>
      </c>
      <c r="AO198">
        <f t="shared" si="184"/>
        <v>-2.6057528473375962E-3</v>
      </c>
      <c r="AP198" s="41" t="str">
        <f t="shared" si="185"/>
        <v>0,929669660838006-14,2447164243629i</v>
      </c>
      <c r="AQ198">
        <f t="shared" si="186"/>
        <v>23.09153526832441</v>
      </c>
      <c r="AR198" s="43">
        <f t="shared" si="187"/>
        <v>-86.265933872233418</v>
      </c>
      <c r="AS198" t="str">
        <f t="shared" si="164"/>
        <v>-0,0000166666666666667</v>
      </c>
      <c r="AT198" t="str">
        <f t="shared" si="165"/>
        <v>3,97631518204388E-06i</v>
      </c>
      <c r="AU198">
        <f t="shared" si="188"/>
        <v>3.9763151820438803E-6</v>
      </c>
      <c r="AV198">
        <f t="shared" si="189"/>
        <v>1.5707963267948966</v>
      </c>
      <c r="AW198" t="str">
        <f t="shared" si="166"/>
        <v>1+0,00260869238759192i</v>
      </c>
      <c r="AX198">
        <f t="shared" si="190"/>
        <v>1.0000034026321976</v>
      </c>
      <c r="AY198">
        <f t="shared" si="191"/>
        <v>2.6086864699922073E-3</v>
      </c>
      <c r="AZ198" t="str">
        <f t="shared" si="167"/>
        <v>1+0,872172821584899i</v>
      </c>
      <c r="BA198">
        <f t="shared" si="192"/>
        <v>1.3269082224145587</v>
      </c>
      <c r="BB198">
        <f t="shared" si="193"/>
        <v>0.71722652059963954</v>
      </c>
      <c r="BC198" s="41" t="str">
        <f t="shared" si="194"/>
        <v>-3,64474046868161+4,20099331500522i</v>
      </c>
      <c r="BD198">
        <f t="shared" si="195"/>
        <v>14.904147115477155</v>
      </c>
      <c r="BE198" s="43">
        <f t="shared" si="196"/>
        <v>130.94458586040875</v>
      </c>
      <c r="BF198" s="41" t="str">
        <f t="shared" si="197"/>
        <v>17,1729430599196+16,7487576057025i</v>
      </c>
      <c r="BG198" s="20">
        <f t="shared" si="198"/>
        <v>27.599931451026535</v>
      </c>
      <c r="BH198" s="43">
        <f t="shared" si="199"/>
        <v>44.283562761191725</v>
      </c>
      <c r="BI198" s="41" t="str">
        <f t="shared" si="203"/>
        <v>56,4535538375318+55,8238304471127i</v>
      </c>
      <c r="BJ198" s="20">
        <f t="shared" si="200"/>
        <v>37.995682383801565</v>
      </c>
      <c r="BK198" s="43">
        <f t="shared" si="204"/>
        <v>44.678651988175332</v>
      </c>
      <c r="BL198">
        <f t="shared" si="201"/>
        <v>27.599931451026535</v>
      </c>
      <c r="BM198" s="43">
        <f t="shared" si="202"/>
        <v>44.283562761191725</v>
      </c>
    </row>
    <row r="199" spans="14:65" x14ac:dyDescent="0.25">
      <c r="N199" s="9">
        <v>81</v>
      </c>
      <c r="O199" s="34">
        <f t="shared" si="205"/>
        <v>645.65422903465594</v>
      </c>
      <c r="P199" s="33" t="str">
        <f t="shared" si="155"/>
        <v>66,7780509511648</v>
      </c>
      <c r="Q199" s="4" t="str">
        <f t="shared" si="156"/>
        <v>1+15,8108766477294i</v>
      </c>
      <c r="R199" s="4">
        <f t="shared" si="168"/>
        <v>15.842468884921784</v>
      </c>
      <c r="S199" s="4">
        <f t="shared" si="169"/>
        <v>1.507632860662163</v>
      </c>
      <c r="T199" s="4" t="str">
        <f t="shared" si="157"/>
        <v>1+0,00405676516538891i</v>
      </c>
      <c r="U199" s="4">
        <f t="shared" si="170"/>
        <v>1.0000082286379484</v>
      </c>
      <c r="V199" s="4">
        <f t="shared" si="171"/>
        <v>4.0567429110825717E-3</v>
      </c>
      <c r="W199" t="str">
        <f t="shared" si="158"/>
        <v>1-0,00882497294903858i</v>
      </c>
      <c r="X199" s="4">
        <f t="shared" si="172"/>
        <v>1.0000389393156404</v>
      </c>
      <c r="Y199" s="4">
        <f t="shared" si="173"/>
        <v>-8.8247438630114361E-3</v>
      </c>
      <c r="Z199" t="str">
        <f t="shared" si="159"/>
        <v>0,999999583130617+0,00173455146090227i</v>
      </c>
      <c r="AA199" s="4">
        <f t="shared" si="174"/>
        <v>1.000001087464498</v>
      </c>
      <c r="AB199" s="4">
        <f t="shared" si="175"/>
        <v>1.7345504444213297E-3</v>
      </c>
      <c r="AC199" s="47" t="str">
        <f t="shared" si="176"/>
        <v>0,238716294433082-4,20855854286289i</v>
      </c>
      <c r="AD199" s="20">
        <f t="shared" si="177"/>
        <v>12.496617769834995</v>
      </c>
      <c r="AE199" s="43">
        <f t="shared" si="178"/>
        <v>-86.753568722254613</v>
      </c>
      <c r="AF199" t="str">
        <f t="shared" si="160"/>
        <v>223,849857273222</v>
      </c>
      <c r="AG199" t="str">
        <f t="shared" si="161"/>
        <v>1+16,0140100604219i</v>
      </c>
      <c r="AH199">
        <f t="shared" si="179"/>
        <v>16.045202342609883</v>
      </c>
      <c r="AI199">
        <f t="shared" si="180"/>
        <v>1.5084319831459394</v>
      </c>
      <c r="AJ199" t="str">
        <f t="shared" si="162"/>
        <v>1+0,00405676516538891i</v>
      </c>
      <c r="AK199">
        <f t="shared" si="181"/>
        <v>1.0000082286379484</v>
      </c>
      <c r="AL199">
        <f t="shared" si="182"/>
        <v>4.0567429110825717E-3</v>
      </c>
      <c r="AM199" t="str">
        <f t="shared" si="163"/>
        <v>1-0,00266645466332833i</v>
      </c>
      <c r="AN199">
        <f t="shared" si="183"/>
        <v>1.0000035549839168</v>
      </c>
      <c r="AO199">
        <f t="shared" si="184"/>
        <v>-2.6664483438750938E-3</v>
      </c>
      <c r="AP199" s="41" t="str">
        <f t="shared" si="185"/>
        <v>0,888861871978953-13,9230221527447i</v>
      </c>
      <c r="AQ199">
        <f t="shared" si="186"/>
        <v>22.892334821938856</v>
      </c>
      <c r="AR199" s="43">
        <f t="shared" si="187"/>
        <v>-86.34712830583031</v>
      </c>
      <c r="AS199" t="str">
        <f t="shared" si="164"/>
        <v>-0,0000166666666666667</v>
      </c>
      <c r="AT199" t="str">
        <f t="shared" si="165"/>
        <v>4,06893546088508E-06i</v>
      </c>
      <c r="AU199">
        <f t="shared" si="188"/>
        <v>4.0689354608850804E-6</v>
      </c>
      <c r="AV199">
        <f t="shared" si="189"/>
        <v>1.5707963267948966</v>
      </c>
      <c r="AW199" t="str">
        <f t="shared" si="166"/>
        <v>1+0,00266945663923896i</v>
      </c>
      <c r="AX199">
        <f t="shared" si="190"/>
        <v>1.0000035629930271</v>
      </c>
      <c r="AY199">
        <f t="shared" si="191"/>
        <v>2.6694502984178472E-3</v>
      </c>
      <c r="AZ199" t="str">
        <f t="shared" si="167"/>
        <v>1+0,892488336385559i</v>
      </c>
      <c r="BA199">
        <f t="shared" si="192"/>
        <v>1.3403489958157402</v>
      </c>
      <c r="BB199">
        <f t="shared" si="193"/>
        <v>0.72864947644700095</v>
      </c>
      <c r="BC199" s="41" t="str">
        <f t="shared" si="194"/>
        <v>-3,64473929973864+4,10580492787223i</v>
      </c>
      <c r="BD199">
        <f t="shared" si="195"/>
        <v>14.791685883194415</v>
      </c>
      <c r="BE199" s="43">
        <f t="shared" si="196"/>
        <v>131.5955915091109</v>
      </c>
      <c r="BF199" s="41" t="str">
        <f t="shared" si="197"/>
        <v>16,409461744717+16,3192212544699i</v>
      </c>
      <c r="BG199" s="20">
        <f t="shared" si="198"/>
        <v>27.288303653029409</v>
      </c>
      <c r="BH199" s="43">
        <f t="shared" si="199"/>
        <v>44.842022786856262</v>
      </c>
      <c r="BI199" s="41" t="str">
        <f t="shared" si="203"/>
        <v>53,9255431687725+54,3952794654092i</v>
      </c>
      <c r="BJ199" s="20">
        <f t="shared" si="200"/>
        <v>37.684020705133271</v>
      </c>
      <c r="BK199" s="43">
        <f t="shared" si="204"/>
        <v>45.248463203280572</v>
      </c>
      <c r="BL199">
        <f t="shared" si="201"/>
        <v>27.288303653029409</v>
      </c>
      <c r="BM199" s="43">
        <f t="shared" si="202"/>
        <v>44.842022786856262</v>
      </c>
    </row>
    <row r="200" spans="14:65" x14ac:dyDescent="0.25">
      <c r="N200" s="9">
        <v>82</v>
      </c>
      <c r="O200" s="34">
        <f t="shared" si="205"/>
        <v>660.69344800759643</v>
      </c>
      <c r="P200" s="33" t="str">
        <f t="shared" si="155"/>
        <v>66,7780509511648</v>
      </c>
      <c r="Q200" s="4" t="str">
        <f t="shared" si="156"/>
        <v>1+16,1791592754369i</v>
      </c>
      <c r="R200" s="4">
        <f t="shared" si="168"/>
        <v>16.210033771092391</v>
      </c>
      <c r="S200" s="4">
        <f t="shared" si="169"/>
        <v>1.509066944692409</v>
      </c>
      <c r="T200" s="4" t="str">
        <f t="shared" si="157"/>
        <v>1+0,00415125936507115i</v>
      </c>
      <c r="U200" s="4">
        <f t="shared" si="170"/>
        <v>1.0000086164400366</v>
      </c>
      <c r="V200" s="4">
        <f t="shared" si="171"/>
        <v>4.1512355191633803E-3</v>
      </c>
      <c r="W200" t="str">
        <f t="shared" si="158"/>
        <v>1-0,0090305329758184i</v>
      </c>
      <c r="X200" s="4">
        <f t="shared" si="172"/>
        <v>1.0000407744316366</v>
      </c>
      <c r="Y200" s="4">
        <f t="shared" si="173"/>
        <v>-9.0302875062582971E-3</v>
      </c>
      <c r="Z200" t="str">
        <f t="shared" si="159"/>
        <v>0,999999563484168+0,00177495435469164i</v>
      </c>
      <c r="AA200" s="4">
        <f t="shared" si="174"/>
        <v>1.0000011387150955</v>
      </c>
      <c r="AB200" s="4">
        <f t="shared" si="175"/>
        <v>1.7749532655127534E-3</v>
      </c>
      <c r="AC200" s="47" t="str">
        <f t="shared" si="176"/>
        <v>0,226782047861171-4,11350253643185i</v>
      </c>
      <c r="AD200" s="20">
        <f t="shared" si="177"/>
        <v>12.297415495960015</v>
      </c>
      <c r="AE200" s="43">
        <f t="shared" si="178"/>
        <v>-86.844413351409358</v>
      </c>
      <c r="AF200" t="str">
        <f t="shared" si="160"/>
        <v>223,849857273222</v>
      </c>
      <c r="AG200" t="str">
        <f t="shared" si="161"/>
        <v>1+16,3870242731433i</v>
      </c>
      <c r="AH200">
        <f t="shared" si="179"/>
        <v>16.417507865951752</v>
      </c>
      <c r="AI200">
        <f t="shared" si="180"/>
        <v>1.5098480152300569</v>
      </c>
      <c r="AJ200" t="str">
        <f t="shared" si="162"/>
        <v>1+0,00415125936507115i</v>
      </c>
      <c r="AK200">
        <f t="shared" si="181"/>
        <v>1.0000086164400366</v>
      </c>
      <c r="AL200">
        <f t="shared" si="182"/>
        <v>4.1512355191633803E-3</v>
      </c>
      <c r="AM200" t="str">
        <f t="shared" si="163"/>
        <v>1-0,00272856437121822i</v>
      </c>
      <c r="AN200">
        <f t="shared" si="183"/>
        <v>1.0000037225248353</v>
      </c>
      <c r="AO200">
        <f t="shared" si="184"/>
        <v>-2.7285575998034404E-3</v>
      </c>
      <c r="AP200" s="41" t="str">
        <f t="shared" si="185"/>
        <v>0,849876786694533-13,608481461427i</v>
      </c>
      <c r="AQ200">
        <f t="shared" si="186"/>
        <v>22.693098949993438</v>
      </c>
      <c r="AR200" s="43">
        <f t="shared" si="187"/>
        <v>-86.426405538500504</v>
      </c>
      <c r="AS200" t="str">
        <f t="shared" si="164"/>
        <v>-0,0000166666666666667</v>
      </c>
      <c r="AT200" t="str">
        <f t="shared" si="165"/>
        <v>4,16371314316636E-06i</v>
      </c>
      <c r="AU200">
        <f t="shared" si="188"/>
        <v>4.1637131431663602E-6</v>
      </c>
      <c r="AV200">
        <f t="shared" si="189"/>
        <v>1.5707963267948966</v>
      </c>
      <c r="AW200" t="str">
        <f t="shared" si="166"/>
        <v>1+0,00273163627213057i</v>
      </c>
      <c r="AX200">
        <f t="shared" si="190"/>
        <v>1.0000037309114018</v>
      </c>
      <c r="AY200">
        <f t="shared" si="191"/>
        <v>2.7316294778197059E-3</v>
      </c>
      <c r="AZ200" t="str">
        <f t="shared" si="167"/>
        <v>1+0,913277060315652i</v>
      </c>
      <c r="BA200">
        <f t="shared" si="192"/>
        <v>1.3542802475480469</v>
      </c>
      <c r="BB200">
        <f t="shared" si="193"/>
        <v>0.74010225566269716</v>
      </c>
      <c r="BC200" s="41" t="str">
        <f t="shared" si="194"/>
        <v>-3,64473807570592+4,01279349256456i</v>
      </c>
      <c r="BD200">
        <f t="shared" si="195"/>
        <v>14.681497443296267</v>
      </c>
      <c r="BE200" s="43">
        <f t="shared" si="196"/>
        <v>132.24822481731218</v>
      </c>
      <c r="BF200" s="41" t="str">
        <f t="shared" si="197"/>
        <v>15,6800750451154+15,9026688449338i</v>
      </c>
      <c r="BG200" s="20">
        <f t="shared" si="198"/>
        <v>26.97891293925629</v>
      </c>
      <c r="BH200" s="43">
        <f t="shared" si="199"/>
        <v>45.403811465902741</v>
      </c>
      <c r="BI200" s="41" t="str">
        <f t="shared" si="203"/>
        <v>51,5104475679756+53,0097305741306i</v>
      </c>
      <c r="BJ200" s="20">
        <f t="shared" si="200"/>
        <v>37.374596393289707</v>
      </c>
      <c r="BK200" s="43">
        <f t="shared" si="204"/>
        <v>45.821819278811631</v>
      </c>
      <c r="BL200">
        <f t="shared" si="201"/>
        <v>26.97891293925629</v>
      </c>
      <c r="BM200" s="43">
        <f t="shared" si="202"/>
        <v>45.403811465902741</v>
      </c>
    </row>
    <row r="201" spans="14:65" x14ac:dyDescent="0.25">
      <c r="N201" s="9">
        <v>83</v>
      </c>
      <c r="O201" s="34">
        <f t="shared" si="205"/>
        <v>676.08297539198213</v>
      </c>
      <c r="P201" s="33" t="str">
        <f t="shared" si="155"/>
        <v>66,7780509511648</v>
      </c>
      <c r="Q201" s="4" t="str">
        <f t="shared" si="156"/>
        <v>1+16,5560203075488i</v>
      </c>
      <c r="R201" s="4">
        <f t="shared" si="168"/>
        <v>16.586193307204891</v>
      </c>
      <c r="S201" s="4">
        <f t="shared" si="169"/>
        <v>1.5104686306842738</v>
      </c>
      <c r="T201" s="4" t="str">
        <f t="shared" si="157"/>
        <v>1+0,00424795461741716i</v>
      </c>
      <c r="U201" s="4">
        <f t="shared" si="170"/>
        <v>1.000009022518513</v>
      </c>
      <c r="V201" s="4">
        <f t="shared" si="171"/>
        <v>4.2479290660790842E-3</v>
      </c>
      <c r="W201" t="str">
        <f t="shared" si="158"/>
        <v>1-0,00924088111071524i</v>
      </c>
      <c r="X201" s="4">
        <f t="shared" si="172"/>
        <v>1.0000426960303757</v>
      </c>
      <c r="Y201" s="4">
        <f t="shared" si="173"/>
        <v>-9.2406180859492398E-3</v>
      </c>
      <c r="Z201" t="str">
        <f t="shared" si="159"/>
        <v>0,99999954291181+0,00181629835277416i</v>
      </c>
      <c r="AA201" s="4">
        <f t="shared" si="174"/>
        <v>1.0000011923810566</v>
      </c>
      <c r="AB201" s="4">
        <f t="shared" si="175"/>
        <v>1.8162971856980289E-3</v>
      </c>
      <c r="AC201" s="47" t="str">
        <f t="shared" si="176"/>
        <v>0,215380933056607-4,02056138965042i</v>
      </c>
      <c r="AD201" s="20">
        <f t="shared" si="177"/>
        <v>12.098179186732246</v>
      </c>
      <c r="AE201" s="43">
        <f t="shared" si="178"/>
        <v>-86.933603797455376</v>
      </c>
      <c r="AF201" t="str">
        <f t="shared" si="160"/>
        <v>223,849857273222</v>
      </c>
      <c r="AG201" t="str">
        <f t="shared" si="161"/>
        <v>1+16,7687271030421i</v>
      </c>
      <c r="AH201">
        <f t="shared" si="179"/>
        <v>16.798518049408365</v>
      </c>
      <c r="AI201">
        <f t="shared" si="180"/>
        <v>1.5112320510018613</v>
      </c>
      <c r="AJ201" t="str">
        <f t="shared" si="162"/>
        <v>1+0,00424795461741716i</v>
      </c>
      <c r="AK201">
        <f t="shared" si="181"/>
        <v>1.000009022518513</v>
      </c>
      <c r="AL201">
        <f t="shared" si="182"/>
        <v>4.2479290660790842E-3</v>
      </c>
      <c r="AM201" t="str">
        <f t="shared" si="163"/>
        <v>1-0,00279212080005454i</v>
      </c>
      <c r="AN201">
        <f t="shared" si="183"/>
        <v>1.0000038979616839</v>
      </c>
      <c r="AO201">
        <f t="shared" si="184"/>
        <v>-2.7921135443544072E-3</v>
      </c>
      <c r="AP201" s="41" t="str">
        <f t="shared" si="185"/>
        <v>0,812633590533506-13,3009427221915i</v>
      </c>
      <c r="AQ201">
        <f t="shared" si="186"/>
        <v>22.49382925499259</v>
      </c>
      <c r="AR201" s="43">
        <f t="shared" si="187"/>
        <v>-86.503806302161365</v>
      </c>
      <c r="AS201" t="str">
        <f t="shared" si="164"/>
        <v>-0,0000166666666666667</v>
      </c>
      <c r="AT201" t="str">
        <f t="shared" si="165"/>
        <v>4,26069848126941E-06i</v>
      </c>
      <c r="AU201">
        <f t="shared" si="188"/>
        <v>4.2606984812694103E-6</v>
      </c>
      <c r="AV201">
        <f t="shared" si="189"/>
        <v>1.5707963267948966</v>
      </c>
      <c r="AW201" t="str">
        <f t="shared" si="166"/>
        <v>1+0,00279526425473113i</v>
      </c>
      <c r="AX201">
        <f t="shared" si="190"/>
        <v>1.0000039067434956</v>
      </c>
      <c r="AY201">
        <f t="shared" si="191"/>
        <v>2.7952569744974089E-3</v>
      </c>
      <c r="AZ201" t="str">
        <f t="shared" si="167"/>
        <v>1+0,934550015831774i</v>
      </c>
      <c r="BA201">
        <f t="shared" si="192"/>
        <v>1.3687160889282952</v>
      </c>
      <c r="BB201">
        <f t="shared" si="193"/>
        <v>0.75157891390481102</v>
      </c>
      <c r="BC201" s="41" t="str">
        <f t="shared" si="194"/>
        <v>-3,64473679398719+3,92190969316701i</v>
      </c>
      <c r="BD201">
        <f t="shared" si="195"/>
        <v>14.57359247753903</v>
      </c>
      <c r="BE201" s="43">
        <f t="shared" si="196"/>
        <v>132.90214331047875</v>
      </c>
      <c r="BF201" s="41" t="str">
        <f t="shared" si="197"/>
        <v>14,9832718746083+15,4985925984212i</v>
      </c>
      <c r="BG201" s="20">
        <f t="shared" si="198"/>
        <v>26.671771664271269</v>
      </c>
      <c r="BH201" s="43">
        <f t="shared" si="199"/>
        <v>45.968539513023337</v>
      </c>
      <c r="BI201" s="41" t="str">
        <f t="shared" si="203"/>
        <v>49,2032606429746+51,665510889994i</v>
      </c>
      <c r="BJ201" s="20">
        <f t="shared" si="200"/>
        <v>37.067421732531621</v>
      </c>
      <c r="BK201" s="43">
        <f t="shared" si="204"/>
        <v>46.398337008317426</v>
      </c>
      <c r="BL201">
        <f t="shared" si="201"/>
        <v>26.671771664271269</v>
      </c>
      <c r="BM201" s="43">
        <f t="shared" si="202"/>
        <v>45.968539513023337</v>
      </c>
    </row>
    <row r="202" spans="14:65" x14ac:dyDescent="0.25">
      <c r="N202" s="9">
        <v>84</v>
      </c>
      <c r="O202" s="34">
        <f t="shared" si="205"/>
        <v>691.83097091893671</v>
      </c>
      <c r="P202" s="33" t="str">
        <f t="shared" si="155"/>
        <v>66,7780509511648</v>
      </c>
      <c r="Q202" s="4" t="str">
        <f t="shared" si="156"/>
        <v>1+16,9416595607725i</v>
      </c>
      <c r="R202" s="4">
        <f t="shared" si="168"/>
        <v>16.971146946306082</v>
      </c>
      <c r="S202" s="4">
        <f t="shared" si="169"/>
        <v>1.5118386397863786</v>
      </c>
      <c r="T202" s="4" t="str">
        <f t="shared" si="157"/>
        <v>1+0,00434690219152965i</v>
      </c>
      <c r="U202" s="4">
        <f t="shared" si="170"/>
        <v>1.0000094477347015</v>
      </c>
      <c r="V202" s="4">
        <f t="shared" si="171"/>
        <v>4.3468748127915976E-3</v>
      </c>
      <c r="W202" t="str">
        <f t="shared" si="158"/>
        <v>1-0,00945612888309449i</v>
      </c>
      <c r="X202" s="4">
        <f t="shared" si="172"/>
        <v>1.0000447081873158</v>
      </c>
      <c r="Y202" s="4">
        <f t="shared" si="173"/>
        <v>-9.4558470476604622E-3</v>
      </c>
      <c r="Z202" t="str">
        <f t="shared" si="159"/>
        <v>0,999999521369908+0,00185860537628487i</v>
      </c>
      <c r="AA202" s="4">
        <f t="shared" si="174"/>
        <v>1.0000012485762155</v>
      </c>
      <c r="AB202" s="4">
        <f t="shared" si="175"/>
        <v>1.8586041257403442E-3</v>
      </c>
      <c r="AC202" s="47" t="str">
        <f t="shared" si="176"/>
        <v>0,20448930491206-3,92969020894467i</v>
      </c>
      <c r="AD202" s="20">
        <f t="shared" si="177"/>
        <v>11.898910444452316</v>
      </c>
      <c r="AE202" s="43">
        <f t="shared" si="178"/>
        <v>-87.021186083456669</v>
      </c>
      <c r="AF202" t="str">
        <f t="shared" si="160"/>
        <v>223,849857273222</v>
      </c>
      <c r="AG202" t="str">
        <f t="shared" si="161"/>
        <v>1+17,1593209340113i</v>
      </c>
      <c r="AH202">
        <f t="shared" si="179"/>
        <v>17.188434917594986</v>
      </c>
      <c r="AI202">
        <f t="shared" si="180"/>
        <v>1.5125848030738844</v>
      </c>
      <c r="AJ202" t="str">
        <f t="shared" si="162"/>
        <v>1+0,00434690219152965i</v>
      </c>
      <c r="AK202">
        <f t="shared" si="181"/>
        <v>1.0000094477347015</v>
      </c>
      <c r="AL202">
        <f t="shared" si="182"/>
        <v>4.3468748127915976E-3</v>
      </c>
      <c r="AM202" t="str">
        <f t="shared" si="163"/>
        <v>1-0,00285715764829715i</v>
      </c>
      <c r="AN202">
        <f t="shared" si="183"/>
        <v>1.0000040816665836</v>
      </c>
      <c r="AO202">
        <f t="shared" si="184"/>
        <v>-2.8571498736760983E-3</v>
      </c>
      <c r="AP202" s="41" t="str">
        <f t="shared" si="185"/>
        <v>0,777054999741546-13,0002570205671i</v>
      </c>
      <c r="AQ202">
        <f t="shared" si="186"/>
        <v>22.294527269300801</v>
      </c>
      <c r="AR202" s="43">
        <f t="shared" si="187"/>
        <v>-86.579370420113634</v>
      </c>
      <c r="AS202" t="str">
        <f t="shared" si="164"/>
        <v>-0,0000166666666666667</v>
      </c>
      <c r="AT202" t="str">
        <f t="shared" si="165"/>
        <v>4,35994289810424E-06i</v>
      </c>
      <c r="AU202">
        <f t="shared" si="188"/>
        <v>4.35994289810424E-6</v>
      </c>
      <c r="AV202">
        <f t="shared" si="189"/>
        <v>1.5707963267948966</v>
      </c>
      <c r="AW202" t="str">
        <f t="shared" si="166"/>
        <v>1+0,00286037432343925i</v>
      </c>
      <c r="AX202">
        <f t="shared" si="190"/>
        <v>1.0000040908622676</v>
      </c>
      <c r="AY202">
        <f t="shared" si="191"/>
        <v>2.860366522529995E-3</v>
      </c>
      <c r="AZ202" t="str">
        <f t="shared" si="167"/>
        <v>1+0,956318482136522i</v>
      </c>
      <c r="BA202">
        <f t="shared" si="192"/>
        <v>1.3836708565536464</v>
      </c>
      <c r="BB202">
        <f t="shared" si="193"/>
        <v>0.76307344420390499</v>
      </c>
      <c r="BC202" s="41" t="str">
        <f t="shared" si="194"/>
        <v>-3,64473545186387+3,83310534186361i</v>
      </c>
      <c r="BD202">
        <f t="shared" si="195"/>
        <v>14.46797930696804</v>
      </c>
      <c r="BE202" s="43">
        <f t="shared" si="196"/>
        <v>133.55700088179364</v>
      </c>
      <c r="BF202" s="41" t="str">
        <f t="shared" si="197"/>
        <v>14,317607112635+15,1065102663954i</v>
      </c>
      <c r="BG202" s="20">
        <f t="shared" si="198"/>
        <v>26.366889751420377</v>
      </c>
      <c r="BH202" s="43">
        <f t="shared" si="199"/>
        <v>46.535814798336972</v>
      </c>
      <c r="BI202" s="41" t="str">
        <f t="shared" si="203"/>
        <v>46,9991947255296+50,3610313166342i</v>
      </c>
      <c r="BJ202" s="20">
        <f t="shared" si="200"/>
        <v>36.762506576268841</v>
      </c>
      <c r="BK202" s="43">
        <f t="shared" si="204"/>
        <v>46.977630461680015</v>
      </c>
      <c r="BL202">
        <f t="shared" si="201"/>
        <v>26.366889751420377</v>
      </c>
      <c r="BM202" s="43">
        <f t="shared" si="202"/>
        <v>46.535814798336972</v>
      </c>
    </row>
    <row r="203" spans="14:65" x14ac:dyDescent="0.25">
      <c r="N203" s="9">
        <v>85</v>
      </c>
      <c r="O203" s="34">
        <f t="shared" si="205"/>
        <v>707.94578438413873</v>
      </c>
      <c r="P203" s="33" t="str">
        <f t="shared" si="155"/>
        <v>66,7780509511648</v>
      </c>
      <c r="Q203" s="4" t="str">
        <f t="shared" si="156"/>
        <v>1+17,3362815061448i</v>
      </c>
      <c r="R203" s="4">
        <f t="shared" si="168"/>
        <v>17.365098803643424</v>
      </c>
      <c r="S203" s="4">
        <f t="shared" si="169"/>
        <v>1.5131776778128248</v>
      </c>
      <c r="T203" s="4" t="str">
        <f t="shared" si="157"/>
        <v>1+0,00444815455072215i</v>
      </c>
      <c r="U203" s="4">
        <f t="shared" si="170"/>
        <v>1.0000098929905179</v>
      </c>
      <c r="V203" s="4">
        <f t="shared" si="171"/>
        <v>4.4481252138914486E-3</v>
      </c>
      <c r="W203" t="str">
        <f t="shared" si="158"/>
        <v>1-0,00967639042017424i</v>
      </c>
      <c r="X203" s="4">
        <f t="shared" si="172"/>
        <v>1.0000468151699518</v>
      </c>
      <c r="Y203" s="4">
        <f t="shared" si="173"/>
        <v>-9.6760884288293065E-3</v>
      </c>
      <c r="Z203" t="str">
        <f t="shared" si="159"/>
        <v>0,999999498812766+0,00190189785696765i</v>
      </c>
      <c r="AA203" s="4">
        <f t="shared" si="174"/>
        <v>1.000001307419766</v>
      </c>
      <c r="AB203" s="4">
        <f t="shared" si="175"/>
        <v>1.9018965169851404E-3</v>
      </c>
      <c r="AC203" s="47" t="str">
        <f t="shared" si="176"/>
        <v>0,194084551984425-3,84084490901626i</v>
      </c>
      <c r="AD203" s="20">
        <f t="shared" si="177"/>
        <v>11.699610804164722</v>
      </c>
      <c r="AE203" s="43">
        <f t="shared" si="178"/>
        <v>-87.107205463241002</v>
      </c>
      <c r="AF203" t="str">
        <f t="shared" si="160"/>
        <v>223,849857273222</v>
      </c>
      <c r="AG203" t="str">
        <f t="shared" si="161"/>
        <v>1+17,5590128640703i</v>
      </c>
      <c r="AH203">
        <f t="shared" si="179"/>
        <v>17.587465217039842</v>
      </c>
      <c r="AI203">
        <f t="shared" si="180"/>
        <v>1.513906968878364</v>
      </c>
      <c r="AJ203" t="str">
        <f t="shared" si="162"/>
        <v>1+0,00444815455072215i</v>
      </c>
      <c r="AK203">
        <f t="shared" si="181"/>
        <v>1.0000098929905179</v>
      </c>
      <c r="AL203">
        <f t="shared" si="182"/>
        <v>4.4481252138914486E-3</v>
      </c>
      <c r="AM203" t="str">
        <f t="shared" si="163"/>
        <v>1-0,00292370939934383i</v>
      </c>
      <c r="AN203">
        <f t="shared" si="183"/>
        <v>1.0000042740291923</v>
      </c>
      <c r="AO203">
        <f t="shared" si="184"/>
        <v>-2.9237010686892057E-3</v>
      </c>
      <c r="AP203" s="41" t="str">
        <f t="shared" si="185"/>
        <v>0,743067111619181-12,7062781422319i</v>
      </c>
      <c r="AQ203">
        <f t="shared" si="186"/>
        <v>22.095194458253534</v>
      </c>
      <c r="AR203" s="43">
        <f t="shared" si="187"/>
        <v>-86.653136822465598</v>
      </c>
      <c r="AS203" t="str">
        <f t="shared" si="164"/>
        <v>-0,0000166666666666667</v>
      </c>
      <c r="AT203" t="str">
        <f t="shared" si="165"/>
        <v>4,46149901437432E-06i</v>
      </c>
      <c r="AU203">
        <f t="shared" si="188"/>
        <v>4.4614990143743204E-6</v>
      </c>
      <c r="AV203">
        <f t="shared" si="189"/>
        <v>1.5707963267948966</v>
      </c>
      <c r="AW203" t="str">
        <f t="shared" si="166"/>
        <v>1+0,00292700100047519i</v>
      </c>
      <c r="AX203">
        <f t="shared" si="190"/>
        <v>1.0000042836582537</v>
      </c>
      <c r="AY203">
        <f t="shared" si="191"/>
        <v>2.9269926416522585E-3</v>
      </c>
      <c r="AZ203" t="str">
        <f t="shared" si="167"/>
        <v>1+0,978594001158872i</v>
      </c>
      <c r="BA203">
        <f t="shared" si="192"/>
        <v>1.3991591114323383</v>
      </c>
      <c r="BB203">
        <f t="shared" si="193"/>
        <v>0.77457979251233877</v>
      </c>
      <c r="BC203" s="41" t="str">
        <f t="shared" si="194"/>
        <v>-3,64473404648931+3,74633335338764i</v>
      </c>
      <c r="BD203">
        <f t="shared" si="195"/>
        <v>14.364663856980386</v>
      </c>
      <c r="BE203" s="43">
        <f t="shared" si="196"/>
        <v>134.2124486820436</v>
      </c>
      <c r="BF203" s="41" t="str">
        <f t="shared" si="197"/>
        <v>13,6816988133215+14,7259636376532i</v>
      </c>
      <c r="BG203" s="20">
        <f t="shared" si="198"/>
        <v>26.064274661145102</v>
      </c>
      <c r="BH203" s="43">
        <f t="shared" si="199"/>
        <v>47.105243218802457</v>
      </c>
      <c r="BI203" s="41" t="str">
        <f t="shared" si="203"/>
        <v>44,8936716011188+49,0947816532199i</v>
      </c>
      <c r="BJ203" s="20">
        <f t="shared" si="200"/>
        <v>36.459858315233916</v>
      </c>
      <c r="BK203" s="43">
        <f t="shared" si="204"/>
        <v>47.55931185957801</v>
      </c>
      <c r="BL203">
        <f t="shared" si="201"/>
        <v>26.064274661145102</v>
      </c>
      <c r="BM203" s="43">
        <f t="shared" si="202"/>
        <v>47.105243218802457</v>
      </c>
    </row>
    <row r="204" spans="14:65" x14ac:dyDescent="0.25">
      <c r="N204" s="9">
        <v>86</v>
      </c>
      <c r="O204" s="34">
        <f t="shared" si="205"/>
        <v>724.43596007499025</v>
      </c>
      <c r="P204" s="33" t="str">
        <f t="shared" si="155"/>
        <v>66,7780509511648</v>
      </c>
      <c r="Q204" s="4" t="str">
        <f t="shared" si="156"/>
        <v>1+17,7400953774444i</v>
      </c>
      <c r="R204" s="4">
        <f t="shared" si="168"/>
        <v>17.768257764925188</v>
      </c>
      <c r="S204" s="4">
        <f t="shared" si="169"/>
        <v>1.5144864355210295</v>
      </c>
      <c r="T204" s="4" t="str">
        <f t="shared" si="157"/>
        <v>1+0,00455176538033572i</v>
      </c>
      <c r="U204" s="4">
        <f t="shared" si="170"/>
        <v>1.000010359230382</v>
      </c>
      <c r="V204" s="4">
        <f t="shared" si="171"/>
        <v>4.551733945372856E-3</v>
      </c>
      <c r="W204" t="str">
        <f t="shared" si="158"/>
        <v>1-0,00990178250753692i</v>
      </c>
      <c r="X204" s="4">
        <f t="shared" si="172"/>
        <v>1.0000490214468623</v>
      </c>
      <c r="Y204" s="4">
        <f t="shared" si="173"/>
        <v>-9.9014589188374958E-3</v>
      </c>
      <c r="Z204" t="str">
        <f t="shared" si="159"/>
        <v>0,99999947519254+0,00194619874906878i</v>
      </c>
      <c r="AA204" s="4">
        <f t="shared" si="174"/>
        <v>1.0000013690365259</v>
      </c>
      <c r="AB204" s="4">
        <f t="shared" si="175"/>
        <v>1.9461973132517522E-3</v>
      </c>
      <c r="AC204" s="47" t="str">
        <f t="shared" si="176"/>
        <v>0,184145052628401-3,75398220840323i</v>
      </c>
      <c r="AD204" s="20">
        <f t="shared" si="177"/>
        <v>11.500281736779536</v>
      </c>
      <c r="AE204" s="43">
        <f t="shared" si="178"/>
        <v>-87.191706439851174</v>
      </c>
      <c r="AF204" t="str">
        <f t="shared" si="160"/>
        <v>223,849857273222</v>
      </c>
      <c r="AG204" t="str">
        <f t="shared" si="161"/>
        <v>1+17,9680148151707i</v>
      </c>
      <c r="AH204">
        <f t="shared" si="179"/>
        <v>17.995820525838599</v>
      </c>
      <c r="AI204">
        <f t="shared" si="180"/>
        <v>1.5151992309441868</v>
      </c>
      <c r="AJ204" t="str">
        <f t="shared" si="162"/>
        <v>1+0,00455176538033572i</v>
      </c>
      <c r="AK204">
        <f t="shared" si="181"/>
        <v>1.000010359230382</v>
      </c>
      <c r="AL204">
        <f t="shared" si="182"/>
        <v>4.551733945372856E-3</v>
      </c>
      <c r="AM204" t="str">
        <f t="shared" si="163"/>
        <v>1-0,00299181133981392i</v>
      </c>
      <c r="AN204">
        <f t="shared" si="183"/>
        <v>1.0000044754575317</v>
      </c>
      <c r="AO204">
        <f t="shared" si="184"/>
        <v>-2.9918024133588224E-3</v>
      </c>
      <c r="AP204" s="41" t="str">
        <f t="shared" si="185"/>
        <v>0,710599260813533-12,4188625566233i</v>
      </c>
      <c r="AQ204">
        <f t="shared" si="186"/>
        <v>21.895832223137074</v>
      </c>
      <c r="AR204" s="43">
        <f t="shared" si="187"/>
        <v>-86.72514356145625</v>
      </c>
      <c r="AS204" t="str">
        <f t="shared" si="164"/>
        <v>-0,0000166666666666667</v>
      </c>
      <c r="AT204" t="str">
        <f t="shared" si="165"/>
        <v>4,56542067647672E-06i</v>
      </c>
      <c r="AU204">
        <f t="shared" si="188"/>
        <v>4.5654206764767199E-6</v>
      </c>
      <c r="AV204">
        <f t="shared" si="189"/>
        <v>1.5707963267948966</v>
      </c>
      <c r="AW204" t="str">
        <f t="shared" si="166"/>
        <v>1+0,00299517961218502i</v>
      </c>
      <c r="AX204">
        <f t="shared" si="190"/>
        <v>1.0000044855403947</v>
      </c>
      <c r="AY204">
        <f t="shared" si="191"/>
        <v>2.9951706555470495E-3</v>
      </c>
      <c r="AZ204" t="str">
        <f t="shared" si="167"/>
        <v>1+1,00138838367386i</v>
      </c>
      <c r="BA204">
        <f t="shared" si="192"/>
        <v>1.4151956384037316</v>
      </c>
      <c r="BB204">
        <f t="shared" si="193"/>
        <v>0.78609187355509347</v>
      </c>
      <c r="BC204" s="41" t="str">
        <f t="shared" si="194"/>
        <v>-3,64473257488264+3,66154772005642i</v>
      </c>
      <c r="BD204">
        <f t="shared" si="195"/>
        <v>14.263649632322926</v>
      </c>
      <c r="BE204" s="43">
        <f t="shared" si="196"/>
        <v>134.86813602675417</v>
      </c>
      <c r="BF204" s="41" t="str">
        <f t="shared" si="197"/>
        <v>13,074225524493+14,3565171381083i</v>
      </c>
      <c r="BG204" s="20">
        <f t="shared" si="198"/>
        <v>25.763931369102458</v>
      </c>
      <c r="BH204" s="43">
        <f t="shared" si="199"/>
        <v>47.676429586902998</v>
      </c>
      <c r="BI204" s="41" t="str">
        <f t="shared" si="203"/>
        <v>42,8823136063235+47,8653260064208i</v>
      </c>
      <c r="BJ204" s="20">
        <f t="shared" si="200"/>
        <v>36.159481855460001</v>
      </c>
      <c r="BK204" s="43">
        <f t="shared" si="204"/>
        <v>48.142992465297922</v>
      </c>
      <c r="BL204">
        <f t="shared" si="201"/>
        <v>25.763931369102458</v>
      </c>
      <c r="BM204" s="43">
        <f t="shared" si="202"/>
        <v>47.676429586902998</v>
      </c>
    </row>
    <row r="205" spans="14:65" x14ac:dyDescent="0.25">
      <c r="N205" s="9">
        <v>87</v>
      </c>
      <c r="O205" s="34">
        <f t="shared" si="205"/>
        <v>741.31024130091828</v>
      </c>
      <c r="P205" s="33" t="str">
        <f t="shared" si="155"/>
        <v>66,7780509511648</v>
      </c>
      <c r="Q205" s="4" t="str">
        <f t="shared" si="156"/>
        <v>1+18,153315282131i</v>
      </c>
      <c r="R205" s="4">
        <f t="shared" si="168"/>
        <v>18.180837597108965</v>
      </c>
      <c r="S205" s="4">
        <f t="shared" si="169"/>
        <v>1.5157655888878929</v>
      </c>
      <c r="T205" s="4" t="str">
        <f t="shared" si="157"/>
        <v>1+0,00465778961620368i</v>
      </c>
      <c r="U205" s="4">
        <f t="shared" si="170"/>
        <v>1.0000108474432208</v>
      </c>
      <c r="V205" s="4">
        <f t="shared" si="171"/>
        <v>4.6577559330538455E-3</v>
      </c>
      <c r="W205" t="str">
        <f t="shared" si="158"/>
        <v>1-0,0101324246510507i</v>
      </c>
      <c r="X205" s="4">
        <f t="shared" si="172"/>
        <v>1.0000513316971831</v>
      </c>
      <c r="Y205" s="4">
        <f t="shared" si="173"/>
        <v>-1.0132077920473522E-2</v>
      </c>
      <c r="Z205" t="str">
        <f t="shared" si="159"/>
        <v>0,999999450459126+0,00199153154150765i</v>
      </c>
      <c r="AA205" s="4">
        <f t="shared" si="174"/>
        <v>1.0000014335571898</v>
      </c>
      <c r="AB205" s="4">
        <f t="shared" si="175"/>
        <v>1.9915300030021003E-3</v>
      </c>
      <c r="AC205" s="47" t="str">
        <f t="shared" si="176"/>
        <v>0,174650132874593-3,66905962424273i</v>
      </c>
      <c r="AD205" s="20">
        <f t="shared" si="177"/>
        <v>11.300924652069153</v>
      </c>
      <c r="AE205" s="43">
        <f t="shared" si="178"/>
        <v>-87.274732783958612</v>
      </c>
      <c r="AF205" t="str">
        <f t="shared" si="160"/>
        <v>223,849857273222</v>
      </c>
      <c r="AG205" t="str">
        <f t="shared" si="161"/>
        <v>1+18,3865436455609i</v>
      </c>
      <c r="AH205">
        <f t="shared" si="179"/>
        <v>18.413717365869278</v>
      </c>
      <c r="AI205">
        <f t="shared" si="180"/>
        <v>1.5164622571720185</v>
      </c>
      <c r="AJ205" t="str">
        <f t="shared" si="162"/>
        <v>1+0,00465778961620368i</v>
      </c>
      <c r="AK205">
        <f t="shared" si="181"/>
        <v>1.0000108474432208</v>
      </c>
      <c r="AL205">
        <f t="shared" si="182"/>
        <v>4.6577559330538455E-3</v>
      </c>
      <c r="AM205" t="str">
        <f t="shared" si="163"/>
        <v>1-0,00306149957825767i</v>
      </c>
      <c r="AN205">
        <f t="shared" si="183"/>
        <v>1.0000046863788528</v>
      </c>
      <c r="AO205">
        <f t="shared" si="184"/>
        <v>-3.0614900133911264E-3</v>
      </c>
      <c r="AP205" s="41" t="str">
        <f t="shared" si="185"/>
        <v>0,679583881345461-12,1378693980171i</v>
      </c>
      <c r="AQ205">
        <f t="shared" si="186"/>
        <v>21.696441904044249</v>
      </c>
      <c r="AR205" s="43">
        <f t="shared" si="187"/>
        <v>-86.795427826661864</v>
      </c>
      <c r="AS205" t="str">
        <f t="shared" si="164"/>
        <v>-0,0000166666666666667</v>
      </c>
      <c r="AT205" t="str">
        <f t="shared" si="165"/>
        <v>4,67176298505229E-06i</v>
      </c>
      <c r="AU205">
        <f t="shared" si="188"/>
        <v>4.6717629850522897E-6</v>
      </c>
      <c r="AV205">
        <f t="shared" si="189"/>
        <v>1.5707963267948966</v>
      </c>
      <c r="AW205" t="str">
        <f t="shared" si="166"/>
        <v>1+0,00306494630777112i</v>
      </c>
      <c r="AX205">
        <f t="shared" si="190"/>
        <v>1.0000046969369043</v>
      </c>
      <c r="AY205">
        <f t="shared" si="191"/>
        <v>3.0649367105630597E-3</v>
      </c>
      <c r="AZ205" t="str">
        <f t="shared" si="167"/>
        <v>1+1,02471371556481i</v>
      </c>
      <c r="BA205">
        <f t="shared" si="192"/>
        <v>1.4317954458883568</v>
      </c>
      <c r="BB205">
        <f t="shared" si="193"/>
        <v>0.79760358688149413</v>
      </c>
      <c r="BC205" s="41" t="str">
        <f t="shared" si="194"/>
        <v>-3,64473103392254+3,57870348737712i</v>
      </c>
      <c r="BD205">
        <f t="shared" si="195"/>
        <v>14.164937702248569</v>
      </c>
      <c r="BE205" s="43">
        <f t="shared" si="196"/>
        <v>135.5237113148157</v>
      </c>
      <c r="BF205" s="41" t="str">
        <f t="shared" si="197"/>
        <v>12,4939237133053+13,9977565173788i</v>
      </c>
      <c r="BG205" s="20">
        <f t="shared" si="198"/>
        <v>25.465862354317707</v>
      </c>
      <c r="BH205" s="43">
        <f t="shared" si="199"/>
        <v>48.248978530857045</v>
      </c>
      <c r="BI205" s="41" t="str">
        <f t="shared" si="203"/>
        <v>40,9609350815185+46,6712984867879i</v>
      </c>
      <c r="BJ205" s="20">
        <f t="shared" si="200"/>
        <v>35.861379606292815</v>
      </c>
      <c r="BK205" s="43">
        <f t="shared" si="204"/>
        <v>48.728283488153799</v>
      </c>
      <c r="BL205">
        <f t="shared" si="201"/>
        <v>25.465862354317707</v>
      </c>
      <c r="BM205" s="43">
        <f t="shared" si="202"/>
        <v>48.248978530857045</v>
      </c>
    </row>
    <row r="206" spans="14:65" x14ac:dyDescent="0.25">
      <c r="N206" s="9">
        <v>88</v>
      </c>
      <c r="O206" s="34">
        <f t="shared" si="205"/>
        <v>758.57757502918378</v>
      </c>
      <c r="P206" s="33" t="str">
        <f t="shared" si="155"/>
        <v>66,7780509511648</v>
      </c>
      <c r="Q206" s="4" t="str">
        <f t="shared" si="156"/>
        <v>1+18,5761603148678i</v>
      </c>
      <c r="R206" s="4">
        <f t="shared" si="168"/>
        <v>18.603057061775338</v>
      </c>
      <c r="S206" s="4">
        <f t="shared" si="169"/>
        <v>1.5170157993840327</v>
      </c>
      <c r="T206" s="4" t="str">
        <f t="shared" si="157"/>
        <v>1+0,00476628347377929i</v>
      </c>
      <c r="U206" s="4">
        <f t="shared" si="170"/>
        <v>1.0000113586645665</v>
      </c>
      <c r="V206" s="4">
        <f t="shared" si="171"/>
        <v>4.766247381656122E-3</v>
      </c>
      <c r="W206" t="str">
        <f t="shared" si="158"/>
        <v>1-0,0103684391402329i</v>
      </c>
      <c r="X206" s="4">
        <f t="shared" si="172"/>
        <v>1.0000537508205269</v>
      </c>
      <c r="Y206" s="4">
        <f t="shared" si="173"/>
        <v>-1.0368067612804226E-2</v>
      </c>
      <c r="Z206" t="str">
        <f t="shared" si="159"/>
        <v>0,999999424560063+0,00203792027033087i</v>
      </c>
      <c r="AA206" s="4">
        <f t="shared" si="174"/>
        <v>1.0000015011186159</v>
      </c>
      <c r="AB206" s="4">
        <f t="shared" si="175"/>
        <v>2.0379186217925993E-3</v>
      </c>
      <c r="AC206" s="47" t="str">
        <f t="shared" si="176"/>
        <v>0,165580025993372-3,58603546631088i</v>
      </c>
      <c r="AD206" s="20">
        <f t="shared" si="177"/>
        <v>11.101540901546477</v>
      </c>
      <c r="AE206" s="43">
        <f t="shared" si="178"/>
        <v>-87.356327552225494</v>
      </c>
      <c r="AF206" t="str">
        <f t="shared" si="160"/>
        <v>223,849857273222</v>
      </c>
      <c r="AG206" t="str">
        <f t="shared" si="161"/>
        <v>1+18,8148212647667i</v>
      </c>
      <c r="AH206">
        <f t="shared" si="179"/>
        <v>18.841377317625088</v>
      </c>
      <c r="AI206">
        <f t="shared" si="180"/>
        <v>1.5176967011073599</v>
      </c>
      <c r="AJ206" t="str">
        <f t="shared" si="162"/>
        <v>1+0,00476628347377929i</v>
      </c>
      <c r="AK206">
        <f t="shared" si="181"/>
        <v>1.0000113586645665</v>
      </c>
      <c r="AL206">
        <f t="shared" si="182"/>
        <v>4.766247381656122E-3</v>
      </c>
      <c r="AM206" t="str">
        <f t="shared" si="163"/>
        <v>1-0,00313281106430156i</v>
      </c>
      <c r="AN206">
        <f t="shared" si="183"/>
        <v>1.0000049072405417</v>
      </c>
      <c r="AO206">
        <f t="shared" si="184"/>
        <v>-3.1328008153651225E-3</v>
      </c>
      <c r="AP206" s="41" t="str">
        <f t="shared" si="185"/>
        <v>0,649956374176991-11,8631604443146i</v>
      </c>
      <c r="AQ206">
        <f t="shared" si="186"/>
        <v>21.497024782610239</v>
      </c>
      <c r="AR206" s="43">
        <f t="shared" si="187"/>
        <v>-86.864025960071089</v>
      </c>
      <c r="AS206" t="str">
        <f t="shared" si="164"/>
        <v>-0,0000166666666666667</v>
      </c>
      <c r="AT206" t="str">
        <f t="shared" si="165"/>
        <v>4,78058232420063E-06i</v>
      </c>
      <c r="AU206">
        <f t="shared" si="188"/>
        <v>4.7805823242006302E-6</v>
      </c>
      <c r="AV206">
        <f t="shared" si="189"/>
        <v>1.5707963267948966</v>
      </c>
      <c r="AW206" t="str">
        <f t="shared" si="166"/>
        <v>1+0,00313633807845895i</v>
      </c>
      <c r="AX206">
        <f t="shared" si="190"/>
        <v>1.0000049182961763</v>
      </c>
      <c r="AY206">
        <f t="shared" si="191"/>
        <v>3.1363277948679683E-3</v>
      </c>
      <c r="AZ206" t="str">
        <f t="shared" si="167"/>
        <v>1+1,04858236423144i</v>
      </c>
      <c r="BA206">
        <f t="shared" si="192"/>
        <v>1.4489737660072375</v>
      </c>
      <c r="BB206">
        <f t="shared" si="193"/>
        <v>0.80910883301482928</v>
      </c>
      <c r="BC206" s="41" t="str">
        <f t="shared" si="194"/>
        <v>-3,64472942034062+3,49775673021127i</v>
      </c>
      <c r="BD206">
        <f t="shared" si="195"/>
        <v>14.068526695964312</v>
      </c>
      <c r="BE206" s="43">
        <f t="shared" si="196"/>
        <v>136.17882295268947</v>
      </c>
      <c r="BF206" s="41" t="str">
        <f t="shared" si="197"/>
        <v>11,9395852949064+13,649287616755i</v>
      </c>
      <c r="BG206" s="20">
        <f t="shared" si="198"/>
        <v>25.170067597510783</v>
      </c>
      <c r="BH206" s="43">
        <f t="shared" si="199"/>
        <v>48.8224954004639</v>
      </c>
      <c r="BI206" s="41" t="str">
        <f t="shared" si="203"/>
        <v>39,1255341667767+45,5113991717358i</v>
      </c>
      <c r="BJ206" s="20">
        <f t="shared" si="200"/>
        <v>35.565551478574548</v>
      </c>
      <c r="BK206" s="43">
        <f t="shared" si="204"/>
        <v>49.314796992618412</v>
      </c>
      <c r="BL206">
        <f t="shared" si="201"/>
        <v>25.170067597510783</v>
      </c>
      <c r="BM206" s="43">
        <f t="shared" si="202"/>
        <v>48.8224954004639</v>
      </c>
    </row>
    <row r="207" spans="14:65" x14ac:dyDescent="0.25">
      <c r="N207" s="9">
        <v>89</v>
      </c>
      <c r="O207" s="34">
        <f t="shared" si="205"/>
        <v>776.24711662869231</v>
      </c>
      <c r="P207" s="33" t="str">
        <f t="shared" si="155"/>
        <v>66,7780509511648</v>
      </c>
      <c r="Q207" s="4" t="str">
        <f t="shared" si="156"/>
        <v>1+19,008854673688i</v>
      </c>
      <c r="R207" s="4">
        <f t="shared" si="168"/>
        <v>19.035140031147396</v>
      </c>
      <c r="S207" s="4">
        <f t="shared" si="169"/>
        <v>1.5182377142458483</v>
      </c>
      <c r="T207" s="4" t="str">
        <f t="shared" si="157"/>
        <v>1+0,00487730447794192i</v>
      </c>
      <c r="U207" s="4">
        <f t="shared" si="170"/>
        <v>1.0000118939787519</v>
      </c>
      <c r="V207" s="4">
        <f t="shared" si="171"/>
        <v>4.8772658045600215E-3</v>
      </c>
      <c r="W207" t="str">
        <f t="shared" si="158"/>
        <v>1-0,0106099511130898i</v>
      </c>
      <c r="X207" s="4">
        <f t="shared" si="172"/>
        <v>1.0000562839473697</v>
      </c>
      <c r="Y207" s="4">
        <f t="shared" si="173"/>
        <v>-1.0609553015487628E-2</v>
      </c>
      <c r="Z207" t="str">
        <f t="shared" si="159"/>
        <v>0,999999397440414+0,00208538953145648i</v>
      </c>
      <c r="AA207" s="4">
        <f t="shared" si="174"/>
        <v>1.0000015718641091</v>
      </c>
      <c r="AB207" s="4">
        <f t="shared" si="175"/>
        <v>2.0853877650160411E-3</v>
      </c>
      <c r="AC207" s="47" t="str">
        <f t="shared" si="176"/>
        <v>0,15691583368665-3,50486883040905i</v>
      </c>
      <c r="AD207" s="20">
        <f t="shared" si="177"/>
        <v>10.902131781229272</v>
      </c>
      <c r="AE207" s="43">
        <f t="shared" si="178"/>
        <v>-87.43653310560282</v>
      </c>
      <c r="AF207" t="str">
        <f t="shared" si="160"/>
        <v>223,849857273222</v>
      </c>
      <c r="AG207" t="str">
        <f t="shared" si="161"/>
        <v>1+19,2530747512507i</v>
      </c>
      <c r="AH207">
        <f t="shared" si="179"/>
        <v>19.279027137727859</v>
      </c>
      <c r="AI207">
        <f t="shared" si="180"/>
        <v>1.5189032022113169</v>
      </c>
      <c r="AJ207" t="str">
        <f t="shared" si="162"/>
        <v>1+0,00487730447794192i</v>
      </c>
      <c r="AK207">
        <f t="shared" si="181"/>
        <v>1.0000118939787519</v>
      </c>
      <c r="AL207">
        <f t="shared" si="182"/>
        <v>4.8772658045600215E-3</v>
      </c>
      <c r="AM207" t="str">
        <f t="shared" si="163"/>
        <v>1-0,0032057836082394i</v>
      </c>
      <c r="AN207">
        <f t="shared" si="183"/>
        <v>1.0000051385110693</v>
      </c>
      <c r="AO207">
        <f t="shared" si="184"/>
        <v>-3.2057726263091972E-3</v>
      </c>
      <c r="AP207" s="41" t="str">
        <f t="shared" si="185"/>
        <v>0,621654980127097-11,5946000937621i</v>
      </c>
      <c r="AQ207">
        <f t="shared" si="186"/>
        <v>21.297582084633625</v>
      </c>
      <c r="AR207" s="43">
        <f t="shared" si="187"/>
        <v>-86.930973471015619</v>
      </c>
      <c r="AS207" t="str">
        <f t="shared" si="164"/>
        <v>-0,0000166666666666667</v>
      </c>
      <c r="AT207" t="str">
        <f t="shared" si="165"/>
        <v>4,89193639137574E-06i</v>
      </c>
      <c r="AU207">
        <f t="shared" si="188"/>
        <v>4.8919363913757397E-6</v>
      </c>
      <c r="AV207">
        <f t="shared" si="189"/>
        <v>1.5707963267948966</v>
      </c>
      <c r="AW207" t="str">
        <f t="shared" si="166"/>
        <v>1+0,00320939277711034i</v>
      </c>
      <c r="AX207">
        <f t="shared" si="190"/>
        <v>1.0000051500877372</v>
      </c>
      <c r="AY207">
        <f t="shared" si="191"/>
        <v>3.209381758047141E-3</v>
      </c>
      <c r="AZ207" t="str">
        <f t="shared" si="167"/>
        <v>1+1,07300698514722i</v>
      </c>
      <c r="BA207">
        <f t="shared" si="192"/>
        <v>1.4667460551079476</v>
      </c>
      <c r="BB207">
        <f t="shared" si="193"/>
        <v>0.82060152959567745</v>
      </c>
      <c r="BC207" s="41" t="str">
        <f t="shared" si="194"/>
        <v>-3,64472773071449+3,41866452948494i</v>
      </c>
      <c r="BD207">
        <f t="shared" si="195"/>
        <v>13.97441280841149</v>
      </c>
      <c r="BE207" s="43">
        <f t="shared" si="196"/>
        <v>136.8331202782297</v>
      </c>
      <c r="BF207" s="41" t="str">
        <f t="shared" si="197"/>
        <v>11,4100552605909+13,3107352134478i</v>
      </c>
      <c r="BG207" s="20">
        <f t="shared" si="198"/>
        <v>24.876544589640758</v>
      </c>
      <c r="BH207" s="43">
        <f t="shared" si="199"/>
        <v>49.396587172626717</v>
      </c>
      <c r="BI207" s="41" t="str">
        <f t="shared" si="203"/>
        <v>37,3722849291013+44,3843903184177i</v>
      </c>
      <c r="BJ207" s="20">
        <f t="shared" si="200"/>
        <v>35.271994893045118</v>
      </c>
      <c r="BK207" s="43">
        <f t="shared" si="204"/>
        <v>49.902146807214017</v>
      </c>
      <c r="BL207">
        <f t="shared" si="201"/>
        <v>24.876544589640758</v>
      </c>
      <c r="BM207" s="43">
        <f t="shared" si="202"/>
        <v>49.396587172626717</v>
      </c>
    </row>
    <row r="208" spans="14:65" x14ac:dyDescent="0.25">
      <c r="N208" s="9">
        <v>90</v>
      </c>
      <c r="O208" s="34">
        <f t="shared" si="205"/>
        <v>794.32823472428208</v>
      </c>
      <c r="P208" s="33" t="str">
        <f t="shared" si="155"/>
        <v>66,7780509511648</v>
      </c>
      <c r="Q208" s="4" t="str">
        <f t="shared" si="156"/>
        <v>1+19,4516277788682i</v>
      </c>
      <c r="R208" s="4">
        <f t="shared" si="168"/>
        <v>19.477315606819051</v>
      </c>
      <c r="S208" s="4">
        <f t="shared" si="169"/>
        <v>1.5194319667452043</v>
      </c>
      <c r="T208" s="4" t="str">
        <f t="shared" si="157"/>
        <v>1+0,00499091149349751i</v>
      </c>
      <c r="U208" s="4">
        <f t="shared" si="170"/>
        <v>1.0000124545212103</v>
      </c>
      <c r="V208" s="4">
        <f t="shared" si="171"/>
        <v>4.9908700542500807E-3</v>
      </c>
      <c r="W208" t="str">
        <f t="shared" si="158"/>
        <v>1-0,0108570886224662i</v>
      </c>
      <c r="X208" s="4">
        <f t="shared" si="172"/>
        <v>1.0000589364499255</v>
      </c>
      <c r="Y208" s="4">
        <f t="shared" si="173"/>
        <v>-1.085666205455782E-2</v>
      </c>
      <c r="Z208" t="str">
        <f t="shared" si="159"/>
        <v>0,999999369042656+0,00213396449371506i</v>
      </c>
      <c r="AA208" s="4">
        <f t="shared" si="174"/>
        <v>1.0000016459437309</v>
      </c>
      <c r="AB208" s="4">
        <f t="shared" si="175"/>
        <v>2.1339626009401879E-3</v>
      </c>
      <c r="AC208" s="47" t="str">
        <f t="shared" si="176"/>
        <v>0,1486394888508-3,42551959116128i</v>
      </c>
      <c r="AD208" s="20">
        <f t="shared" si="177"/>
        <v>10.702698534295598</v>
      </c>
      <c r="AE208" s="43">
        <f t="shared" si="178"/>
        <v>-87.515391127554125</v>
      </c>
      <c r="AF208" t="str">
        <f t="shared" si="160"/>
        <v>223,849857273222</v>
      </c>
      <c r="AG208" t="str">
        <f t="shared" si="161"/>
        <v>1+19,7015364728124i</v>
      </c>
      <c r="AH208">
        <f t="shared" si="179"/>
        <v>19.726898879184159</v>
      </c>
      <c r="AI208">
        <f t="shared" si="180"/>
        <v>1.5200823861288784</v>
      </c>
      <c r="AJ208" t="str">
        <f t="shared" si="162"/>
        <v>1+0,00499091149349751i</v>
      </c>
      <c r="AK208">
        <f t="shared" si="181"/>
        <v>1.0000124545212103</v>
      </c>
      <c r="AL208">
        <f t="shared" si="182"/>
        <v>4.9908700542500807E-3</v>
      </c>
      <c r="AM208" t="str">
        <f t="shared" si="163"/>
        <v>1-0,00328045590107989i</v>
      </c>
      <c r="AN208">
        <f t="shared" si="183"/>
        <v>1.0000053806809837</v>
      </c>
      <c r="AO208">
        <f t="shared" si="184"/>
        <v>-3.2804441337330884E-3</v>
      </c>
      <c r="AP208" s="41" t="str">
        <f t="shared" si="185"/>
        <v>0,594620657947846-11,3320553398123i</v>
      </c>
      <c r="AQ208">
        <f t="shared" si="186"/>
        <v>21.098114982588196</v>
      </c>
      <c r="AR208" s="43">
        <f t="shared" si="187"/>
        <v>-86.996305050944869</v>
      </c>
      <c r="AS208" t="str">
        <f t="shared" si="164"/>
        <v>-0,0000166666666666667</v>
      </c>
      <c r="AT208" t="str">
        <f t="shared" si="165"/>
        <v>0,000005005884227978i</v>
      </c>
      <c r="AU208">
        <f t="shared" si="188"/>
        <v>5.0058842279779998E-6</v>
      </c>
      <c r="AV208">
        <f t="shared" si="189"/>
        <v>1.5707963267948966</v>
      </c>
      <c r="AW208" t="str">
        <f t="shared" si="166"/>
        <v>1+0,00328414913829348i</v>
      </c>
      <c r="AX208">
        <f t="shared" si="190"/>
        <v>1.00000539280324</v>
      </c>
      <c r="AY208">
        <f t="shared" si="191"/>
        <v>3.2841373311579755E-3</v>
      </c>
      <c r="AZ208" t="str">
        <f t="shared" si="167"/>
        <v>1+1,09800052856945i</v>
      </c>
      <c r="BA208">
        <f t="shared" si="192"/>
        <v>1.4851279947327072</v>
      </c>
      <c r="BB208">
        <f t="shared" si="193"/>
        <v>0.83207562741483232</v>
      </c>
      <c r="BC208" s="41" t="str">
        <f t="shared" si="194"/>
        <v>-3,64472596146039+3,34138494943226i</v>
      </c>
      <c r="BD208">
        <f t="shared" si="195"/>
        <v>13.882589816326036</v>
      </c>
      <c r="BE208" s="43">
        <f t="shared" si="196"/>
        <v>137.48625447815309</v>
      </c>
      <c r="BF208" s="41" t="str">
        <f t="shared" si="197"/>
        <v>10,9042294019789+12,9817419363341i</v>
      </c>
      <c r="BG208" s="20">
        <f t="shared" si="198"/>
        <v>24.585288350621639</v>
      </c>
      <c r="BH208" s="43">
        <f t="shared" si="199"/>
        <v>49.970863350599132</v>
      </c>
      <c r="BI208" s="41" t="str">
        <f t="shared" si="203"/>
        <v>35,6975298093391+43,2890928108082i</v>
      </c>
      <c r="BJ208" s="20">
        <f t="shared" si="200"/>
        <v>34.980704798914232</v>
      </c>
      <c r="BK208" s="43">
        <f t="shared" si="204"/>
        <v>50.489949427208252</v>
      </c>
      <c r="BL208">
        <f t="shared" si="201"/>
        <v>24.585288350621639</v>
      </c>
      <c r="BM208" s="43">
        <f t="shared" si="202"/>
        <v>49.970863350599132</v>
      </c>
    </row>
    <row r="209" spans="14:65" x14ac:dyDescent="0.25">
      <c r="N209" s="9">
        <v>91</v>
      </c>
      <c r="O209" s="34">
        <f t="shared" si="205"/>
        <v>812.83051616409978</v>
      </c>
      <c r="P209" s="33" t="str">
        <f t="shared" si="155"/>
        <v>66,7780509511648</v>
      </c>
      <c r="Q209" s="4" t="str">
        <f t="shared" si="156"/>
        <v>1+19,9047143945695i</v>
      </c>
      <c r="R209" s="4">
        <f t="shared" si="168"/>
        <v>19.929818241253038</v>
      </c>
      <c r="S209" s="4">
        <f t="shared" si="169"/>
        <v>1.5205991764565363</v>
      </c>
      <c r="T209" s="4" t="str">
        <f t="shared" si="157"/>
        <v>1+0,00510716475638947i</v>
      </c>
      <c r="U209" s="4">
        <f t="shared" si="170"/>
        <v>1.0000130414808843</v>
      </c>
      <c r="V209" s="4">
        <f t="shared" si="171"/>
        <v>5.1071203534671303E-3</v>
      </c>
      <c r="W209" t="str">
        <f t="shared" si="158"/>
        <v>1-0,0111099827039408i</v>
      </c>
      <c r="X209" s="4">
        <f t="shared" si="172"/>
        <v>1.000061713953535</v>
      </c>
      <c r="Y209" s="4">
        <f t="shared" si="173"/>
        <v>-1.110952562971535E-2</v>
      </c>
      <c r="Z209" t="str">
        <f t="shared" si="159"/>
        <v>0,999999339306552+0,00218367091219456i</v>
      </c>
      <c r="AA209" s="4">
        <f t="shared" si="174"/>
        <v>1.0000017235146115</v>
      </c>
      <c r="AB209" s="4">
        <f t="shared" si="175"/>
        <v>2.1836688840499246E-3</v>
      </c>
      <c r="AC209" s="47" t="str">
        <f t="shared" si="176"/>
        <v>0,140733719855124-3,34794839428314i</v>
      </c>
      <c r="AD209" s="20">
        <f t="shared" si="177"/>
        <v>10.503242353635251</v>
      </c>
      <c r="AE209" s="43">
        <f t="shared" si="178"/>
        <v>-87.592942642194444</v>
      </c>
      <c r="AF209" t="str">
        <f t="shared" si="160"/>
        <v>223,849857273222</v>
      </c>
      <c r="AG209" t="str">
        <f t="shared" si="161"/>
        <v>1+20,1604442097926i</v>
      </c>
      <c r="AH209">
        <f t="shared" si="179"/>
        <v>20.185230014447693</v>
      </c>
      <c r="AI209">
        <f t="shared" si="180"/>
        <v>1.5212348649545173</v>
      </c>
      <c r="AJ209" t="str">
        <f t="shared" si="162"/>
        <v>1+0,00510716475638947i</v>
      </c>
      <c r="AK209">
        <f t="shared" si="181"/>
        <v>1.0000130414808843</v>
      </c>
      <c r="AL209">
        <f t="shared" si="182"/>
        <v>5.1071203534671303E-3</v>
      </c>
      <c r="AM209" t="str">
        <f t="shared" si="163"/>
        <v>1-0,00335686753506109i</v>
      </c>
      <c r="AN209">
        <f t="shared" si="183"/>
        <v>1.0000056342639514</v>
      </c>
      <c r="AO209">
        <f t="shared" si="184"/>
        <v>-3.3568549261256578E-3</v>
      </c>
      <c r="AP209" s="41" t="str">
        <f t="shared" si="185"/>
        <v>0,568796967376786-11,0753957443188i</v>
      </c>
      <c r="AQ209">
        <f t="shared" si="186"/>
        <v>20.898624598028203</v>
      </c>
      <c r="AR209" s="43">
        <f t="shared" si="187"/>
        <v>-87.060054588033239</v>
      </c>
      <c r="AS209" t="str">
        <f t="shared" si="164"/>
        <v>-0,0000166666666666667</v>
      </c>
      <c r="AT209" t="str">
        <f t="shared" si="165"/>
        <v>5,12248625065864E-06i</v>
      </c>
      <c r="AU209">
        <f t="shared" si="188"/>
        <v>5.1224862506586397E-6</v>
      </c>
      <c r="AV209">
        <f t="shared" si="189"/>
        <v>1.5707963267948966</v>
      </c>
      <c r="AW209" t="str">
        <f t="shared" si="166"/>
        <v>1+0,00336064679882059i</v>
      </c>
      <c r="AX209">
        <f t="shared" si="190"/>
        <v>1.0000056469575092</v>
      </c>
      <c r="AY209">
        <f t="shared" si="191"/>
        <v>3.3606341472508161E-3</v>
      </c>
      <c r="AZ209" t="str">
        <f t="shared" si="167"/>
        <v>1+1,12357624640568i</v>
      </c>
      <c r="BA209">
        <f t="shared" si="192"/>
        <v>1.5041354930614057</v>
      </c>
      <c r="BB209">
        <f t="shared" si="193"/>
        <v>0.84352512623307496</v>
      </c>
      <c r="BC209" s="41" t="str">
        <f t="shared" si="194"/>
        <v>-3,64472410882576+3,26587701536041i</v>
      </c>
      <c r="BD209">
        <f t="shared" si="195"/>
        <v>13.793049104435459</v>
      </c>
      <c r="BE209" s="43">
        <f t="shared" si="196"/>
        <v>138.13787949327011</v>
      </c>
      <c r="BF209" s="41" t="str">
        <f t="shared" si="197"/>
        <v>10,4210521278214+12,6619672487093i</v>
      </c>
      <c r="BG209" s="20">
        <f t="shared" si="198"/>
        <v>24.296291458070719</v>
      </c>
      <c r="BH209" s="43">
        <f t="shared" si="199"/>
        <v>50.544936851075725</v>
      </c>
      <c r="BI209" s="41" t="str">
        <f t="shared" si="203"/>
        <v>34,0977723773661+42,2243828262675i</v>
      </c>
      <c r="BJ209" s="20">
        <f t="shared" si="200"/>
        <v>34.69167370246366</v>
      </c>
      <c r="BK209" s="43">
        <f t="shared" si="204"/>
        <v>51.077824905236888</v>
      </c>
      <c r="BL209">
        <f t="shared" si="201"/>
        <v>24.296291458070719</v>
      </c>
      <c r="BM209" s="43">
        <f t="shared" si="202"/>
        <v>50.544936851075725</v>
      </c>
    </row>
    <row r="210" spans="14:65" x14ac:dyDescent="0.25">
      <c r="N210" s="9">
        <v>92</v>
      </c>
      <c r="O210" s="34">
        <f t="shared" si="205"/>
        <v>831.7637711026714</v>
      </c>
      <c r="P210" s="33" t="str">
        <f t="shared" si="155"/>
        <v>66,7780509511648</v>
      </c>
      <c r="Q210" s="4" t="str">
        <f t="shared" si="156"/>
        <v>1+20,3683547533128i</v>
      </c>
      <c r="R210" s="4">
        <f t="shared" si="168"/>
        <v>20.392887862115071</v>
      </c>
      <c r="S210" s="4">
        <f t="shared" si="169"/>
        <v>1.5217399495212096</v>
      </c>
      <c r="T210" s="4" t="str">
        <f t="shared" si="157"/>
        <v>1+0,00522612590563659i</v>
      </c>
      <c r="U210" s="4">
        <f t="shared" si="170"/>
        <v>1.0000136561027462</v>
      </c>
      <c r="V210" s="4">
        <f t="shared" si="171"/>
        <v>5.2260783270831846E-3</v>
      </c>
      <c r="W210" t="str">
        <f t="shared" si="158"/>
        <v>1-0,011368767445303i</v>
      </c>
      <c r="X210" s="4">
        <f t="shared" si="172"/>
        <v>1.0000646223485887</v>
      </c>
      <c r="Y210" s="4">
        <f t="shared" si="173"/>
        <v>-1.136827768315574E-2</v>
      </c>
      <c r="Z210" t="str">
        <f t="shared" si="159"/>
        <v>0,999999308169029+0,00223453514189602i</v>
      </c>
      <c r="AA210" s="4">
        <f t="shared" si="174"/>
        <v>1.00000180474129</v>
      </c>
      <c r="AB210" s="4">
        <f t="shared" si="175"/>
        <v>2.2345329687000919E-3</v>
      </c>
      <c r="AC210" s="47" t="str">
        <f t="shared" si="176"/>
        <v>0,133182016281485-3,27211664837814i</v>
      </c>
      <c r="AD210" s="20">
        <f t="shared" si="177"/>
        <v>10.303764384302168</v>
      </c>
      <c r="AE210" s="43">
        <f t="shared" si="178"/>
        <v>-87.669228032336534</v>
      </c>
      <c r="AF210" t="str">
        <f t="shared" si="160"/>
        <v>223,849857273222</v>
      </c>
      <c r="AG210" t="str">
        <f t="shared" si="161"/>
        <v>1+20,6300412811479i</v>
      </c>
      <c r="AH210">
        <f t="shared" si="179"/>
        <v>20.65426356135378</v>
      </c>
      <c r="AI210">
        <f t="shared" si="180"/>
        <v>1.5223612374949607</v>
      </c>
      <c r="AJ210" t="str">
        <f t="shared" si="162"/>
        <v>1+0,00522612590563659i</v>
      </c>
      <c r="AK210">
        <f t="shared" si="181"/>
        <v>1.0000136561027462</v>
      </c>
      <c r="AL210">
        <f t="shared" si="182"/>
        <v>5.2260783270831846E-3</v>
      </c>
      <c r="AM210" t="str">
        <f t="shared" si="163"/>
        <v>1-0,00343505902464279i</v>
      </c>
      <c r="AN210">
        <f t="shared" si="183"/>
        <v>1.0000058997978476</v>
      </c>
      <c r="AO210">
        <f t="shared" si="184"/>
        <v>-3.4350455139293607E-3</v>
      </c>
      <c r="AP210" s="41" t="str">
        <f t="shared" si="185"/>
        <v>0,544129956985705-10,8244934092471i</v>
      </c>
      <c r="AQ210">
        <f t="shared" si="186"/>
        <v>20.699112003893681</v>
      </c>
      <c r="AR210" s="43">
        <f t="shared" si="187"/>
        <v>-87.12225518161128</v>
      </c>
      <c r="AS210" t="str">
        <f t="shared" si="164"/>
        <v>-0,0000166666666666667</v>
      </c>
      <c r="AT210" t="str">
        <f t="shared" si="165"/>
        <v>0,0000052418042833535i</v>
      </c>
      <c r="AU210">
        <f t="shared" si="188"/>
        <v>5.2418042833534998E-6</v>
      </c>
      <c r="AV210">
        <f t="shared" si="189"/>
        <v>1.5707963267948966</v>
      </c>
      <c r="AW210" t="str">
        <f t="shared" si="166"/>
        <v>1+0,00343892631876386i</v>
      </c>
      <c r="AX210">
        <f t="shared" si="190"/>
        <v>1.0000059130896306</v>
      </c>
      <c r="AY210">
        <f t="shared" si="191"/>
        <v>3.4389127623669349E-3</v>
      </c>
      <c r="AZ210" t="str">
        <f t="shared" si="167"/>
        <v>1+1,14974769924005i</v>
      </c>
      <c r="BA210">
        <f t="shared" si="192"/>
        <v>1.523784686859593</v>
      </c>
      <c r="BB210">
        <f t="shared" si="193"/>
        <v>0.85494409028752816</v>
      </c>
      <c r="BC210" s="41" t="str">
        <f t="shared" si="194"/>
        <v>-3,64472216888119+3,19210069192409i</v>
      </c>
      <c r="BD210">
        <f t="shared" si="195"/>
        <v>13.705779701557619</v>
      </c>
      <c r="BE210" s="43">
        <f t="shared" si="196"/>
        <v>138.78765290572969</v>
      </c>
      <c r="BF210" s="41" t="str">
        <f t="shared" si="197"/>
        <v>9,95951437010677+12,351086493833i</v>
      </c>
      <c r="BG210" s="20">
        <f t="shared" si="198"/>
        <v>24.009544085859787</v>
      </c>
      <c r="BH210" s="43">
        <f t="shared" si="199"/>
        <v>51.118424873393153</v>
      </c>
      <c r="BI210" s="41" t="str">
        <f t="shared" si="203"/>
        <v>32,5696703844073+41,1891887077819i</v>
      </c>
      <c r="BJ210" s="20">
        <f t="shared" si="200"/>
        <v>34.404891705451298</v>
      </c>
      <c r="BK210" s="43">
        <f t="shared" si="204"/>
        <v>51.66539772411835</v>
      </c>
      <c r="BL210">
        <f t="shared" si="201"/>
        <v>24.009544085859787</v>
      </c>
      <c r="BM210" s="43">
        <f t="shared" si="202"/>
        <v>51.118424873393153</v>
      </c>
    </row>
    <row r="211" spans="14:65" x14ac:dyDescent="0.25">
      <c r="N211" s="9">
        <v>93</v>
      </c>
      <c r="O211" s="34">
        <f t="shared" si="205"/>
        <v>851.13803820237763</v>
      </c>
      <c r="P211" s="33" t="str">
        <f t="shared" ref="P211:P274" si="206">COMPLEX(Adc,0)</f>
        <v>66,7780509511648</v>
      </c>
      <c r="Q211" s="4" t="str">
        <f t="shared" ref="Q211:Q274" si="207">IMSUM(COMPLEX(1,0),IMDIV(COMPLEX(0,2*PI()*O211),COMPLEX(wp_lf,0)))</f>
        <v>1+20,8427946833534i</v>
      </c>
      <c r="R211" s="4">
        <f t="shared" si="168"/>
        <v>20.866769999509383</v>
      </c>
      <c r="S211" s="4">
        <f t="shared" si="169"/>
        <v>1.5228548789089773</v>
      </c>
      <c r="T211" s="4" t="str">
        <f t="shared" ref="T211:T274" si="208">IMSUM(COMPLEX(1,0),IMDIV(COMPLEX(0,2*PI()*O211),COMPLEX(wz_esr,0)))</f>
        <v>1+0,00534785801601484i</v>
      </c>
      <c r="U211" s="4">
        <f t="shared" si="170"/>
        <v>1.0000142996904391</v>
      </c>
      <c r="V211" s="4">
        <f t="shared" si="171"/>
        <v>5.3478070347157238E-3</v>
      </c>
      <c r="W211" t="str">
        <f t="shared" ref="W211:W274" si="209">IMSUB(COMPLEX(1,0),IMDIV(COMPLEX(0,2*PI()*O211),COMPLEX(wz_rhp,0)))</f>
        <v>1-0,0116335800576481i</v>
      </c>
      <c r="X211" s="4">
        <f t="shared" si="172"/>
        <v>1.0000676678030131</v>
      </c>
      <c r="Y211" s="4">
        <f t="shared" si="173"/>
        <v>-1.1633055269970117E-2</v>
      </c>
      <c r="Z211" t="str">
        <f t="shared" ref="Z211:Z274" si="210">IMSUM(COMPLEX(1,0),IMDIV(COMPLEX(0,2*PI()*O211),COMPLEX(Q*(wsl/2),0)),IMDIV(IMPOWER(COMPLEX(0,2*PI()*O211),2),IMPOWER(COMPLEX(wsl/2,0),2)))</f>
        <v>0,99999927556404+0,00228658415170728i</v>
      </c>
      <c r="AA211" s="4">
        <f t="shared" si="174"/>
        <v>1.0000018897960581</v>
      </c>
      <c r="AB211" s="4">
        <f t="shared" si="175"/>
        <v>2.286581823086116E-3</v>
      </c>
      <c r="AC211" s="47" t="str">
        <f t="shared" si="176"/>
        <v>0,125968596071961-3,19798651631361i</v>
      </c>
      <c r="AD211" s="20">
        <f t="shared" si="177"/>
        <v>10.104265725872096</v>
      </c>
      <c r="AE211" s="43">
        <f t="shared" si="178"/>
        <v>-87.744287057436736</v>
      </c>
      <c r="AF211" t="str">
        <f t="shared" ref="AF211:AF274" si="211">COMPLEX($B$72,0)</f>
        <v>223,849857273222</v>
      </c>
      <c r="AG211" t="str">
        <f t="shared" ref="AG211:AG274" si="212">IMSUM(COMPLEX(1,0),IMDIV(COMPLEX(0,2*PI()*O211),COMPLEX(wp_lf_DCM,0)))</f>
        <v>1+21,1105766734613i</v>
      </c>
      <c r="AH211">
        <f t="shared" si="179"/>
        <v>21.134248211992034</v>
      </c>
      <c r="AI211">
        <f t="shared" si="180"/>
        <v>1.5234620895289765</v>
      </c>
      <c r="AJ211" t="str">
        <f t="shared" ref="AJ211:AJ274" si="213">IMSUM(COMPLEX(1,0),IMDIV(COMPLEX(0,2*PI()*O211),COMPLEX(wz1_dcm,0)))</f>
        <v>1+0,00534785801601484i</v>
      </c>
      <c r="AK211">
        <f t="shared" si="181"/>
        <v>1.0000142996904391</v>
      </c>
      <c r="AL211">
        <f t="shared" si="182"/>
        <v>5.3478070347157238E-3</v>
      </c>
      <c r="AM211" t="str">
        <f t="shared" ref="AM211:AM274" si="214">IMSUB(COMPLEX(1,0),IMDIV(COMPLEX(0,2*PI()*O211),COMPLEX(wz2_dcm,0)))</f>
        <v>1-0,00351507182798773i</v>
      </c>
      <c r="AN211">
        <f t="shared" si="183"/>
        <v>1.0000061778458951</v>
      </c>
      <c r="AO211">
        <f t="shared" si="184"/>
        <v>-3.515057351002293E-3</v>
      </c>
      <c r="AP211" s="41" t="str">
        <f t="shared" si="185"/>
        <v>0,520568056650232-10,5792229470673i</v>
      </c>
      <c r="AQ211">
        <f t="shared" si="186"/>
        <v>20.49957822671869</v>
      </c>
      <c r="AR211" s="43">
        <f t="shared" si="187"/>
        <v>-87.182939156411223</v>
      </c>
      <c r="AS211" t="str">
        <f t="shared" ref="AS211:AS274" si="215">COMPLEX(Adc_ea,0)</f>
        <v>-0,0000166666666666667</v>
      </c>
      <c r="AT211" t="str">
        <f t="shared" ref="AT211:AT274" si="216">COMPLEX(0,2*PI()*O211*wp0_ea)</f>
        <v>5,36390159006288E-06i</v>
      </c>
      <c r="AU211">
        <f t="shared" si="188"/>
        <v>5.36390159006288E-6</v>
      </c>
      <c r="AV211">
        <f t="shared" si="189"/>
        <v>1.5707963267948966</v>
      </c>
      <c r="AW211" t="str">
        <f t="shared" ref="AW211:AW274" si="217">IMSUM(COMPLEX(1,0),IMDIV(COMPLEX(0,2*PI()*O211),COMPLEX(wp1_ea,0)))</f>
        <v>1+0,00351902920296091i</v>
      </c>
      <c r="AX211">
        <f t="shared" si="190"/>
        <v>1.0000061917640968</v>
      </c>
      <c r="AY211">
        <f t="shared" si="191"/>
        <v>3.5190146770247531E-3</v>
      </c>
      <c r="AZ211" t="str">
        <f t="shared" ref="AZ211:AZ274" si="218">IMSUM(COMPLEX(1,0),IMDIV(COMPLEX(0,2*PI()*O211),COMPLEX(wz_ea,0)))</f>
        <v>1+1,17652876352326i</v>
      </c>
      <c r="BA211">
        <f t="shared" si="192"/>
        <v>1.5440919439585101</v>
      </c>
      <c r="BB211">
        <f t="shared" si="193"/>
        <v>0.86632666338806363</v>
      </c>
      <c r="BC211" s="41" t="str">
        <f t="shared" si="194"/>
        <v>-3,64472013751202+3,12001686189809i</v>
      </c>
      <c r="BD211">
        <f t="shared" si="195"/>
        <v>13.620768326281611</v>
      </c>
      <c r="BE211" s="43">
        <f t="shared" si="196"/>
        <v>139.4352368027487</v>
      </c>
      <c r="BF211" s="41" t="str">
        <f t="shared" si="197"/>
        <v>9,5186515762236+12,0487899993143i</v>
      </c>
      <c r="BG211" s="20">
        <f t="shared" si="198"/>
        <v>23.72503405215372</v>
      </c>
      <c r="BH211" s="43">
        <f t="shared" si="199"/>
        <v>51.690949745312039</v>
      </c>
      <c r="BI211" s="41" t="str">
        <f t="shared" si="203"/>
        <v>31,1100291016106+40,1824880289197i</v>
      </c>
      <c r="BJ211" s="20">
        <f t="shared" si="200"/>
        <v>34.120346553000303</v>
      </c>
      <c r="BK211" s="43">
        <f t="shared" si="204"/>
        <v>52.252297646337489</v>
      </c>
      <c r="BL211">
        <f t="shared" si="201"/>
        <v>23.72503405215372</v>
      </c>
      <c r="BM211" s="43">
        <f t="shared" si="202"/>
        <v>51.690949745312039</v>
      </c>
    </row>
    <row r="212" spans="14:65" x14ac:dyDescent="0.25">
      <c r="N212" s="9">
        <v>94</v>
      </c>
      <c r="O212" s="34">
        <f t="shared" si="205"/>
        <v>870.96358995608091</v>
      </c>
      <c r="P212" s="33" t="str">
        <f t="shared" si="206"/>
        <v>66,7780509511648</v>
      </c>
      <c r="Q212" s="4" t="str">
        <f t="shared" si="207"/>
        <v>1+21,3282857390221i</v>
      </c>
      <c r="R212" s="4">
        <f t="shared" ref="R212:R275" si="219">IMABS(Q212)</f>
        <v>21.351715916182791</v>
      </c>
      <c r="S212" s="4">
        <f t="shared" ref="S212:S275" si="220">IMARGUMENT(Q212)</f>
        <v>1.5239445446763971</v>
      </c>
      <c r="T212" s="4" t="str">
        <f t="shared" si="208"/>
        <v>1+0,00547242563150043i</v>
      </c>
      <c r="U212" s="4">
        <f t="shared" ref="U212:U275" si="221">IMABS(T212)</f>
        <v>1.0000149736090416</v>
      </c>
      <c r="V212" s="4">
        <f t="shared" ref="V212:V275" si="222">IMARGUMENT(T212)</f>
        <v>5.4723710040983971E-3</v>
      </c>
      <c r="W212" t="str">
        <f t="shared" si="209"/>
        <v>1-0,0119045609481284i</v>
      </c>
      <c r="X212" s="4">
        <f t="shared" ref="X212:X275" si="223">IMABS(W212)</f>
        <v>1.0000708567753425</v>
      </c>
      <c r="Y212" s="4">
        <f t="shared" ref="Y212:Y275" si="224">IMARGUMENT(W212)</f>
        <v>-1.1903998630152056E-2</v>
      </c>
      <c r="Z212" t="str">
        <f t="shared" si="210"/>
        <v>0,999999241422425+0,00233984553870229i</v>
      </c>
      <c r="AA212" s="4">
        <f t="shared" ref="AA212:AA275" si="225">IMABS(Z212)</f>
        <v>1.0000019788593273</v>
      </c>
      <c r="AB212" s="4">
        <f t="shared" ref="AB212:AB275" si="226">IMARGUMENT(Z212)</f>
        <v>2.3398430435400126E-3</v>
      </c>
      <c r="AC212" s="47" t="str">
        <f t="shared" ref="AC212:AC275" si="227">(IMDIV(IMPRODUCT(P212,T212,W212),IMPRODUCT(Q212,Z212)))</f>
        <v>0,11907837403273-3,12552090622431i</v>
      </c>
      <c r="AD212" s="20">
        <f t="shared" ref="AD212:AD275" si="228">20*LOG(IMABS(AC212))</f>
        <v>9.9047474347096518</v>
      </c>
      <c r="AE212" s="43">
        <f t="shared" ref="AE212:AE275" si="229">(180/PI())*IMARGUMENT(AC212)</f>
        <v>-87.818158871433965</v>
      </c>
      <c r="AF212" t="str">
        <f t="shared" si="211"/>
        <v>223,849857273222</v>
      </c>
      <c r="AG212" t="str">
        <f t="shared" si="212"/>
        <v>1+21,6023051729585i</v>
      </c>
      <c r="AH212">
        <f t="shared" ref="AH212:AH275" si="230">IMABS(AG212)</f>
        <v>21.625438464586782</v>
      </c>
      <c r="AI212">
        <f t="shared" ref="AI212:AI275" si="231">IMARGUMENT(AG212)</f>
        <v>1.524537994064056</v>
      </c>
      <c r="AJ212" t="str">
        <f t="shared" si="213"/>
        <v>1+0,00547242563150043i</v>
      </c>
      <c r="AK212">
        <f t="shared" ref="AK212:AK275" si="232">IMABS(AJ212)</f>
        <v>1.0000149736090416</v>
      </c>
      <c r="AL212">
        <f t="shared" ref="AL212:AL275" si="233">IMARGUMENT(AJ212)</f>
        <v>5.4723710040983971E-3</v>
      </c>
      <c r="AM212" t="str">
        <f t="shared" si="214"/>
        <v>1-0,00359694836894334i</v>
      </c>
      <c r="AN212">
        <f t="shared" ref="AN212:AN275" si="234">IMABS(AM212)</f>
        <v>1.0000064689978605</v>
      </c>
      <c r="AO212">
        <f t="shared" ref="AO212:AO275" si="235">IMARGUMENT(AM212)</f>
        <v>-3.5969328565793827E-3</v>
      </c>
      <c r="AP212" s="41" t="str">
        <f t="shared" ref="AP212:AP275" si="236">(IMDIV(IMPRODUCT(AF212,AJ212,AM212),IMPRODUCT(AG212)))</f>
        <v>0,498061974469072-10,3394614499846i</v>
      </c>
      <c r="AQ212">
        <f t="shared" ref="AQ212:AQ275" si="237">20*LOG(IMABS(AP212))</f>
        <v>20.300024248747064</v>
      </c>
      <c r="AR212" s="43">
        <f t="shared" ref="AR212:AR275" si="238">(180/PI())*IMARGUMENT(AP212)</f>
        <v>-87.242138076620293</v>
      </c>
      <c r="AS212" t="str">
        <f t="shared" si="215"/>
        <v>-0,0000166666666666667</v>
      </c>
      <c r="AT212" t="str">
        <f t="shared" si="216"/>
        <v>5,48884290839494E-06i</v>
      </c>
      <c r="AU212">
        <f t="shared" ref="AU212:AU275" si="239">IMABS(AT212)</f>
        <v>5.4888429083949402E-6</v>
      </c>
      <c r="AV212">
        <f t="shared" ref="AV212:AV275" si="240">IMARGUMENT(AT212)</f>
        <v>1.5707963267948966</v>
      </c>
      <c r="AW212" t="str">
        <f t="shared" si="217"/>
        <v>1+0,00360099792302122i</v>
      </c>
      <c r="AX212">
        <f t="shared" ref="AX212:AX275" si="241">IMABS(AW212)</f>
        <v>1.0000064835720024</v>
      </c>
      <c r="AY212">
        <f t="shared" ref="AY212:AY275" si="242">IMARGUMENT(AW212)</f>
        <v>3.6009823582056513E-3</v>
      </c>
      <c r="AZ212" t="str">
        <f t="shared" si="218"/>
        <v>1+1,20393363893009i</v>
      </c>
      <c r="BA212">
        <f t="shared" ref="BA212:BA275" si="243">IMABS(AZ212)</f>
        <v>1.5650738662911245</v>
      </c>
      <c r="BB212">
        <f t="shared" ref="BB212:BB275" si="244">IMARGUMENT(AZ212)</f>
        <v>0.8776670835121132</v>
      </c>
      <c r="BC212" s="41" t="str">
        <f t="shared" ref="BC212:BC275" si="245">IMPRODUCT(AS212,IMDIV(AZ212,IMPRODUCT(AT212,AW212)))</f>
        <v>-3,64471801040982+3,04958730543664i</v>
      </c>
      <c r="BD212">
        <f t="shared" ref="BD212:BD275" si="246">20*LOG(IMABS(BC212))</f>
        <v>13.537999441829392</v>
      </c>
      <c r="BE212" s="43">
        <f t="shared" ref="BE212:BE275" si="247">(180/PI())*IMARGUMENT(BC212)</f>
        <v>140.08029861157374</v>
      </c>
      <c r="BF212" s="41" t="str">
        <f t="shared" ref="BF212:BF275" si="248">IMPRODUCT(AC212,BC212)</f>
        <v>9,09754178401107+11,7547822366304i</v>
      </c>
      <c r="BG212" s="20">
        <f t="shared" ref="BG212:BG275" si="249">20*LOG(IMABS(BF212))</f>
        <v>23.442746876539037</v>
      </c>
      <c r="BH212" s="43">
        <f t="shared" ref="BH212:BH275" si="250">(180/PI())*IMARGUMENT(BF212)</f>
        <v>52.26213974013973</v>
      </c>
      <c r="BI212" s="41" t="str">
        <f t="shared" si="203"/>
        <v>29,7157949342768+39,2033048393585i</v>
      </c>
      <c r="BJ212" s="20">
        <f t="shared" ref="BJ212:BJ275" si="251">20*LOG(IMABS(BI212))</f>
        <v>33.838023690576456</v>
      </c>
      <c r="BK212" s="43">
        <f t="shared" si="204"/>
        <v>52.838160534953509</v>
      </c>
      <c r="BL212">
        <f t="shared" ref="BL212:BL275" si="252">IF($B$31=0,BJ212,BG212)</f>
        <v>23.442746876539037</v>
      </c>
      <c r="BM212" s="43">
        <f t="shared" ref="BM212:BM275" si="253">IF($B$31=0,BK212,BH212)</f>
        <v>52.26213974013973</v>
      </c>
    </row>
    <row r="213" spans="14:65" x14ac:dyDescent="0.25">
      <c r="N213" s="9">
        <v>95</v>
      </c>
      <c r="O213" s="34">
        <f t="shared" si="205"/>
        <v>891.25093813374656</v>
      </c>
      <c r="P213" s="33" t="str">
        <f t="shared" si="206"/>
        <v>66,7780509511648</v>
      </c>
      <c r="Q213" s="4" t="str">
        <f t="shared" si="207"/>
        <v>1+21,8250853341029i</v>
      </c>
      <c r="R213" s="4">
        <f t="shared" si="219"/>
        <v>21.847982740767478</v>
      </c>
      <c r="S213" s="4">
        <f t="shared" si="220"/>
        <v>1.525009514222093</v>
      </c>
      <c r="T213" s="4" t="str">
        <f t="shared" si="208"/>
        <v>1+0,00559989479949198i</v>
      </c>
      <c r="U213" s="4">
        <f t="shared" si="221"/>
        <v>1.0000156792879626</v>
      </c>
      <c r="V213" s="4">
        <f t="shared" si="222"/>
        <v>5.5998362652256743E-3</v>
      </c>
      <c r="W213" t="str">
        <f t="shared" si="209"/>
        <v>1-0,012181853794399i</v>
      </c>
      <c r="X213" s="4">
        <f t="shared" si="223"/>
        <v>1.0000741960284087</v>
      </c>
      <c r="Y213" s="4">
        <f t="shared" si="224"/>
        <v>-1.2181251262245963E-2</v>
      </c>
      <c r="Z213" t="str">
        <f t="shared" si="210"/>
        <v>0,999999205671765+0,00239434754277344i</v>
      </c>
      <c r="AA213" s="4">
        <f t="shared" si="225"/>
        <v>1.0000020721200116</v>
      </c>
      <c r="AB213" s="4">
        <f t="shared" si="226"/>
        <v>2.394344869159177E-3</v>
      </c>
      <c r="AC213" s="47" t="str">
        <f t="shared" si="227"/>
        <v>0,112496931643704-3,05468346218892i</v>
      </c>
      <c r="AD213" s="20">
        <f t="shared" si="228"/>
        <v>9.7052105261500046</v>
      </c>
      <c r="AE213" s="43">
        <f t="shared" si="229"/>
        <v>-87.890882040476825</v>
      </c>
      <c r="AF213" t="str">
        <f t="shared" si="211"/>
        <v>223,849857273222</v>
      </c>
      <c r="AG213" t="str">
        <f t="shared" si="212"/>
        <v>1+22,1054875005987i</v>
      </c>
      <c r="AH213">
        <f t="shared" si="230"/>
        <v>22.128094758454132</v>
      </c>
      <c r="AI213">
        <f t="shared" si="231"/>
        <v>1.5255895115898748</v>
      </c>
      <c r="AJ213" t="str">
        <f t="shared" si="213"/>
        <v>1+0,00559989479949198i</v>
      </c>
      <c r="AK213">
        <f t="shared" si="232"/>
        <v>1.0000156792879626</v>
      </c>
      <c r="AL213">
        <f t="shared" si="233"/>
        <v>5.5998362652256743E-3</v>
      </c>
      <c r="AM213" t="str">
        <f t="shared" si="214"/>
        <v>1-0,00368073205953541i</v>
      </c>
      <c r="AN213">
        <f t="shared" si="234"/>
        <v>1.0000067738713043</v>
      </c>
      <c r="AO213">
        <f t="shared" si="235"/>
        <v>-3.6807154377440409E-3</v>
      </c>
      <c r="AP213" s="41" t="str">
        <f t="shared" si="236"/>
        <v>0,476564597966444-10,1050884581517i</v>
      </c>
      <c r="AQ213">
        <f t="shared" si="237"/>
        <v>20.10045100995983</v>
      </c>
      <c r="AR213" s="43">
        <f t="shared" si="238"/>
        <v>-87.299882759734061</v>
      </c>
      <c r="AS213" t="str">
        <f t="shared" si="215"/>
        <v>-0,0000166666666666667</v>
      </c>
      <c r="AT213" t="str">
        <f t="shared" si="216"/>
        <v>5,61669448389046E-06i</v>
      </c>
      <c r="AU213">
        <f t="shared" si="239"/>
        <v>5.6166944838904598E-6</v>
      </c>
      <c r="AV213">
        <f t="shared" si="240"/>
        <v>1.5707963267948966</v>
      </c>
      <c r="AW213" t="str">
        <f t="shared" si="217"/>
        <v>1+0,00368487593984517i</v>
      </c>
      <c r="AX213">
        <f t="shared" si="241"/>
        <v>1.0000067891322999</v>
      </c>
      <c r="AY213">
        <f t="shared" si="242"/>
        <v>3.6848592618509207E-3</v>
      </c>
      <c r="AZ213" t="str">
        <f t="shared" si="218"/>
        <v>1+1,23197685588823i</v>
      </c>
      <c r="BA213">
        <f t="shared" si="243"/>
        <v>1.5867472935046236</v>
      </c>
      <c r="BB213">
        <f t="shared" si="244"/>
        <v>0.88895969681195097</v>
      </c>
      <c r="BC213" s="41" t="str">
        <f t="shared" si="245"/>
        <v>-3,64471578306304+2,98077467980841i</v>
      </c>
      <c r="BD213">
        <f t="shared" si="246"/>
        <v>13.457455319619957</v>
      </c>
      <c r="BE213" s="43">
        <f t="shared" si="247"/>
        <v>140.72251190075025</v>
      </c>
      <c r="BF213" s="41" t="str">
        <f t="shared" si="248"/>
        <v>8,69530377661425+11,4687810323013i</v>
      </c>
      <c r="BG213" s="20">
        <f t="shared" si="249"/>
        <v>23.162665845769965</v>
      </c>
      <c r="BH213" s="43">
        <f t="shared" si="250"/>
        <v>52.831629860273424</v>
      </c>
      <c r="BI213" s="41" t="str">
        <f t="shared" si="203"/>
        <v>28,3840493014254+38,2507070795851i</v>
      </c>
      <c r="BJ213" s="20">
        <f t="shared" si="251"/>
        <v>33.557906329579779</v>
      </c>
      <c r="BK213" s="43">
        <f t="shared" si="204"/>
        <v>53.422629141016166</v>
      </c>
      <c r="BL213">
        <f t="shared" si="252"/>
        <v>23.162665845769965</v>
      </c>
      <c r="BM213" s="43">
        <f t="shared" si="253"/>
        <v>52.831629860273424</v>
      </c>
    </row>
    <row r="214" spans="14:65" x14ac:dyDescent="0.25">
      <c r="N214" s="9">
        <v>96</v>
      </c>
      <c r="O214" s="34">
        <f t="shared" si="205"/>
        <v>912.01083935590987</v>
      </c>
      <c r="P214" s="33" t="str">
        <f t="shared" si="206"/>
        <v>66,7780509511648</v>
      </c>
      <c r="Q214" s="4" t="str">
        <f t="shared" si="207"/>
        <v>1+22,3334568783169i</v>
      </c>
      <c r="R214" s="4">
        <f t="shared" si="219"/>
        <v>22.355833604132062</v>
      </c>
      <c r="S214" s="4">
        <f t="shared" si="220"/>
        <v>1.5260503425387499</v>
      </c>
      <c r="T214" s="4" t="str">
        <f t="shared" si="208"/>
        <v>1+0,00573033310582957i</v>
      </c>
      <c r="U214" s="4">
        <f t="shared" si="221"/>
        <v>1.0000164182239728</v>
      </c>
      <c r="V214" s="4">
        <f t="shared" si="222"/>
        <v>5.7302703852888208E-3</v>
      </c>
      <c r="W214" t="str">
        <f t="shared" si="209"/>
        <v>1-0,0124656056207972i</v>
      </c>
      <c r="X214" s="4">
        <f t="shared" si="223"/>
        <v>1.0000776926436732</v>
      </c>
      <c r="Y214" s="4">
        <f t="shared" si="224"/>
        <v>-1.2464959998672056E-2</v>
      </c>
      <c r="Z214" t="str">
        <f t="shared" si="210"/>
        <v>0,999999168236229+0,0024501190616047i</v>
      </c>
      <c r="AA214" s="4">
        <f t="shared" si="225"/>
        <v>1.0000021697759289</v>
      </c>
      <c r="AB214" s="4">
        <f t="shared" si="226"/>
        <v>2.4501161967757212E-3</v>
      </c>
      <c r="AC214" s="47" t="str">
        <f t="shared" si="227"/>
        <v>0,106210488124834-2,98543855462053i</v>
      </c>
      <c r="AD214" s="20">
        <f t="shared" si="228"/>
        <v>9.5056559765981365</v>
      </c>
      <c r="AE214" s="43">
        <f t="shared" si="229"/>
        <v>-87.962494560533315</v>
      </c>
      <c r="AF214" t="str">
        <f t="shared" si="211"/>
        <v>223,849857273222</v>
      </c>
      <c r="AG214" t="str">
        <f t="shared" si="212"/>
        <v>1+22,6203904503124i</v>
      </c>
      <c r="AH214">
        <f t="shared" si="230"/>
        <v>22.642483612108112</v>
      </c>
      <c r="AI214">
        <f t="shared" si="231"/>
        <v>1.5266171903284398</v>
      </c>
      <c r="AJ214" t="str">
        <f t="shared" si="213"/>
        <v>1+0,00573033310582957i</v>
      </c>
      <c r="AK214">
        <f t="shared" si="232"/>
        <v>1.0000164182239728</v>
      </c>
      <c r="AL214">
        <f t="shared" si="233"/>
        <v>5.7302703852888208E-3</v>
      </c>
      <c r="AM214" t="str">
        <f t="shared" si="214"/>
        <v>1-0,00376646732298569i</v>
      </c>
      <c r="AN214">
        <f t="shared" si="234"/>
        <v>1.0000070931128915</v>
      </c>
      <c r="AO214">
        <f t="shared" si="235"/>
        <v>-3.7664495124221735E-3</v>
      </c>
      <c r="AP214" s="41" t="str">
        <f t="shared" si="236"/>
        <v>0,456030899415651-9,8759859269958i</v>
      </c>
      <c r="AQ214">
        <f t="shared" si="237"/>
        <v>19.900859410017361</v>
      </c>
      <c r="AR214" s="43">
        <f t="shared" si="238"/>
        <v>-87.356203290204576</v>
      </c>
      <c r="AS214" t="str">
        <f t="shared" si="215"/>
        <v>-0,0000166666666666667</v>
      </c>
      <c r="AT214" t="str">
        <f t="shared" si="216"/>
        <v>5,74752410514706E-06i</v>
      </c>
      <c r="AU214">
        <f t="shared" si="239"/>
        <v>5.7475241051470603E-6</v>
      </c>
      <c r="AV214">
        <f t="shared" si="240"/>
        <v>1.5707963267948966</v>
      </c>
      <c r="AW214" t="str">
        <f t="shared" si="217"/>
        <v>1+0,00377070772666751i</v>
      </c>
      <c r="AX214">
        <f t="shared" si="241"/>
        <v>1.0000071090931104</v>
      </c>
      <c r="AY214">
        <f t="shared" si="242"/>
        <v>3.7706898558815607E-3</v>
      </c>
      <c r="AZ214" t="str">
        <f t="shared" si="218"/>
        <v>1+1,2606732832825i</v>
      </c>
      <c r="BA214">
        <f t="shared" si="243"/>
        <v>1.6091293071665429</v>
      </c>
      <c r="BB214">
        <f t="shared" si="244"/>
        <v>0.90019897095535606</v>
      </c>
      <c r="BC214" s="41" t="str">
        <f t="shared" si="245"/>
        <v>-3,64471345074756+2,91354249959682i</v>
      </c>
      <c r="BD214">
        <f t="shared" si="246"/>
        <v>13.379116110992159</v>
      </c>
      <c r="BE214" s="43">
        <f t="shared" si="247"/>
        <v>141.36155714316689</v>
      </c>
      <c r="BF214" s="41" t="str">
        <f t="shared" si="248"/>
        <v>8,31109531414277+11,1905168274604i</v>
      </c>
      <c r="BG214" s="20">
        <f t="shared" si="249"/>
        <v>22.884772087590282</v>
      </c>
      <c r="BH214" s="43">
        <f t="shared" si="250"/>
        <v>53.399062582633533</v>
      </c>
      <c r="BI214" s="41" t="str">
        <f t="shared" si="203"/>
        <v>27,1120027706656+37,3238041540921i</v>
      </c>
      <c r="BJ214" s="20">
        <f t="shared" si="251"/>
        <v>33.279975521009526</v>
      </c>
      <c r="BK214" s="43">
        <f t="shared" si="204"/>
        <v>54.005353852962401</v>
      </c>
      <c r="BL214">
        <f t="shared" si="252"/>
        <v>22.884772087590282</v>
      </c>
      <c r="BM214" s="43">
        <f t="shared" si="253"/>
        <v>53.399062582633533</v>
      </c>
    </row>
    <row r="215" spans="14:65" x14ac:dyDescent="0.25">
      <c r="N215" s="9">
        <v>97</v>
      </c>
      <c r="O215" s="34">
        <f t="shared" si="205"/>
        <v>933.25430079699106</v>
      </c>
      <c r="P215" s="33" t="str">
        <f t="shared" si="206"/>
        <v>66,7780509511648</v>
      </c>
      <c r="Q215" s="4" t="str">
        <f t="shared" si="207"/>
        <v>1+22,8536699169861i</v>
      </c>
      <c r="R215" s="4">
        <f t="shared" si="219"/>
        <v>22.875537778914737</v>
      </c>
      <c r="S215" s="4">
        <f t="shared" si="220"/>
        <v>1.5270675724617546</v>
      </c>
      <c r="T215" s="4" t="str">
        <f t="shared" si="208"/>
        <v>1+0,00586380971062981i</v>
      </c>
      <c r="U215" s="4">
        <f t="shared" si="221"/>
        <v>1.000017191984379</v>
      </c>
      <c r="V215" s="4">
        <f t="shared" si="222"/>
        <v>5.8637425044219642E-3</v>
      </c>
      <c r="W215" t="str">
        <f t="shared" si="209"/>
        <v>1-0,0127559668762973i</v>
      </c>
      <c r="X215" s="4">
        <f t="shared" si="223"/>
        <v>1.000081354036235</v>
      </c>
      <c r="Y215" s="4">
        <f t="shared" si="224"/>
        <v>-1.2755275082765681E-2</v>
      </c>
      <c r="Z215" t="str">
        <f t="shared" si="210"/>
        <v>0,99999912903641+0,00250718966599359i</v>
      </c>
      <c r="AA215" s="4">
        <f t="shared" si="225"/>
        <v>1.0000022720342188</v>
      </c>
      <c r="AB215" s="4">
        <f t="shared" si="226"/>
        <v>2.5071865962743934E-3</v>
      </c>
      <c r="AC215" s="47" t="str">
        <f t="shared" si="227"/>
        <v>0,100205872711314-2,91775127040988i</v>
      </c>
      <c r="AD215" s="20">
        <f t="shared" si="228"/>
        <v>9.3060847255503703</v>
      </c>
      <c r="AE215" s="43">
        <f t="shared" si="229"/>
        <v>-88.033033874880871</v>
      </c>
      <c r="AF215" t="str">
        <f t="shared" si="211"/>
        <v>223,849857273222</v>
      </c>
      <c r="AG215" t="str">
        <f t="shared" si="212"/>
        <v>1+23,1472870304592i</v>
      </c>
      <c r="AH215">
        <f t="shared" si="230"/>
        <v>23.168877764588959</v>
      </c>
      <c r="AI215">
        <f t="shared" si="231"/>
        <v>1.527621566480833</v>
      </c>
      <c r="AJ215" t="str">
        <f t="shared" si="213"/>
        <v>1+0,00586380971062981i</v>
      </c>
      <c r="AK215">
        <f t="shared" si="232"/>
        <v>1.000017191984379</v>
      </c>
      <c r="AL215">
        <f t="shared" si="233"/>
        <v>5.8637425044219642E-3</v>
      </c>
      <c r="AM215" t="str">
        <f t="shared" si="214"/>
        <v>1-0,00385419961726571i</v>
      </c>
      <c r="AN215">
        <f t="shared" si="234"/>
        <v>1.0000074273997617</v>
      </c>
      <c r="AO215">
        <f t="shared" si="235"/>
        <v>-3.8541805329107203E-3</v>
      </c>
      <c r="AP215" s="41" t="str">
        <f t="shared" si="236"/>
        <v>0,436417845126565-9,6520381937847i</v>
      </c>
      <c r="AQ215">
        <f t="shared" si="237"/>
        <v>19.701250310121011</v>
      </c>
      <c r="AR215" s="43">
        <f t="shared" si="238"/>
        <v>-87.411129032877653</v>
      </c>
      <c r="AS215" t="str">
        <f t="shared" si="215"/>
        <v>-0,0000166666666666667</v>
      </c>
      <c r="AT215" t="str">
        <f t="shared" si="216"/>
        <v>0,0000058814011397617i</v>
      </c>
      <c r="AU215">
        <f t="shared" si="239"/>
        <v>5.8814011397616996E-6</v>
      </c>
      <c r="AV215">
        <f t="shared" si="240"/>
        <v>1.5707963267948966</v>
      </c>
      <c r="AW215" t="str">
        <f t="shared" si="217"/>
        <v>1+0,00385853879263776i</v>
      </c>
      <c r="AX215">
        <f t="shared" si="241"/>
        <v>1.0000074441330995</v>
      </c>
      <c r="AY215">
        <f t="shared" si="242"/>
        <v>3.8585196437533145E-3</v>
      </c>
      <c r="AZ215" t="str">
        <f t="shared" si="218"/>
        <v>1+1,29003813633856i</v>
      </c>
      <c r="BA215">
        <f t="shared" si="243"/>
        <v>1.6322372355781696</v>
      </c>
      <c r="BB215">
        <f t="shared" si="244"/>
        <v>0.91137950772804532</v>
      </c>
      <c r="BC215" s="41" t="str">
        <f t="shared" si="245"/>
        <v>-3,64471100851667+2,84785511735467i</v>
      </c>
      <c r="BD215">
        <f t="shared" si="246"/>
        <v>13.302959926478987</v>
      </c>
      <c r="BE215" s="43">
        <f t="shared" si="247"/>
        <v>141.99712243677229</v>
      </c>
      <c r="BF215" s="41" t="str">
        <f t="shared" si="248"/>
        <v>7,94411143921592+10,9197319827663i</v>
      </c>
      <c r="BG215" s="20">
        <f t="shared" si="249"/>
        <v>22.609044652029361</v>
      </c>
      <c r="BH215" s="43">
        <f t="shared" si="250"/>
        <v>53.964088561891451</v>
      </c>
      <c r="BI215" s="41" t="str">
        <f t="shared" si="203"/>
        <v>25,8969894386266+36,421744653059i</v>
      </c>
      <c r="BJ215" s="20">
        <f t="shared" si="251"/>
        <v>33.004210236600002</v>
      </c>
      <c r="BK215" s="43">
        <f t="shared" si="204"/>
        <v>54.585993403894584</v>
      </c>
      <c r="BL215">
        <f t="shared" si="252"/>
        <v>22.609044652029361</v>
      </c>
      <c r="BM215" s="43">
        <f t="shared" si="253"/>
        <v>53.964088561891451</v>
      </c>
    </row>
    <row r="216" spans="14:65" x14ac:dyDescent="0.25">
      <c r="N216" s="9">
        <v>98</v>
      </c>
      <c r="O216" s="34">
        <f t="shared" si="205"/>
        <v>954.99258602143675</v>
      </c>
      <c r="P216" s="33" t="str">
        <f t="shared" si="206"/>
        <v>66,7780509511648</v>
      </c>
      <c r="Q216" s="4" t="str">
        <f t="shared" si="207"/>
        <v>1+23,3860002739494i</v>
      </c>
      <c r="R216" s="4">
        <f t="shared" si="219"/>
        <v>23.407370822310682</v>
      </c>
      <c r="S216" s="4">
        <f t="shared" si="220"/>
        <v>1.5280617349143986</v>
      </c>
      <c r="T216" s="4" t="str">
        <f t="shared" si="208"/>
        <v>1+0,00600039538495533i</v>
      </c>
      <c r="U216" s="4">
        <f t="shared" si="221"/>
        <v>1.0000180022103482</v>
      </c>
      <c r="V216" s="4">
        <f t="shared" si="222"/>
        <v>6.0003233722762065E-3</v>
      </c>
      <c r="W216" t="str">
        <f t="shared" si="209"/>
        <v>1-0,0130530915142805i</v>
      </c>
      <c r="X216" s="4">
        <f t="shared" si="223"/>
        <v>1.000085187970545</v>
      </c>
      <c r="Y216" s="4">
        <f t="shared" si="224"/>
        <v>-1.3052350247566314E-2</v>
      </c>
      <c r="Z216" t="str">
        <f t="shared" si="210"/>
        <v>0,999999087989161+0,00256558961552997i</v>
      </c>
      <c r="AA216" s="4">
        <f t="shared" si="225"/>
        <v>1.0000023791117845</v>
      </c>
      <c r="AB216" s="4">
        <f t="shared" si="226"/>
        <v>2.5655863262669912E-3</v>
      </c>
      <c r="AC216" s="47" t="str">
        <f t="shared" si="227"/>
        <v>0,0944704980914281-2,85158740285694i</v>
      </c>
      <c r="AD216" s="20">
        <f t="shared" si="228"/>
        <v>9.1064976775420714</v>
      </c>
      <c r="AE216" s="43">
        <f t="shared" si="229"/>
        <v>-88.102536891471956</v>
      </c>
      <c r="AF216" t="str">
        <f t="shared" si="211"/>
        <v>223,849857273222</v>
      </c>
      <c r="AG216" t="str">
        <f t="shared" si="212"/>
        <v>1+23,6864566085801i</v>
      </c>
      <c r="AH216">
        <f t="shared" si="230"/>
        <v>23.70755632008807</v>
      </c>
      <c r="AI216">
        <f t="shared" si="231"/>
        <v>1.5286031644704807</v>
      </c>
      <c r="AJ216" t="str">
        <f t="shared" si="213"/>
        <v>1+0,00600039538495533i</v>
      </c>
      <c r="AK216">
        <f t="shared" si="232"/>
        <v>1.0000180022103482</v>
      </c>
      <c r="AL216">
        <f t="shared" si="233"/>
        <v>6.0003233722762065E-3</v>
      </c>
      <c r="AM216" t="str">
        <f t="shared" si="214"/>
        <v>1-0,00394397545919917i</v>
      </c>
      <c r="AN216">
        <f t="shared" si="234"/>
        <v>1.000007777440967</v>
      </c>
      <c r="AO216">
        <f t="shared" si="235"/>
        <v>-3.9439550099529602E-3</v>
      </c>
      <c r="AP216" s="41" t="str">
        <f t="shared" si="236"/>
        <v>0,417684308544333-9,43313194354581i</v>
      </c>
      <c r="AQ216">
        <f t="shared" si="237"/>
        <v>19.501624534797276</v>
      </c>
      <c r="AR216" s="43">
        <f t="shared" si="238"/>
        <v>-87.464688646215237</v>
      </c>
      <c r="AS216" t="str">
        <f t="shared" si="215"/>
        <v>-0,0000166666666666667</v>
      </c>
      <c r="AT216" t="str">
        <f t="shared" si="216"/>
        <v>6,01839657111019E-06i</v>
      </c>
      <c r="AU216">
        <f t="shared" si="239"/>
        <v>6.0183965711101899E-6</v>
      </c>
      <c r="AV216">
        <f t="shared" si="240"/>
        <v>1.5707963267948966</v>
      </c>
      <c r="AW216" t="str">
        <f t="shared" si="217"/>
        <v>1+0,00394841570694967i</v>
      </c>
      <c r="AX216">
        <f t="shared" si="241"/>
        <v>1.0000077949629167</v>
      </c>
      <c r="AY216">
        <f t="shared" si="242"/>
        <v>3.9483951885589509E-3</v>
      </c>
      <c r="AZ216" t="str">
        <f t="shared" si="218"/>
        <v>1+1,32008698469017i</v>
      </c>
      <c r="BA216">
        <f t="shared" si="243"/>
        <v>1.656088659205293</v>
      </c>
      <c r="BB216">
        <f t="shared" si="244"/>
        <v>0.92249605483438146</v>
      </c>
      <c r="BC216" s="41" t="str">
        <f t="shared" si="245"/>
        <v>-3,64470845119044+2,78367770470312i</v>
      </c>
      <c r="BD216">
        <f t="shared" si="246"/>
        <v>13.22896292197594</v>
      </c>
      <c r="BE216" s="43">
        <f t="shared" si="247"/>
        <v>142.62890417932473</v>
      </c>
      <c r="BF216" s="41" t="str">
        <f t="shared" si="248"/>
        <v>7,59358285356314+10,6561801257902i</v>
      </c>
      <c r="BG216" s="20">
        <f t="shared" si="249"/>
        <v>22.335460599518015</v>
      </c>
      <c r="BH216" s="43">
        <f t="shared" si="250"/>
        <v>54.526367287852793</v>
      </c>
      <c r="BI216" s="41" t="str">
        <f t="shared" si="203"/>
        <v>24,7364615474901+35,5437142131351i</v>
      </c>
      <c r="BJ216" s="20">
        <f t="shared" si="251"/>
        <v>32.730587456773208</v>
      </c>
      <c r="BK216" s="43">
        <f t="shared" si="204"/>
        <v>55.164215533109505</v>
      </c>
      <c r="BL216">
        <f t="shared" si="252"/>
        <v>22.335460599518015</v>
      </c>
      <c r="BM216" s="43">
        <f t="shared" si="253"/>
        <v>54.526367287852793</v>
      </c>
    </row>
    <row r="217" spans="14:65" x14ac:dyDescent="0.25">
      <c r="N217" s="9">
        <v>99</v>
      </c>
      <c r="O217" s="34">
        <f t="shared" si="205"/>
        <v>977.23722095581138</v>
      </c>
      <c r="P217" s="33" t="str">
        <f t="shared" si="206"/>
        <v>66,7780509511648</v>
      </c>
      <c r="Q217" s="4" t="str">
        <f t="shared" si="207"/>
        <v>1+23,9307301978082i</v>
      </c>
      <c r="R217" s="4">
        <f t="shared" si="219"/>
        <v>23.951614722191266</v>
      </c>
      <c r="S217" s="4">
        <f t="shared" si="220"/>
        <v>1.5290333491495811</v>
      </c>
      <c r="T217" s="4" t="str">
        <f t="shared" si="208"/>
        <v>1+0,00614016254833857i</v>
      </c>
      <c r="U217" s="4">
        <f t="shared" si="221"/>
        <v>1.0000188506203871</v>
      </c>
      <c r="V217" s="4">
        <f t="shared" si="222"/>
        <v>6.1400853854412249E-3</v>
      </c>
      <c r="W217" t="str">
        <f t="shared" si="209"/>
        <v>1-0,0133571370741626i</v>
      </c>
      <c r="X217" s="4">
        <f t="shared" si="223"/>
        <v>1.0000892025768591</v>
      </c>
      <c r="Y217" s="4">
        <f t="shared" si="224"/>
        <v>-1.3356342796394265E-2</v>
      </c>
      <c r="Z217" t="str">
        <f t="shared" si="210"/>
        <v>0,999999045007414+0,00262534987464009i</v>
      </c>
      <c r="AA217" s="4">
        <f t="shared" si="225"/>
        <v>1.000002491235749</v>
      </c>
      <c r="AB217" s="4">
        <f t="shared" si="226"/>
        <v>2.6253463501317623E-3</v>
      </c>
      <c r="AC217" s="47" t="str">
        <f t="shared" si="227"/>
        <v>0,0889923349620287-2,78691344142365i</v>
      </c>
      <c r="AD217" s="20">
        <f t="shared" si="228"/>
        <v>8.9068957040249401</v>
      </c>
      <c r="AE217" s="43">
        <f t="shared" si="229"/>
        <v>-88.171040000174457</v>
      </c>
      <c r="AF217" t="str">
        <f t="shared" si="211"/>
        <v>223,849857273222</v>
      </c>
      <c r="AG217" t="str">
        <f t="shared" si="212"/>
        <v>1+24,2381850595222i</v>
      </c>
      <c r="AH217">
        <f t="shared" si="230"/>
        <v>24.258804895947478</v>
      </c>
      <c r="AI217">
        <f t="shared" si="231"/>
        <v>1.5295624971828909</v>
      </c>
      <c r="AJ217" t="str">
        <f t="shared" si="213"/>
        <v>1+0,00614016254833857i</v>
      </c>
      <c r="AK217">
        <f t="shared" si="232"/>
        <v>1.0000188506203871</v>
      </c>
      <c r="AL217">
        <f t="shared" si="233"/>
        <v>6.1400853854412249E-3</v>
      </c>
      <c r="AM217" t="str">
        <f t="shared" si="214"/>
        <v>1-0,00403584244912578i</v>
      </c>
      <c r="AN217">
        <f t="shared" si="234"/>
        <v>1.000008143978975</v>
      </c>
      <c r="AO217">
        <f t="shared" si="235"/>
        <v>-4.0358205373733271E-3</v>
      </c>
      <c r="AP217" s="41" t="str">
        <f t="shared" si="236"/>
        <v>0,399790987011297-9,2191561744429i</v>
      </c>
      <c r="AQ217">
        <f t="shared" si="237"/>
        <v>19.301982873607272</v>
      </c>
      <c r="AR217" s="43">
        <f t="shared" si="238"/>
        <v>-87.516910095298485</v>
      </c>
      <c r="AS217" t="str">
        <f t="shared" si="215"/>
        <v>-0,0000166666666666667</v>
      </c>
      <c r="AT217" t="str">
        <f t="shared" si="216"/>
        <v>6,15858303598358E-06i</v>
      </c>
      <c r="AU217">
        <f t="shared" si="239"/>
        <v>6.1585830359835799E-6</v>
      </c>
      <c r="AV217">
        <f t="shared" si="240"/>
        <v>1.5707963267948966</v>
      </c>
      <c r="AW217" t="str">
        <f t="shared" si="217"/>
        <v>1+0,00404038612353286i</v>
      </c>
      <c r="AX217">
        <f t="shared" si="241"/>
        <v>1.0000081623267019</v>
      </c>
      <c r="AY217">
        <f t="shared" si="242"/>
        <v>4.0403641376907844E-3</v>
      </c>
      <c r="AZ217" t="str">
        <f t="shared" si="218"/>
        <v>1+1,35083576063448i</v>
      </c>
      <c r="BA217">
        <f t="shared" si="243"/>
        <v>1.6807014167331846</v>
      </c>
      <c r="BB217">
        <f t="shared" si="244"/>
        <v>0.93354351684166137</v>
      </c>
      <c r="BC217" s="41" t="str">
        <f t="shared" si="245"/>
        <v>-3,64470577334501+2,72097623386494i</v>
      </c>
      <c r="BD217">
        <f t="shared" si="246"/>
        <v>13.157099391103618</v>
      </c>
      <c r="BE217" s="43">
        <f t="shared" si="247"/>
        <v>143.25660769404155</v>
      </c>
      <c r="BF217" s="41" t="str">
        <f t="shared" si="248"/>
        <v>7,25877436293294+10,3996255381974i</v>
      </c>
      <c r="BG217" s="20">
        <f t="shared" si="249"/>
        <v>22.063995095128547</v>
      </c>
      <c r="BH217" s="43">
        <f t="shared" si="250"/>
        <v>55.085567693867056</v>
      </c>
      <c r="BI217" s="41" t="str">
        <f t="shared" si="203"/>
        <v>23,627984328457+34,6889335085325i</v>
      </c>
      <c r="BJ217" s="20">
        <f t="shared" si="251"/>
        <v>32.459082264710901</v>
      </c>
      <c r="BK217" s="43">
        <f t="shared" si="204"/>
        <v>55.739697598743042</v>
      </c>
      <c r="BL217">
        <f t="shared" si="252"/>
        <v>22.063995095128547</v>
      </c>
      <c r="BM217" s="43">
        <f t="shared" si="253"/>
        <v>55.085567693867056</v>
      </c>
    </row>
    <row r="218" spans="14:65" x14ac:dyDescent="0.25">
      <c r="N218" s="9">
        <v>100</v>
      </c>
      <c r="O218" s="34">
        <f t="shared" si="205"/>
        <v>1000</v>
      </c>
      <c r="P218" s="33" t="str">
        <f t="shared" si="206"/>
        <v>66,7780509511648</v>
      </c>
      <c r="Q218" s="4" t="str">
        <f t="shared" si="207"/>
        <v>1+24,4881485115785i</v>
      </c>
      <c r="R218" s="4">
        <f t="shared" si="219"/>
        <v>24.508558046631883</v>
      </c>
      <c r="S218" s="4">
        <f t="shared" si="220"/>
        <v>1.5299829229879531</v>
      </c>
      <c r="T218" s="4" t="str">
        <f t="shared" si="208"/>
        <v>1+0,00628318530717959i</v>
      </c>
      <c r="U218" s="4">
        <f t="shared" si="221"/>
        <v>1.0000197390139878</v>
      </c>
      <c r="V218" s="4">
        <f t="shared" si="222"/>
        <v>6.28310262573358E-3</v>
      </c>
      <c r="W218" t="str">
        <f t="shared" si="209"/>
        <v>1-0,0136682647649241i</v>
      </c>
      <c r="X218" s="4">
        <f t="shared" si="223"/>
        <v>1.0000934063684672</v>
      </c>
      <c r="Y218" s="4">
        <f t="shared" si="224"/>
        <v>-1.3667413685254676E-2</v>
      </c>
      <c r="Z218" t="str">
        <f t="shared" si="210"/>
        <v>0,999999+0,00268650212900436i</v>
      </c>
      <c r="AA218" s="4">
        <f t="shared" si="225"/>
        <v>1.0000026086439422</v>
      </c>
      <c r="AB218" s="4">
        <f t="shared" si="226"/>
        <v>2.6864983524261532E-3</v>
      </c>
      <c r="AC218" s="47" t="str">
        <f t="shared" si="227"/>
        <v>0,0837598876581327-2,72369656133825i</v>
      </c>
      <c r="AD218" s="20">
        <f t="shared" si="228"/>
        <v>8.7072796451776657</v>
      </c>
      <c r="AE218" s="43">
        <f t="shared" si="229"/>
        <v>-88.238579089884183</v>
      </c>
      <c r="AF218" t="str">
        <f t="shared" si="211"/>
        <v>223,849857273222</v>
      </c>
      <c r="AG218" t="str">
        <f t="shared" si="212"/>
        <v>1+24,8027649170131i</v>
      </c>
      <c r="AH218">
        <f t="shared" si="230"/>
        <v>24.822915774111141</v>
      </c>
      <c r="AI218">
        <f t="shared" si="231"/>
        <v>1.5305000662018013</v>
      </c>
      <c r="AJ218" t="str">
        <f t="shared" si="213"/>
        <v>1+0,00628318530717959i</v>
      </c>
      <c r="AK218">
        <f t="shared" si="232"/>
        <v>1.0000197390139878</v>
      </c>
      <c r="AL218">
        <f t="shared" si="233"/>
        <v>6.28310262573358E-3</v>
      </c>
      <c r="AM218" t="str">
        <f t="shared" si="214"/>
        <v>1-0,0041298492961396i</v>
      </c>
      <c r="AN218">
        <f t="shared" si="234"/>
        <v>1.0000085277912427</v>
      </c>
      <c r="AO218">
        <f t="shared" si="235"/>
        <v>-4.1298258172846481E-3</v>
      </c>
      <c r="AP218" s="41" t="str">
        <f t="shared" si="236"/>
        <v>0,382700322048822-9,01000216270953i</v>
      </c>
      <c r="AQ218">
        <f t="shared" si="237"/>
        <v>19.102326082786341</v>
      </c>
      <c r="AR218" s="43">
        <f t="shared" si="238"/>
        <v>-87.567820664608774</v>
      </c>
      <c r="AS218" t="str">
        <f t="shared" si="215"/>
        <v>-0,0000166666666666667</v>
      </c>
      <c r="AT218" t="str">
        <f t="shared" si="216"/>
        <v>6,30203486310113E-06i</v>
      </c>
      <c r="AU218">
        <f t="shared" si="239"/>
        <v>6.3020348631011297E-6</v>
      </c>
      <c r="AV218">
        <f t="shared" si="240"/>
        <v>1.5707963267948966</v>
      </c>
      <c r="AW218" t="str">
        <f t="shared" si="217"/>
        <v>1+0,00413449880631957i</v>
      </c>
      <c r="AX218">
        <f t="shared" si="241"/>
        <v>1.0000085470036641</v>
      </c>
      <c r="AY218">
        <f t="shared" si="242"/>
        <v>4.1344752480762187E-3</v>
      </c>
      <c r="AZ218" t="str">
        <f t="shared" si="218"/>
        <v>1+1,38230076757951i</v>
      </c>
      <c r="BA218">
        <f t="shared" si="243"/>
        <v>1.7060936117490455</v>
      </c>
      <c r="BB218">
        <f t="shared" si="244"/>
        <v>0.944516965222156</v>
      </c>
      <c r="BC218" s="41" t="str">
        <f t="shared" si="245"/>
        <v>-3,64470296930082+2,65971745962226i</v>
      </c>
      <c r="BD218">
        <f t="shared" si="246"/>
        <v>13.087341863029508</v>
      </c>
      <c r="BE218" s="43">
        <f t="shared" si="247"/>
        <v>143.87994780351806</v>
      </c>
      <c r="BF218" s="41" t="str">
        <f t="shared" si="248"/>
        <v>6,93898338764856+10,1498425802043i</v>
      </c>
      <c r="BG218" s="20">
        <f t="shared" si="249"/>
        <v>21.794621508207182</v>
      </c>
      <c r="BH218" s="43">
        <f t="shared" si="250"/>
        <v>55.641368713633902</v>
      </c>
      <c r="BI218" s="41" t="str">
        <f t="shared" si="203"/>
        <v>22,5692310632691+33,8566563641905i</v>
      </c>
      <c r="BJ218" s="20">
        <f t="shared" si="251"/>
        <v>32.189667945815835</v>
      </c>
      <c r="BK218" s="43">
        <f t="shared" si="204"/>
        <v>56.312127138909275</v>
      </c>
      <c r="BL218">
        <f t="shared" si="252"/>
        <v>21.794621508207182</v>
      </c>
      <c r="BM218" s="43">
        <f t="shared" si="253"/>
        <v>55.641368713633902</v>
      </c>
    </row>
    <row r="219" spans="14:65" x14ac:dyDescent="0.25">
      <c r="N219" s="9">
        <v>1</v>
      </c>
      <c r="O219" s="34">
        <f>10^(3+(N219/100))</f>
        <v>1023.2929922807547</v>
      </c>
      <c r="P219" s="33" t="str">
        <f t="shared" si="206"/>
        <v>66,7780509511648</v>
      </c>
      <c r="Q219" s="4" t="str">
        <f t="shared" si="207"/>
        <v>1+25,0585507658287i</v>
      </c>
      <c r="R219" s="4">
        <f t="shared" si="219"/>
        <v>25.078496096927626</v>
      </c>
      <c r="S219" s="4">
        <f t="shared" si="220"/>
        <v>1.5309109530524547</v>
      </c>
      <c r="T219" s="4" t="str">
        <f t="shared" si="208"/>
        <v>1+0,00642953949403827i</v>
      </c>
      <c r="U219" s="4">
        <f t="shared" si="221"/>
        <v>1.0000206692754432</v>
      </c>
      <c r="V219" s="4">
        <f t="shared" si="222"/>
        <v>6.4294508993715839E-3</v>
      </c>
      <c r="W219" t="str">
        <f t="shared" si="209"/>
        <v>1-0,0139866395505847i</v>
      </c>
      <c r="X219" s="4">
        <f t="shared" si="223"/>
        <v>1.0000978082597312</v>
      </c>
      <c r="Y219" s="4">
        <f t="shared" si="224"/>
        <v>-1.3985727607105458E-2</v>
      </c>
      <c r="Z219" t="str">
        <f t="shared" si="210"/>
        <v>0,999998952871452+0,00274907880235749i</v>
      </c>
      <c r="AA219" s="4">
        <f t="shared" si="225"/>
        <v>1.0000027315854003</v>
      </c>
      <c r="AB219" s="4">
        <f t="shared" si="226"/>
        <v>2.7490747556816039E-3</v>
      </c>
      <c r="AC219" s="47" t="str">
        <f t="shared" si="227"/>
        <v>0,0787621708144514-2,6619046130793i</v>
      </c>
      <c r="AD219" s="20">
        <f t="shared" si="228"/>
        <v>8.5076503116535473</v>
      </c>
      <c r="AE219" s="43">
        <f t="shared" si="229"/>
        <v>-88.305189565508854</v>
      </c>
      <c r="AF219" t="str">
        <f t="shared" si="211"/>
        <v>223,849857273222</v>
      </c>
      <c r="AG219" t="str">
        <f t="shared" si="212"/>
        <v>1+25,3804955287665i</v>
      </c>
      <c r="AH219">
        <f t="shared" si="230"/>
        <v>25.40018805610967</v>
      </c>
      <c r="AI219">
        <f t="shared" si="231"/>
        <v>1.5314163620417047</v>
      </c>
      <c r="AJ219" t="str">
        <f t="shared" si="213"/>
        <v>1+0,00642953949403827i</v>
      </c>
      <c r="AK219">
        <f t="shared" si="232"/>
        <v>1.0000206692754432</v>
      </c>
      <c r="AL219">
        <f t="shared" si="233"/>
        <v>6.4294508993715839E-3</v>
      </c>
      <c r="AM219" t="str">
        <f t="shared" si="214"/>
        <v>1-0,00422604584391526i</v>
      </c>
      <c r="AN219">
        <f t="shared" si="234"/>
        <v>1.0000089296918677</v>
      </c>
      <c r="AO219">
        <f t="shared" si="235"/>
        <v>-4.2260206858810477E-3</v>
      </c>
      <c r="AP219" s="41" t="str">
        <f t="shared" si="236"/>
        <v>0,366376423020208-8,80556342722736i</v>
      </c>
      <c r="AQ219">
        <f t="shared" si="237"/>
        <v>18.902654886815306</v>
      </c>
      <c r="AR219" s="43">
        <f t="shared" si="238"/>
        <v>-87.617446970583543</v>
      </c>
      <c r="AS219" t="str">
        <f t="shared" si="215"/>
        <v>-0,0000166666666666667</v>
      </c>
      <c r="AT219" t="str">
        <f t="shared" si="216"/>
        <v>6,44882811252039E-06i</v>
      </c>
      <c r="AU219">
        <f t="shared" si="239"/>
        <v>6.4488281125203903E-6</v>
      </c>
      <c r="AV219">
        <f t="shared" si="240"/>
        <v>1.5707963267948966</v>
      </c>
      <c r="AW219" t="str">
        <f t="shared" si="217"/>
        <v>1+0,00423080365509996i</v>
      </c>
      <c r="AX219">
        <f t="shared" si="241"/>
        <v>1.0000089498097344</v>
      </c>
      <c r="AY219">
        <f t="shared" si="242"/>
        <v>4.2307784119996134E-3</v>
      </c>
      <c r="AZ219" t="str">
        <f t="shared" si="218"/>
        <v>1+1,41449868868842i</v>
      </c>
      <c r="BA219">
        <f t="shared" si="243"/>
        <v>1.7322836200522305</v>
      </c>
      <c r="BB219">
        <f t="shared" si="244"/>
        <v>0.95541164745645479</v>
      </c>
      <c r="BC219" s="41" t="str">
        <f t="shared" si="245"/>
        <v>-3,64470003311074+2,59986890168916i</v>
      </c>
      <c r="BD219">
        <f t="shared" si="246"/>
        <v>13.019661204992733</v>
      </c>
      <c r="BE219" s="43">
        <f t="shared" si="247"/>
        <v>144.49864934983319</v>
      </c>
      <c r="BF219" s="41" t="str">
        <f t="shared" si="248"/>
        <v>6,63353853623248+9,90661514995778i</v>
      </c>
      <c r="BG219" s="20">
        <f t="shared" si="249"/>
        <v>21.527311516646282</v>
      </c>
      <c r="BH219" s="43">
        <f t="shared" si="250"/>
        <v>56.193459784324347</v>
      </c>
      <c r="BI219" s="41" t="str">
        <f t="shared" si="203"/>
        <v>21,5579783551871+33,0461679832966i</v>
      </c>
      <c r="BJ219" s="20">
        <f t="shared" si="251"/>
        <v>31.922316091808035</v>
      </c>
      <c r="BK219" s="43">
        <f t="shared" si="204"/>
        <v>56.881202379249586</v>
      </c>
      <c r="BL219">
        <f t="shared" si="252"/>
        <v>21.527311516646282</v>
      </c>
      <c r="BM219" s="43">
        <f t="shared" si="253"/>
        <v>56.193459784324347</v>
      </c>
    </row>
    <row r="220" spans="14:65" x14ac:dyDescent="0.25">
      <c r="N220" s="9">
        <v>2</v>
      </c>
      <c r="O220" s="34">
        <f t="shared" ref="O220:O283" si="254">10^(3+(N220/100))</f>
        <v>1047.1285480509</v>
      </c>
      <c r="P220" s="33" t="str">
        <f t="shared" si="206"/>
        <v>66,7780509511648</v>
      </c>
      <c r="Q220" s="4" t="str">
        <f t="shared" si="207"/>
        <v>1+25,642239395384i</v>
      </c>
      <c r="R220" s="4">
        <f t="shared" si="219"/>
        <v>25.661731064177712</v>
      </c>
      <c r="S220" s="4">
        <f t="shared" si="220"/>
        <v>1.531817924999213</v>
      </c>
      <c r="T220" s="4" t="str">
        <f t="shared" si="208"/>
        <v>1+0,00657930270784171i</v>
      </c>
      <c r="U220" s="4">
        <f t="shared" si="221"/>
        <v>1.0000216433778428</v>
      </c>
      <c r="V220" s="4">
        <f t="shared" si="222"/>
        <v>6.5792077770569796E-3</v>
      </c>
      <c r="W220" t="str">
        <f t="shared" si="209"/>
        <v>1-0,0143124302376702i</v>
      </c>
      <c r="X220" s="4">
        <f t="shared" si="223"/>
        <v>1.0001024175849733</v>
      </c>
      <c r="Y220" s="4">
        <f t="shared" si="224"/>
        <v>-1.4311453078031423E-2</v>
      </c>
      <c r="Z220" t="str">
        <f t="shared" si="210"/>
        <v>0,999998903521804+0,00281311307367998i</v>
      </c>
      <c r="AA220" s="4">
        <f t="shared" si="225"/>
        <v>1.000002860320897</v>
      </c>
      <c r="AB220" s="4">
        <f t="shared" si="226"/>
        <v>2.8131087375892847E-3</v>
      </c>
      <c r="AC220" s="47" t="str">
        <f t="shared" si="227"/>
        <v>0,0739886870180436-2,60150611176524i</v>
      </c>
      <c r="AD220" s="20">
        <f t="shared" si="228"/>
        <v>8.308008486268605</v>
      </c>
      <c r="AE220" s="43">
        <f t="shared" si="229"/>
        <v>-88.370906364823128</v>
      </c>
      <c r="AF220" t="str">
        <f t="shared" si="211"/>
        <v>223,849857273222</v>
      </c>
      <c r="AG220" t="str">
        <f t="shared" si="212"/>
        <v>1+25,9716832151998i</v>
      </c>
      <c r="AH220">
        <f t="shared" si="230"/>
        <v>25.99092782165906</v>
      </c>
      <c r="AI220">
        <f t="shared" si="231"/>
        <v>1.532311864376712</v>
      </c>
      <c r="AJ220" t="str">
        <f t="shared" si="213"/>
        <v>1+0,00657930270784171i</v>
      </c>
      <c r="AK220">
        <f t="shared" si="232"/>
        <v>1.0000216433778428</v>
      </c>
      <c r="AL220">
        <f t="shared" si="233"/>
        <v>6.5792077770569796E-3</v>
      </c>
      <c r="AM220" t="str">
        <f t="shared" si="214"/>
        <v>1-0,00432448309713569i</v>
      </c>
      <c r="AN220">
        <f t="shared" si="234"/>
        <v>1.0000093505333125</v>
      </c>
      <c r="AO220">
        <f t="shared" si="235"/>
        <v>-4.3244561398299627E-3</v>
      </c>
      <c r="AP220" s="41" t="str">
        <f t="shared" si="236"/>
        <v>0,350784994040545-8,60573569383339i</v>
      </c>
      <c r="AQ220">
        <f t="shared" si="237"/>
        <v>18.702969979927737</v>
      </c>
      <c r="AR220" s="43">
        <f t="shared" si="238"/>
        <v>-87.665814973944876</v>
      </c>
      <c r="AS220" t="str">
        <f t="shared" si="215"/>
        <v>-0,0000166666666666667</v>
      </c>
      <c r="AT220" t="str">
        <f t="shared" si="216"/>
        <v>6,59904061596523E-06i</v>
      </c>
      <c r="AU220">
        <f t="shared" si="239"/>
        <v>6.5990406159652299E-6</v>
      </c>
      <c r="AV220">
        <f t="shared" si="240"/>
        <v>1.5707963267948966</v>
      </c>
      <c r="AW220" t="str">
        <f t="shared" si="217"/>
        <v>1+0,00432935173197959i</v>
      </c>
      <c r="AX220">
        <f t="shared" si="241"/>
        <v>1.0000093715992961</v>
      </c>
      <c r="AY220">
        <f t="shared" si="242"/>
        <v>4.3293246835239352E-3</v>
      </c>
      <c r="AZ220" t="str">
        <f t="shared" si="218"/>
        <v>1+1,44744659572517i</v>
      </c>
      <c r="BA220">
        <f t="shared" si="243"/>
        <v>1.759290097589475</v>
      </c>
      <c r="BB220">
        <f t="shared" si="244"/>
        <v>0.96622299517093524</v>
      </c>
      <c r="BC220" s="41" t="str">
        <f t="shared" si="245"/>
        <v>-3,64469695854732+2,54139882748989i</v>
      </c>
      <c r="BD220">
        <f t="shared" si="246"/>
        <v>12.954026728759338</v>
      </c>
      <c r="BE220" s="43">
        <f t="shared" si="247"/>
        <v>145.11244765927614</v>
      </c>
      <c r="BF220" s="41" t="str">
        <f t="shared" si="248"/>
        <v>6,34179823960639+9,66973617562821i</v>
      </c>
      <c r="BG220" s="20">
        <f t="shared" si="249"/>
        <v>21.262035215027943</v>
      </c>
      <c r="BH220" s="43">
        <f t="shared" si="250"/>
        <v>56.741541294453036</v>
      </c>
      <c r="BI220" s="41" t="str">
        <f t="shared" si="203"/>
        <v>20,5921016011125+32,2567832819324i</v>
      </c>
      <c r="BJ220" s="20">
        <f t="shared" si="251"/>
        <v>31.656996708687085</v>
      </c>
      <c r="BK220" s="43">
        <f t="shared" si="204"/>
        <v>57.446632685331259</v>
      </c>
      <c r="BL220">
        <f t="shared" si="252"/>
        <v>21.262035215027943</v>
      </c>
      <c r="BM220" s="43">
        <f t="shared" si="253"/>
        <v>56.741541294453036</v>
      </c>
    </row>
    <row r="221" spans="14:65" x14ac:dyDescent="0.25">
      <c r="N221" s="9">
        <v>3</v>
      </c>
      <c r="O221" s="34">
        <f t="shared" si="254"/>
        <v>1071.5193052376069</v>
      </c>
      <c r="P221" s="33" t="str">
        <f t="shared" si="206"/>
        <v>66,7780509511648</v>
      </c>
      <c r="Q221" s="4" t="str">
        <f t="shared" si="207"/>
        <v>1+26,239523879682i</v>
      </c>
      <c r="R221" s="4">
        <f t="shared" si="219"/>
        <v>26.258572189523214</v>
      </c>
      <c r="S221" s="4">
        <f t="shared" si="220"/>
        <v>1.5327043137447678</v>
      </c>
      <c r="T221" s="4" t="str">
        <f t="shared" si="208"/>
        <v>1+0,00673255435502821i</v>
      </c>
      <c r="U221" s="4">
        <f t="shared" si="221"/>
        <v>1.0000226633872571</v>
      </c>
      <c r="V221" s="4">
        <f t="shared" si="222"/>
        <v>6.7324526349842144E-3</v>
      </c>
      <c r="W221" t="str">
        <f t="shared" si="209"/>
        <v>1-0,0146458095647151i</v>
      </c>
      <c r="X221" s="4">
        <f t="shared" si="223"/>
        <v>1.0001072441182526</v>
      </c>
      <c r="Y221" s="4">
        <f t="shared" si="224"/>
        <v>-1.4644762525361735E-2</v>
      </c>
      <c r="Z221" t="str">
        <f t="shared" si="210"/>
        <v>0,999998851846378+0,0028786388947901i</v>
      </c>
      <c r="AA221" s="4">
        <f t="shared" si="225"/>
        <v>1.0000029951234952</v>
      </c>
      <c r="AB221" s="4">
        <f t="shared" si="226"/>
        <v>2.8786342485859298E-3</v>
      </c>
      <c r="AC221" s="47" t="str">
        <f t="shared" si="227"/>
        <v>0,0694294054126319-2,54247022647316i</v>
      </c>
      <c r="AD221" s="20">
        <f t="shared" si="228"/>
        <v>8.1083549256329999</v>
      </c>
      <c r="AE221" s="43">
        <f t="shared" si="229"/>
        <v>-88.435763975194405</v>
      </c>
      <c r="AF221" t="str">
        <f t="shared" si="211"/>
        <v>223,849857273222</v>
      </c>
      <c r="AG221" t="str">
        <f t="shared" si="212"/>
        <v>1+26,5766414318496i</v>
      </c>
      <c r="AH221">
        <f t="shared" si="230"/>
        <v>26.595448290959578</v>
      </c>
      <c r="AI221">
        <f t="shared" si="231"/>
        <v>1.5331870422657357</v>
      </c>
      <c r="AJ221" t="str">
        <f t="shared" si="213"/>
        <v>1+0,00673255435502821i</v>
      </c>
      <c r="AK221">
        <f t="shared" si="232"/>
        <v>1.0000226633872571</v>
      </c>
      <c r="AL221">
        <f t="shared" si="233"/>
        <v>6.7324526349842144E-3</v>
      </c>
      <c r="AM221" t="str">
        <f t="shared" si="214"/>
        <v>1-0,00442521324853552i</v>
      </c>
      <c r="AN221">
        <f t="shared" si="234"/>
        <v>1.0000097912082135</v>
      </c>
      <c r="AO221">
        <f t="shared" si="235"/>
        <v>-4.4251843632772915E-3</v>
      </c>
      <c r="AP221" s="41" t="str">
        <f t="shared" si="236"/>
        <v>0,335893264003722-8,41041685943149i</v>
      </c>
      <c r="AQ221">
        <f t="shared" si="237"/>
        <v>18.503272027555486</v>
      </c>
      <c r="AR221" s="43">
        <f t="shared" si="238"/>
        <v>-87.712949991799164</v>
      </c>
      <c r="AS221" t="str">
        <f t="shared" si="215"/>
        <v>-0,0000166666666666667</v>
      </c>
      <c r="AT221" t="str">
        <f t="shared" si="216"/>
        <v>0,0000067527520180933i</v>
      </c>
      <c r="AU221">
        <f t="shared" si="239"/>
        <v>6.7527520180933E-6</v>
      </c>
      <c r="AV221">
        <f t="shared" si="240"/>
        <v>1.5707963267948966</v>
      </c>
      <c r="AW221" t="str">
        <f t="shared" si="217"/>
        <v>1+0,00443019528845326i</v>
      </c>
      <c r="AX221">
        <f t="shared" si="241"/>
        <v>1.0000098132669968</v>
      </c>
      <c r="AY221">
        <f t="shared" si="242"/>
        <v>4.4301663055262095E-3</v>
      </c>
      <c r="AZ221" t="str">
        <f t="shared" si="218"/>
        <v>1+1,4811619581062i</v>
      </c>
      <c r="BA221">
        <f t="shared" si="243"/>
        <v>1.7871319890094837</v>
      </c>
      <c r="BB221">
        <f t="shared" si="244"/>
        <v>0.97694663129139736</v>
      </c>
      <c r="BC221" s="41" t="str">
        <f t="shared" si="245"/>
        <v>-3,64469373908977+2,48427623533339i</v>
      </c>
      <c r="BD221">
        <f t="shared" si="246"/>
        <v>12.890406300232387</v>
      </c>
      <c r="BE221" s="43">
        <f t="shared" si="247"/>
        <v>145.72108895067271</v>
      </c>
      <c r="BF221" s="41" t="str">
        <f t="shared" si="248"/>
        <v>6,06314944345383+9,4390071381488i</v>
      </c>
      <c r="BG221" s="20">
        <f t="shared" si="249"/>
        <v>20.998761225865383</v>
      </c>
      <c r="BH221" s="43">
        <f t="shared" si="250"/>
        <v>57.285324975478275</v>
      </c>
      <c r="BI221" s="41" t="str">
        <f t="shared" si="203"/>
        <v>19,6695706568161+31,487845324078i</v>
      </c>
      <c r="BJ221" s="20">
        <f t="shared" si="251"/>
        <v>31.393678327787864</v>
      </c>
      <c r="BK221" s="43">
        <f t="shared" si="204"/>
        <v>58.008138958873573</v>
      </c>
      <c r="BL221">
        <f t="shared" si="252"/>
        <v>20.998761225865383</v>
      </c>
      <c r="BM221" s="43">
        <f t="shared" si="253"/>
        <v>57.285324975478275</v>
      </c>
    </row>
    <row r="222" spans="14:65" x14ac:dyDescent="0.25">
      <c r="N222" s="9">
        <v>4</v>
      </c>
      <c r="O222" s="34">
        <f t="shared" si="254"/>
        <v>1096.4781961431863</v>
      </c>
      <c r="P222" s="33" t="str">
        <f t="shared" si="206"/>
        <v>66,7780509511648</v>
      </c>
      <c r="Q222" s="4" t="str">
        <f t="shared" si="207"/>
        <v>1+26,8507209068621i</v>
      </c>
      <c r="R222" s="4">
        <f t="shared" si="219"/>
        <v>26.869335928120773</v>
      </c>
      <c r="S222" s="4">
        <f t="shared" si="220"/>
        <v>1.5335705836896067</v>
      </c>
      <c r="T222" s="4" t="str">
        <f t="shared" si="208"/>
        <v>1+0,00688937569164964i</v>
      </c>
      <c r="U222" s="4">
        <f t="shared" si="221"/>
        <v>1.0000237314671192</v>
      </c>
      <c r="V222" s="4">
        <f t="shared" si="222"/>
        <v>6.8892666967984659E-3</v>
      </c>
      <c r="W222" t="str">
        <f t="shared" si="209"/>
        <v>1-0,0149869542938514i</v>
      </c>
      <c r="X222" s="4">
        <f t="shared" si="223"/>
        <v>1.000112298094072</v>
      </c>
      <c r="Y222" s="4">
        <f t="shared" si="224"/>
        <v>-1.498583237777462E-2</v>
      </c>
      <c r="Z222" t="str">
        <f t="shared" si="210"/>
        <v>0,999998797735565+0,00294569100834552i</v>
      </c>
      <c r="AA222" s="4">
        <f t="shared" si="225"/>
        <v>1.0000031362791277</v>
      </c>
      <c r="AB222" s="4">
        <f t="shared" si="226"/>
        <v>2.9456860298488602E-3</v>
      </c>
      <c r="AC222" s="47" t="str">
        <f t="shared" si="227"/>
        <v>0,0650747412164638-2,48476676950883i</v>
      </c>
      <c r="AD222" s="20">
        <f t="shared" si="228"/>
        <v>7.9086903617295956</v>
      </c>
      <c r="AE222" s="43">
        <f t="shared" si="229"/>
        <v>-88.499796450180042</v>
      </c>
      <c r="AF222" t="str">
        <f t="shared" si="211"/>
        <v>223,849857273222</v>
      </c>
      <c r="AG222" t="str">
        <f t="shared" si="212"/>
        <v>1+27,19569093557i</v>
      </c>
      <c r="AH222">
        <f t="shared" si="230"/>
        <v>27.214069990779478</v>
      </c>
      <c r="AI222">
        <f t="shared" si="231"/>
        <v>1.5340423543739723</v>
      </c>
      <c r="AJ222" t="str">
        <f t="shared" si="213"/>
        <v>1+0,00688937569164964i</v>
      </c>
      <c r="AK222">
        <f t="shared" si="232"/>
        <v>1.0000237314671192</v>
      </c>
      <c r="AL222">
        <f t="shared" si="233"/>
        <v>6.8892666967984659E-3</v>
      </c>
      <c r="AM222" t="str">
        <f t="shared" si="214"/>
        <v>1-0,00452828970657435i</v>
      </c>
      <c r="AN222">
        <f t="shared" si="234"/>
        <v>1.0000102526512749</v>
      </c>
      <c r="AO222">
        <f t="shared" si="235"/>
        <v>-4.5282587554796591E-3</v>
      </c>
      <c r="AP222" s="41" t="str">
        <f t="shared" si="236"/>
        <v>0,321669919601314-8,21950695597808i</v>
      </c>
      <c r="AQ222">
        <f t="shared" si="237"/>
        <v>18.303561667715222</v>
      </c>
      <c r="AR222" s="43">
        <f t="shared" si="238"/>
        <v>-87.758876709506367</v>
      </c>
      <c r="AS222" t="str">
        <f t="shared" si="215"/>
        <v>-0,0000166666666666667</v>
      </c>
      <c r="AT222" t="str">
        <f t="shared" si="216"/>
        <v>6,91004381872459E-06i</v>
      </c>
      <c r="AU222">
        <f t="shared" si="239"/>
        <v>6.9100438187245904E-6</v>
      </c>
      <c r="AV222">
        <f t="shared" si="240"/>
        <v>1.5707963267948966</v>
      </c>
      <c r="AW222" t="str">
        <f t="shared" si="217"/>
        <v>1+0,00453338779310943i</v>
      </c>
      <c r="AX222">
        <f t="shared" si="241"/>
        <v>1.0000102757496458</v>
      </c>
      <c r="AY222">
        <f t="shared" si="242"/>
        <v>4.5333567373608084E-3</v>
      </c>
      <c r="AZ222" t="str">
        <f t="shared" si="218"/>
        <v>1+1,51566265216292i</v>
      </c>
      <c r="BA222">
        <f t="shared" si="243"/>
        <v>1.8158285368287217</v>
      </c>
      <c r="BB222">
        <f t="shared" si="244"/>
        <v>0.98757837620396616</v>
      </c>
      <c r="BC222" s="41" t="str">
        <f t="shared" si="245"/>
        <v>-3,64469036790999+2,42847083797546i</v>
      </c>
      <c r="BD222">
        <f t="shared" si="246"/>
        <v>12.828766451444075</v>
      </c>
      <c r="BE222" s="43">
        <f t="shared" si="247"/>
        <v>146.32433068679231</v>
      </c>
      <c r="BF222" s="41" t="str">
        <f t="shared" si="248"/>
        <v>5,7970063564168+9,21423762266464i</v>
      </c>
      <c r="BG222" s="20">
        <f t="shared" si="249"/>
        <v>20.737456813173672</v>
      </c>
      <c r="BH222" s="43">
        <f t="shared" si="250"/>
        <v>57.824534236612294</v>
      </c>
      <c r="BI222" s="41" t="str">
        <f t="shared" si="203"/>
        <v>18,7884456875119+30,7387238506282i</v>
      </c>
      <c r="BJ222" s="20">
        <f t="shared" si="251"/>
        <v>31.1323281191593</v>
      </c>
      <c r="BK222" s="43">
        <f t="shared" si="204"/>
        <v>58.565453977285991</v>
      </c>
      <c r="BL222">
        <f t="shared" si="252"/>
        <v>20.737456813173672</v>
      </c>
      <c r="BM222" s="43">
        <f t="shared" si="253"/>
        <v>57.824534236612294</v>
      </c>
    </row>
    <row r="223" spans="14:65" x14ac:dyDescent="0.25">
      <c r="N223" s="9">
        <v>5</v>
      </c>
      <c r="O223" s="34">
        <f t="shared" si="254"/>
        <v>1122.0184543019636</v>
      </c>
      <c r="P223" s="33" t="str">
        <f t="shared" si="206"/>
        <v>66,7780509511648</v>
      </c>
      <c r="Q223" s="4" t="str">
        <f t="shared" si="207"/>
        <v>1+27,4761545416783i</v>
      </c>
      <c r="R223" s="4">
        <f t="shared" si="219"/>
        <v>27.494346116941738</v>
      </c>
      <c r="S223" s="4">
        <f t="shared" si="220"/>
        <v>1.5344171889379974</v>
      </c>
      <c r="T223" s="4" t="str">
        <f t="shared" si="208"/>
        <v>1+0,00704984986645445i</v>
      </c>
      <c r="U223" s="4">
        <f t="shared" si="221"/>
        <v>1.0000248498828115</v>
      </c>
      <c r="V223" s="4">
        <f t="shared" si="222"/>
        <v>7.0497330765239867E-3</v>
      </c>
      <c r="W223" t="str">
        <f t="shared" si="209"/>
        <v>1-0,0153360453045301i</v>
      </c>
      <c r="X223" s="4">
        <f t="shared" si="223"/>
        <v>1.0001175902290602</v>
      </c>
      <c r="Y223" s="4">
        <f t="shared" si="224"/>
        <v>-1.5334843157428731E-2</v>
      </c>
      <c r="Z223" t="str">
        <f t="shared" si="210"/>
        <v>0,999998741074588+0,0030143049662644i</v>
      </c>
      <c r="AA223" s="4">
        <f t="shared" si="225"/>
        <v>1.0000032840872026</v>
      </c>
      <c r="AB223" s="4">
        <f t="shared" si="226"/>
        <v>3.0142996317100209E-3</v>
      </c>
      <c r="AC223" s="47" t="str">
        <f t="shared" si="227"/>
        <v>0,0609155361168881-2,42836618564798i</v>
      </c>
      <c r="AD223" s="20">
        <f t="shared" si="228"/>
        <v>7.7090155034424024</v>
      </c>
      <c r="AE223" s="43">
        <f t="shared" si="229"/>
        <v>-88.563037425997038</v>
      </c>
      <c r="AF223" t="str">
        <f t="shared" si="211"/>
        <v>223,849857273222</v>
      </c>
      <c r="AG223" t="str">
        <f t="shared" si="212"/>
        <v>1+27,8291599546021i</v>
      </c>
      <c r="AH223">
        <f t="shared" si="230"/>
        <v>27.847120924412085</v>
      </c>
      <c r="AI223">
        <f t="shared" si="231"/>
        <v>1.5348782491906765</v>
      </c>
      <c r="AJ223" t="str">
        <f t="shared" si="213"/>
        <v>1+0,00704984986645445i</v>
      </c>
      <c r="AK223">
        <f t="shared" si="232"/>
        <v>1.0000248498828115</v>
      </c>
      <c r="AL223">
        <f t="shared" si="233"/>
        <v>7.0497330765239867E-3</v>
      </c>
      <c r="AM223" t="str">
        <f t="shared" si="214"/>
        <v>1-0,00463376712375461i</v>
      </c>
      <c r="AN223">
        <f t="shared" si="234"/>
        <v>1.0000107358412493</v>
      </c>
      <c r="AO223">
        <f t="shared" si="235"/>
        <v>-4.6337339590783603E-3</v>
      </c>
      <c r="AP223" s="41" t="str">
        <f t="shared" si="236"/>
        <v>0,308085041212419-8,03290811440693i</v>
      </c>
      <c r="AQ223">
        <f t="shared" si="237"/>
        <v>18.103839512339444</v>
      </c>
      <c r="AR223" s="43">
        <f t="shared" si="238"/>
        <v>-87.803619192317868</v>
      </c>
      <c r="AS223" t="str">
        <f t="shared" si="215"/>
        <v>-0,0000166666666666667</v>
      </c>
      <c r="AT223" t="str">
        <f t="shared" si="216"/>
        <v>7,07099941605381E-06i</v>
      </c>
      <c r="AU223">
        <f t="shared" si="239"/>
        <v>7.0709994160538096E-6</v>
      </c>
      <c r="AV223">
        <f t="shared" si="240"/>
        <v>1.5707963267948966</v>
      </c>
      <c r="AW223" t="str">
        <f t="shared" si="217"/>
        <v>1+0,00463898395998i</v>
      </c>
      <c r="AX223">
        <f t="shared" si="241"/>
        <v>1.0000107600282013</v>
      </c>
      <c r="AY223">
        <f t="shared" si="242"/>
        <v>4.6389506831651514E-3</v>
      </c>
      <c r="AZ223" t="str">
        <f t="shared" si="218"/>
        <v>1+1,55096697061998i</v>
      </c>
      <c r="BA223">
        <f t="shared" si="243"/>
        <v>1.8453992911980102</v>
      </c>
      <c r="BB223">
        <f t="shared" si="244"/>
        <v>0.99811425292310751</v>
      </c>
      <c r="BC223" s="41" t="str">
        <f t="shared" si="245"/>
        <v>-3,64468683785806+2,37395304655956i</v>
      </c>
      <c r="BD223">
        <f t="shared" si="246"/>
        <v>12.769072494170617</v>
      </c>
      <c r="BE223" s="43">
        <f t="shared" si="247"/>
        <v>146.92194186883248</v>
      </c>
      <c r="BF223" s="41" t="str">
        <f t="shared" si="248"/>
        <v>5,54280925187495+8,99524489687827i</v>
      </c>
      <c r="BG223" s="20">
        <f t="shared" si="249"/>
        <v>20.47808799761302</v>
      </c>
      <c r="BH223" s="43">
        <f t="shared" si="250"/>
        <v>58.35890444283546</v>
      </c>
      <c r="BI223" s="41" t="str">
        <f t="shared" si="203"/>
        <v>17,9468731962815+30,0088138964878i</v>
      </c>
      <c r="BJ223" s="20">
        <f t="shared" si="251"/>
        <v>30.87291200651007</v>
      </c>
      <c r="BK223" s="43">
        <f t="shared" si="204"/>
        <v>59.118322676514595</v>
      </c>
      <c r="BL223">
        <f t="shared" si="252"/>
        <v>20.47808799761302</v>
      </c>
      <c r="BM223" s="43">
        <f t="shared" si="253"/>
        <v>58.35890444283546</v>
      </c>
    </row>
    <row r="224" spans="14:65" x14ac:dyDescent="0.25">
      <c r="N224" s="9">
        <v>6</v>
      </c>
      <c r="O224" s="34">
        <f t="shared" si="254"/>
        <v>1148.1536214968839</v>
      </c>
      <c r="P224" s="33" t="str">
        <f t="shared" si="206"/>
        <v>66,7780509511648</v>
      </c>
      <c r="Q224" s="4" t="str">
        <f t="shared" si="207"/>
        <v>1+28,1161563973224i</v>
      </c>
      <c r="R224" s="4">
        <f t="shared" si="219"/>
        <v>28.133934146483913</v>
      </c>
      <c r="S224" s="4">
        <f t="shared" si="220"/>
        <v>1.5352445735141076</v>
      </c>
      <c r="T224" s="4" t="str">
        <f t="shared" si="208"/>
        <v>1+0,00721406196497425i</v>
      </c>
      <c r="U224" s="4">
        <f t="shared" si="221"/>
        <v>1.0000260210064709</v>
      </c>
      <c r="V224" s="4">
        <f t="shared" si="222"/>
        <v>7.2139368224849662E-3</v>
      </c>
      <c r="W224" t="str">
        <f t="shared" si="209"/>
        <v>1-0,0156932676894258i</v>
      </c>
      <c r="X224" s="4">
        <f t="shared" si="223"/>
        <v>1.0001231317446728</v>
      </c>
      <c r="Y224" s="4">
        <f t="shared" si="224"/>
        <v>-1.5691979574164034E-2</v>
      </c>
      <c r="Z224" t="str">
        <f t="shared" si="210"/>
        <v>0,999998681743261+0,00308451714857544i</v>
      </c>
      <c r="AA224" s="4">
        <f t="shared" si="225"/>
        <v>1.0000034388612369</v>
      </c>
      <c r="AB224" s="4">
        <f t="shared" si="226"/>
        <v>3.0845114324984518E-3</v>
      </c>
      <c r="AC224" s="47" t="str">
        <f t="shared" si="227"/>
        <v>0,0569430395061272-2,37323954136728i</v>
      </c>
      <c r="AD224" s="20">
        <f t="shared" si="228"/>
        <v>7.5093310380381064</v>
      </c>
      <c r="AE224" s="43">
        <f t="shared" si="229"/>
        <v>-88.625520137865109</v>
      </c>
      <c r="AF224" t="str">
        <f t="shared" si="211"/>
        <v>223,849857273222</v>
      </c>
      <c r="AG224" t="str">
        <f t="shared" si="212"/>
        <v>1+28,4773843626045i</v>
      </c>
      <c r="AH224">
        <f t="shared" si="230"/>
        <v>28.494936745595894</v>
      </c>
      <c r="AI224">
        <f t="shared" si="231"/>
        <v>1.5356951652432242</v>
      </c>
      <c r="AJ224" t="str">
        <f t="shared" si="213"/>
        <v>1+0,00721406196497425i</v>
      </c>
      <c r="AK224">
        <f t="shared" si="232"/>
        <v>1.0000260210064709</v>
      </c>
      <c r="AL224">
        <f t="shared" si="233"/>
        <v>7.2139368224849662E-3</v>
      </c>
      <c r="AM224" t="str">
        <f t="shared" si="214"/>
        <v>1-0,00474170142559904i</v>
      </c>
      <c r="AN224">
        <f t="shared" si="234"/>
        <v>1.0000112418030156</v>
      </c>
      <c r="AO224">
        <f t="shared" si="235"/>
        <v>-4.7416658890297621E-3</v>
      </c>
      <c r="AP224" s="41" t="str">
        <f t="shared" si="236"/>
        <v>0,295110041547704-7,85052452855107i</v>
      </c>
      <c r="AQ224">
        <f t="shared" si="237"/>
        <v>17.904106148553971</v>
      </c>
      <c r="AR224" s="43">
        <f t="shared" si="238"/>
        <v>-87.847200896782454</v>
      </c>
      <c r="AS224" t="str">
        <f t="shared" si="215"/>
        <v>-0,0000166666666666667</v>
      </c>
      <c r="AT224" t="str">
        <f t="shared" si="216"/>
        <v>7,23570415086918E-06i</v>
      </c>
      <c r="AU224">
        <f t="shared" si="239"/>
        <v>7.2357041508691804E-6</v>
      </c>
      <c r="AV224">
        <f t="shared" si="240"/>
        <v>1.5707963267948966</v>
      </c>
      <c r="AW224" t="str">
        <f t="shared" si="217"/>
        <v>1+0,00474703977755035i</v>
      </c>
      <c r="AX224">
        <f t="shared" si="241"/>
        <v>1.0000112671298507</v>
      </c>
      <c r="AY224">
        <f t="shared" si="242"/>
        <v>4.7470041208225212E-3</v>
      </c>
      <c r="AZ224" t="str">
        <f t="shared" si="218"/>
        <v>1+1,58709363229433i</v>
      </c>
      <c r="BA224">
        <f t="shared" si="243"/>
        <v>1.8758641202574375</v>
      </c>
      <c r="BB224">
        <f t="shared" si="244"/>
        <v>1.0085504912748695</v>
      </c>
      <c r="BC224" s="41" t="str">
        <f t="shared" si="245"/>
        <v>-3,64468314144721+2,32069395492799i</v>
      </c>
      <c r="BD224">
        <f t="shared" si="246"/>
        <v>12.711288634431131</v>
      </c>
      <c r="BE224" s="43">
        <f t="shared" si="247"/>
        <v>147.5137032744415</v>
      </c>
      <c r="BF224" s="41" t="str">
        <f t="shared" si="248"/>
        <v>5,30002332113638+8,78185351459433i</v>
      </c>
      <c r="BG224" s="20">
        <f t="shared" si="249"/>
        <v>20.220619672469237</v>
      </c>
      <c r="BH224" s="43">
        <f t="shared" si="250"/>
        <v>58.888183136576409</v>
      </c>
      <c r="BI224" s="41" t="str">
        <f t="shared" si="203"/>
        <v>17,1430822231217+29,2975344901862i</v>
      </c>
      <c r="BJ224" s="20">
        <f t="shared" si="251"/>
        <v>30.615394782985106</v>
      </c>
      <c r="BK224" s="43">
        <f t="shared" si="204"/>
        <v>59.666502377659036</v>
      </c>
      <c r="BL224">
        <f t="shared" si="252"/>
        <v>20.220619672469237</v>
      </c>
      <c r="BM224" s="43">
        <f t="shared" si="253"/>
        <v>58.888183136576409</v>
      </c>
    </row>
    <row r="225" spans="14:65" x14ac:dyDescent="0.25">
      <c r="N225" s="9">
        <v>7</v>
      </c>
      <c r="O225" s="34">
        <f t="shared" si="254"/>
        <v>1174.8975549395295</v>
      </c>
      <c r="P225" s="33" t="str">
        <f t="shared" si="206"/>
        <v>66,7780509511648</v>
      </c>
      <c r="Q225" s="4" t="str">
        <f t="shared" si="207"/>
        <v>1+28,7710658112497i</v>
      </c>
      <c r="R225" s="4">
        <f t="shared" si="219"/>
        <v>28.788439136487778</v>
      </c>
      <c r="S225" s="4">
        <f t="shared" si="220"/>
        <v>1.5360531715744139</v>
      </c>
      <c r="T225" s="4" t="str">
        <f t="shared" si="208"/>
        <v>1+0,00738209905463727i</v>
      </c>
      <c r="U225" s="4">
        <f t="shared" si="221"/>
        <v>1.000027247322018</v>
      </c>
      <c r="V225" s="4">
        <f t="shared" si="222"/>
        <v>7.3819649622414215E-3</v>
      </c>
      <c r="W225" t="str">
        <f t="shared" si="209"/>
        <v>1-0,0160588108525754i</v>
      </c>
      <c r="X225" s="4">
        <f t="shared" si="223"/>
        <v>1.0001289343909607</v>
      </c>
      <c r="Y225" s="4">
        <f t="shared" si="224"/>
        <v>-1.6057430621815069E-2</v>
      </c>
      <c r="Z225" t="str">
        <f t="shared" si="210"/>
        <v>0,999998619615735+0,00315636478270706i</v>
      </c>
      <c r="AA225" s="4">
        <f t="shared" si="225"/>
        <v>1.000003600929525</v>
      </c>
      <c r="AB225" s="4">
        <f t="shared" si="226"/>
        <v>3.1563586578213535E-3</v>
      </c>
      <c r="AC225" s="47" t="str">
        <f t="shared" si="227"/>
        <v>0,0531488905239561-2,31935851408183i</v>
      </c>
      <c r="AD225" s="20">
        <f t="shared" si="228"/>
        <v>7.3096376326033683</v>
      </c>
      <c r="AE225" s="43">
        <f t="shared" si="229"/>
        <v>-88.687277436225429</v>
      </c>
      <c r="AF225" t="str">
        <f t="shared" si="211"/>
        <v>223,849857273222</v>
      </c>
      <c r="AG225" t="str">
        <f t="shared" si="212"/>
        <v>1+29,1407078567387i</v>
      </c>
      <c r="AH225">
        <f t="shared" si="230"/>
        <v>29.157860936491769</v>
      </c>
      <c r="AI225">
        <f t="shared" si="231"/>
        <v>1.5364935313074652</v>
      </c>
      <c r="AJ225" t="str">
        <f t="shared" si="213"/>
        <v>1+0,00738209905463727i</v>
      </c>
      <c r="AK225">
        <f t="shared" si="232"/>
        <v>1.000027247322018</v>
      </c>
      <c r="AL225">
        <f t="shared" si="233"/>
        <v>7.3819649622414215E-3</v>
      </c>
      <c r="AM225" t="str">
        <f t="shared" si="214"/>
        <v>1-0,00485214984030315i</v>
      </c>
      <c r="AN225">
        <f t="shared" si="234"/>
        <v>1.000011771609751</v>
      </c>
      <c r="AO225">
        <f t="shared" si="235"/>
        <v>-4.8521117622073364E-3</v>
      </c>
      <c r="AP225" s="41" t="str">
        <f t="shared" si="236"/>
        <v>0,282717606935128-7,67226241911566i</v>
      </c>
      <c r="AQ225">
        <f t="shared" si="237"/>
        <v>17.70436213990433</v>
      </c>
      <c r="AR225" s="43">
        <f t="shared" si="238"/>
        <v>-87.889644681920174</v>
      </c>
      <c r="AS225" t="str">
        <f t="shared" si="215"/>
        <v>-0,0000166666666666667</v>
      </c>
      <c r="AT225" t="str">
        <f t="shared" si="216"/>
        <v>7,40424535180119E-06i</v>
      </c>
      <c r="AU225">
        <f t="shared" si="239"/>
        <v>7.4042453518011899E-6</v>
      </c>
      <c r="AV225">
        <f t="shared" si="240"/>
        <v>1.5707963267948966</v>
      </c>
      <c r="AW225" t="str">
        <f t="shared" si="217"/>
        <v>1+0,00485761253844526i</v>
      </c>
      <c r="AX225">
        <f t="shared" si="241"/>
        <v>1.0000117981301888</v>
      </c>
      <c r="AY225">
        <f t="shared" si="242"/>
        <v>4.8575743315973745E-3</v>
      </c>
      <c r="AZ225" t="str">
        <f t="shared" si="218"/>
        <v>1+1,6240617920202i</v>
      </c>
      <c r="BA225">
        <f t="shared" si="243"/>
        <v>1.9072432210653842</v>
      </c>
      <c r="BB225">
        <f t="shared" si="244"/>
        <v>1.018883531111233</v>
      </c>
      <c r="BC225" s="41" t="str">
        <f t="shared" si="245"/>
        <v>-3,64467927083796+2,26866532429504i</v>
      </c>
      <c r="BD225">
        <f t="shared" si="246"/>
        <v>12.655378087158514</v>
      </c>
      <c r="BE225" s="43">
        <f t="shared" si="247"/>
        <v>148.09940764018836</v>
      </c>
      <c r="BF225" s="41" t="str">
        <f t="shared" si="248"/>
        <v>5,06813757594522+8,57389494287203i</v>
      </c>
      <c r="BG225" s="20">
        <f t="shared" si="249"/>
        <v>19.965015719761887</v>
      </c>
      <c r="BH225" s="43">
        <f t="shared" si="250"/>
        <v>59.412130203962938</v>
      </c>
      <c r="BI225" s="41" t="str">
        <f t="shared" si="203"/>
        <v>16,3753807076423+28,6043274308013i</v>
      </c>
      <c r="BJ225" s="20">
        <f t="shared" si="251"/>
        <v>30.359740227062829</v>
      </c>
      <c r="BK225" s="43">
        <f t="shared" si="204"/>
        <v>60.209762958268158</v>
      </c>
      <c r="BL225">
        <f t="shared" si="252"/>
        <v>19.965015719761887</v>
      </c>
      <c r="BM225" s="43">
        <f t="shared" si="253"/>
        <v>59.412130203962938</v>
      </c>
    </row>
    <row r="226" spans="14:65" x14ac:dyDescent="0.25">
      <c r="N226" s="9">
        <v>8</v>
      </c>
      <c r="O226" s="34">
        <f t="shared" si="254"/>
        <v>1202.2644346174138</v>
      </c>
      <c r="P226" s="33" t="str">
        <f t="shared" si="206"/>
        <v>66,7780509511648</v>
      </c>
      <c r="Q226" s="4" t="str">
        <f t="shared" si="207"/>
        <v>1+29,4412300251002i</v>
      </c>
      <c r="R226" s="4">
        <f t="shared" si="219"/>
        <v>29.458208115750381</v>
      </c>
      <c r="S226" s="4">
        <f t="shared" si="220"/>
        <v>1.5368434076164041</v>
      </c>
      <c r="T226" s="4" t="str">
        <f t="shared" si="208"/>
        <v>1+0,00755405023093271i</v>
      </c>
      <c r="U226" s="4">
        <f t="shared" si="221"/>
        <v>1.0000285314304245</v>
      </c>
      <c r="V226" s="4">
        <f t="shared" si="222"/>
        <v>7.5539065485632738E-3</v>
      </c>
      <c r="W226" t="str">
        <f t="shared" si="209"/>
        <v>1-0,0164328686098025i</v>
      </c>
      <c r="X226" s="4">
        <f t="shared" si="223"/>
        <v>1.0001350104714599</v>
      </c>
      <c r="Y226" s="4">
        <f t="shared" si="224"/>
        <v>-1.6431389676679568E-2</v>
      </c>
      <c r="Z226" t="str">
        <f t="shared" si="210"/>
        <v>0,999998554560229+0,0032298859632259i</v>
      </c>
      <c r="AA226" s="4">
        <f t="shared" si="225"/>
        <v>1.0000037706358327</v>
      </c>
      <c r="AB226" s="4">
        <f t="shared" si="226"/>
        <v>3.2298794002938989E-3</v>
      </c>
      <c r="AC226" s="47" t="str">
        <f t="shared" si="227"/>
        <v>0,0495251008742654-2,26669538140476i</v>
      </c>
      <c r="AD226" s="20">
        <f t="shared" si="228"/>
        <v>7.1099359354415101</v>
      </c>
      <c r="AE226" s="43">
        <f t="shared" si="229"/>
        <v>-88.74834180283635</v>
      </c>
      <c r="AF226" t="str">
        <f t="shared" si="211"/>
        <v>223,849857273222</v>
      </c>
      <c r="AG226" t="str">
        <f t="shared" si="212"/>
        <v>1+29,8194821399014i</v>
      </c>
      <c r="AH226">
        <f t="shared" si="230"/>
        <v>29.836244989808929</v>
      </c>
      <c r="AI226">
        <f t="shared" si="231"/>
        <v>1.5372737666143748</v>
      </c>
      <c r="AJ226" t="str">
        <f t="shared" si="213"/>
        <v>1+0,00755405023093271i</v>
      </c>
      <c r="AK226">
        <f t="shared" si="232"/>
        <v>1.0000285314304245</v>
      </c>
      <c r="AL226">
        <f t="shared" si="233"/>
        <v>7.5539065485632738E-3</v>
      </c>
      <c r="AM226" t="str">
        <f t="shared" si="214"/>
        <v>1-0,0049651709290784i</v>
      </c>
      <c r="AN226">
        <f t="shared" si="234"/>
        <v>1.0000123263852077</v>
      </c>
      <c r="AO226">
        <f t="shared" si="235"/>
        <v>-4.965130127690791E-3</v>
      </c>
      <c r="AP226" s="41" t="str">
        <f t="shared" si="236"/>
        <v>0,270881641138915-7,49802999775138i</v>
      </c>
      <c r="AQ226">
        <f t="shared" si="237"/>
        <v>17.504608027534086</v>
      </c>
      <c r="AR226" s="43">
        <f t="shared" si="238"/>
        <v>-87.930972820163817</v>
      </c>
      <c r="AS226" t="str">
        <f t="shared" si="215"/>
        <v>-0,0000166666666666667</v>
      </c>
      <c r="AT226" t="str">
        <f t="shared" si="216"/>
        <v>7,57671238162551E-06i</v>
      </c>
      <c r="AU226">
        <f t="shared" si="239"/>
        <v>7.5767123816255098E-6</v>
      </c>
      <c r="AV226">
        <f t="shared" si="240"/>
        <v>1.5707963267948966</v>
      </c>
      <c r="AW226" t="str">
        <f t="shared" si="217"/>
        <v>1+0,00497076086980617i</v>
      </c>
      <c r="AX226">
        <f t="shared" si="241"/>
        <v>1.0000123541554999</v>
      </c>
      <c r="AY226">
        <f t="shared" si="242"/>
        <v>4.9707199304583841E-3</v>
      </c>
      <c r="AZ226" t="str">
        <f t="shared" si="218"/>
        <v>1+1,66189105080519i</v>
      </c>
      <c r="BA226">
        <f t="shared" si="243"/>
        <v>1.9395571310859545</v>
      </c>
      <c r="BB226">
        <f t="shared" si="244"/>
        <v>1.0291100245786147</v>
      </c>
      <c r="BC226" s="41" t="str">
        <f t="shared" si="245"/>
        <v>-3,64467521782129+2,2178395682737i</v>
      </c>
      <c r="BD226">
        <f t="shared" si="246"/>
        <v>12.601303190363932</v>
      </c>
      <c r="BE226" s="43">
        <f t="shared" si="247"/>
        <v>148.67885978980235</v>
      </c>
      <c r="BF226" s="41" t="str">
        <f t="shared" si="248"/>
        <v>4,84666379828619+8,3712072112976i</v>
      </c>
      <c r="BG226" s="20">
        <f t="shared" si="249"/>
        <v>19.711239125805445</v>
      </c>
      <c r="BH226" s="43">
        <f t="shared" si="250"/>
        <v>59.930517986965995</v>
      </c>
      <c r="BI226" s="41" t="str">
        <f t="shared" si="203"/>
        <v>15,6421520086944+27,9286561373219i</v>
      </c>
      <c r="BJ226" s="20">
        <f t="shared" si="251"/>
        <v>30.105911217898029</v>
      </c>
      <c r="BK226" s="43">
        <f t="shared" si="204"/>
        <v>60.747886969638571</v>
      </c>
      <c r="BL226">
        <f t="shared" si="252"/>
        <v>19.711239125805445</v>
      </c>
      <c r="BM226" s="43">
        <f t="shared" si="253"/>
        <v>59.930517986965995</v>
      </c>
    </row>
    <row r="227" spans="14:65" x14ac:dyDescent="0.25">
      <c r="N227" s="9">
        <v>9</v>
      </c>
      <c r="O227" s="34">
        <f t="shared" si="254"/>
        <v>1230.2687708123824</v>
      </c>
      <c r="P227" s="33" t="str">
        <f t="shared" si="206"/>
        <v>66,7780509511648</v>
      </c>
      <c r="Q227" s="4" t="str">
        <f t="shared" si="207"/>
        <v>1+30,1270043688108i</v>
      </c>
      <c r="R227" s="4">
        <f t="shared" si="219"/>
        <v>30.143596206132159</v>
      </c>
      <c r="S227" s="4">
        <f t="shared" si="220"/>
        <v>1.5376156966835837</v>
      </c>
      <c r="T227" s="4" t="str">
        <f t="shared" si="208"/>
        <v>1+0,00773000666465025i</v>
      </c>
      <c r="U227" s="4">
        <f t="shared" si="221"/>
        <v>1.0000298760552284</v>
      </c>
      <c r="V227" s="4">
        <f t="shared" si="222"/>
        <v>7.7298527064659913E-3</v>
      </c>
      <c r="W227" t="str">
        <f t="shared" si="209"/>
        <v>1-0,0168156392914813i</v>
      </c>
      <c r="X227" s="4">
        <f t="shared" si="223"/>
        <v>1.0001413728692465</v>
      </c>
      <c r="Y227" s="4">
        <f t="shared" si="224"/>
        <v>-1.6814054598186811E-2</v>
      </c>
      <c r="Z227" t="str">
        <f t="shared" si="210"/>
        <v>0,999998486438752+0,00330511967203504i</v>
      </c>
      <c r="AA227" s="4">
        <f t="shared" si="225"/>
        <v>1.0000039483401262</v>
      </c>
      <c r="AB227" s="4">
        <f t="shared" si="226"/>
        <v>3.305112639728131E-3</v>
      </c>
      <c r="AC227" s="47" t="str">
        <f t="shared" si="227"/>
        <v>0,0460640383836477-2,21522301044268i</v>
      </c>
      <c r="AD227" s="20">
        <f t="shared" si="228"/>
        <v>6.9102265774301159</v>
      </c>
      <c r="AE227" s="43">
        <f t="shared" si="229"/>
        <v>-88.808745366749193</v>
      </c>
      <c r="AF227" t="str">
        <f t="shared" si="211"/>
        <v>223,849857273222</v>
      </c>
      <c r="AG227" t="str">
        <f t="shared" si="212"/>
        <v>1+30,5140671072022i</v>
      </c>
      <c r="AH227">
        <f t="shared" si="230"/>
        <v>30.530448595178544</v>
      </c>
      <c r="AI227">
        <f t="shared" si="231"/>
        <v>1.5380362810530157</v>
      </c>
      <c r="AJ227" t="str">
        <f t="shared" si="213"/>
        <v>1+0,00773000666465025i</v>
      </c>
      <c r="AK227">
        <f t="shared" si="232"/>
        <v>1.0000298760552284</v>
      </c>
      <c r="AL227">
        <f t="shared" si="233"/>
        <v>7.7298527064659913E-3</v>
      </c>
      <c r="AM227" t="str">
        <f t="shared" si="214"/>
        <v>1-0,00508082461720205i</v>
      </c>
      <c r="AN227">
        <f t="shared" si="234"/>
        <v>1.0000129073060962</v>
      </c>
      <c r="AO227">
        <f t="shared" si="235"/>
        <v>-5.0807808977580233E-3</v>
      </c>
      <c r="AP227" s="41" t="str">
        <f t="shared" si="236"/>
        <v>0,259577211607274-7,32773743127273i</v>
      </c>
      <c r="AQ227">
        <f t="shared" si="237"/>
        <v>17.304844331317103</v>
      </c>
      <c r="AR227" s="43">
        <f t="shared" si="238"/>
        <v>-87.971207008068646</v>
      </c>
      <c r="AS227" t="str">
        <f t="shared" si="215"/>
        <v>-0,0000166666666666667</v>
      </c>
      <c r="AT227" t="str">
        <f t="shared" si="216"/>
        <v>0,0000077531966846442i</v>
      </c>
      <c r="AU227">
        <f t="shared" si="239"/>
        <v>7.7531966846441999E-6</v>
      </c>
      <c r="AV227">
        <f t="shared" si="240"/>
        <v>1.5707963267948966</v>
      </c>
      <c r="AW227" t="str">
        <f t="shared" si="217"/>
        <v>1+0,00508654476437604i</v>
      </c>
      <c r="AX227">
        <f t="shared" si="241"/>
        <v>1.0000129363851449</v>
      </c>
      <c r="AY227">
        <f t="shared" si="242"/>
        <v>5.0865008971051921E-3</v>
      </c>
      <c r="AZ227" t="str">
        <f t="shared" si="218"/>
        <v>1+1,70060146622305i</v>
      </c>
      <c r="BA227">
        <f t="shared" si="243"/>
        <v>1.9728267402182049</v>
      </c>
      <c r="BB227">
        <f t="shared" si="244"/>
        <v>1.0392268374701448</v>
      </c>
      <c r="BC227" s="41" t="str">
        <f t="shared" si="245"/>
        <v>-3,64467097380151+2,16818973824865i</v>
      </c>
      <c r="BD227">
        <f t="shared" si="246"/>
        <v>12.549025518158288</v>
      </c>
      <c r="BE227" s="43">
        <f t="shared" si="247"/>
        <v>149.25187670987361</v>
      </c>
      <c r="BF227" s="41" t="str">
        <f t="shared" si="248"/>
        <v>4,63513553554114+8,17363458198335i</v>
      </c>
      <c r="BG227" s="20">
        <f t="shared" si="249"/>
        <v>19.459252095588404</v>
      </c>
      <c r="BH227" s="43">
        <f t="shared" si="250"/>
        <v>60.443131343124413</v>
      </c>
      <c r="BI227" s="41" t="str">
        <f t="shared" si="203"/>
        <v>14,9418515744607+27,2700045658886i</v>
      </c>
      <c r="BJ227" s="20">
        <f t="shared" si="251"/>
        <v>29.85386984947538</v>
      </c>
      <c r="BK227" s="43">
        <f t="shared" si="204"/>
        <v>61.280669701804925</v>
      </c>
      <c r="BL227">
        <f t="shared" si="252"/>
        <v>19.459252095588404</v>
      </c>
      <c r="BM227" s="43">
        <f t="shared" si="253"/>
        <v>60.443131343124413</v>
      </c>
    </row>
    <row r="228" spans="14:65" x14ac:dyDescent="0.25">
      <c r="N228" s="9">
        <v>10</v>
      </c>
      <c r="O228" s="34">
        <f t="shared" si="254"/>
        <v>1258.925411794168</v>
      </c>
      <c r="P228" s="33" t="str">
        <f t="shared" si="206"/>
        <v>66,7780509511648</v>
      </c>
      <c r="Q228" s="4" t="str">
        <f t="shared" si="207"/>
        <v>1+30,8287524490158i</v>
      </c>
      <c r="R228" s="4">
        <f t="shared" si="219"/>
        <v>30.844966810854206</v>
      </c>
      <c r="S228" s="4">
        <f t="shared" si="220"/>
        <v>1.5383704445667987</v>
      </c>
      <c r="T228" s="4" t="str">
        <f t="shared" si="208"/>
        <v>1+0,00791006165022013i</v>
      </c>
      <c r="U228" s="4">
        <f t="shared" si="221"/>
        <v>1.0000312840483092</v>
      </c>
      <c r="V228" s="4">
        <f t="shared" si="222"/>
        <v>7.9098966813322229E-3</v>
      </c>
      <c r="W228" t="str">
        <f t="shared" si="209"/>
        <v>1-0,0172073258476937i</v>
      </c>
      <c r="X228" s="4">
        <f t="shared" si="223"/>
        <v>1.0001480350742227</v>
      </c>
      <c r="Y228" s="4">
        <f t="shared" si="224"/>
        <v>-1.720562783180957E-2</v>
      </c>
      <c r="Z228" t="str">
        <f t="shared" si="210"/>
        <v>0,999998415106808+0,00338210579904272i</v>
      </c>
      <c r="AA228" s="4">
        <f t="shared" si="225"/>
        <v>1.0000041344193351</v>
      </c>
      <c r="AB228" s="4">
        <f t="shared" si="226"/>
        <v>3.3820982637917125E-3</v>
      </c>
      <c r="AC228" s="47" t="str">
        <f t="shared" si="227"/>
        <v>0,042758411271366-2,16491484714018i</v>
      </c>
      <c r="AD228" s="20">
        <f t="shared" si="228"/>
        <v>6.7105101733438532</v>
      </c>
      <c r="AE228" s="43">
        <f t="shared" si="229"/>
        <v>-88.868519920166165</v>
      </c>
      <c r="AF228" t="str">
        <f t="shared" si="211"/>
        <v>223,849857273222</v>
      </c>
      <c r="AG228" t="str">
        <f t="shared" si="212"/>
        <v>1+31,2248310367847i</v>
      </c>
      <c r="AH228">
        <f t="shared" si="230"/>
        <v>31.240839829872581</v>
      </c>
      <c r="AI228">
        <f t="shared" si="231"/>
        <v>1.5387814753698295</v>
      </c>
      <c r="AJ228" t="str">
        <f t="shared" si="213"/>
        <v>1+0,00791006165022013i</v>
      </c>
      <c r="AK228">
        <f t="shared" si="232"/>
        <v>1.0000312840483092</v>
      </c>
      <c r="AL228">
        <f t="shared" si="233"/>
        <v>7.9098966813322229E-3</v>
      </c>
      <c r="AM228" t="str">
        <f t="shared" si="214"/>
        <v>1-0,0051991722257904i</v>
      </c>
      <c r="AN228">
        <f t="shared" si="234"/>
        <v>1.0000135156045808</v>
      </c>
      <c r="AO228">
        <f t="shared" si="235"/>
        <v>-5.1991253795963064E-3</v>
      </c>
      <c r="AP228" s="41" t="str">
        <f t="shared" si="236"/>
        <v>0,248780498048262-7,16129680606206i</v>
      </c>
      <c r="AQ228">
        <f t="shared" si="237"/>
        <v>17.105071550945993</v>
      </c>
      <c r="AR228" s="43">
        <f t="shared" si="238"/>
        <v>-88.010368376790623</v>
      </c>
      <c r="AS228" t="str">
        <f t="shared" si="215"/>
        <v>-0,0000166666666666667</v>
      </c>
      <c r="AT228" t="str">
        <f t="shared" si="216"/>
        <v>7,93379183517079E-06i</v>
      </c>
      <c r="AU228">
        <f t="shared" si="239"/>
        <v>7.9337918351707901E-6</v>
      </c>
      <c r="AV228">
        <f t="shared" si="240"/>
        <v>1.5707963267948966</v>
      </c>
      <c r="AW228" t="str">
        <f t="shared" si="217"/>
        <v>1+0,00520502561230836i</v>
      </c>
      <c r="AX228">
        <f t="shared" si="241"/>
        <v>1.0000135460540647</v>
      </c>
      <c r="AY228">
        <f t="shared" si="242"/>
        <v>5.2049786077151671E-3</v>
      </c>
      <c r="AZ228" t="str">
        <f t="shared" si="218"/>
        <v>1+1,74021356304843i</v>
      </c>
      <c r="BA228">
        <f t="shared" si="243"/>
        <v>2.00707330334936</v>
      </c>
      <c r="BB228">
        <f t="shared" si="244"/>
        <v>1.0492310496970239</v>
      </c>
      <c r="BC228" s="41" t="str">
        <f t="shared" si="245"/>
        <v>-3,64466652977786+2,11968950908694i</v>
      </c>
      <c r="BD228">
        <f t="shared" si="246"/>
        <v>12.498505992033289</v>
      </c>
      <c r="BE228" s="43">
        <f t="shared" si="247"/>
        <v>149.81828757504275</v>
      </c>
      <c r="BF228" s="41" t="str">
        <f t="shared" si="248"/>
        <v>4,43310713912237+7,9810272389881i</v>
      </c>
      <c r="BG228" s="20">
        <f t="shared" si="249"/>
        <v>19.209016165377136</v>
      </c>
      <c r="BH228" s="43">
        <f t="shared" si="250"/>
        <v>60.949767654876588</v>
      </c>
      <c r="BI228" s="41" t="str">
        <f t="shared" si="203"/>
        <v>14,2730037567696+26,6278761906378i</v>
      </c>
      <c r="BJ228" s="20">
        <f t="shared" si="251"/>
        <v>29.603577542979281</v>
      </c>
      <c r="BK228" s="43">
        <f t="shared" si="204"/>
        <v>61.807919198252129</v>
      </c>
      <c r="BL228">
        <f t="shared" si="252"/>
        <v>19.209016165377136</v>
      </c>
      <c r="BM228" s="43">
        <f t="shared" si="253"/>
        <v>60.949767654876588</v>
      </c>
    </row>
    <row r="229" spans="14:65" x14ac:dyDescent="0.25">
      <c r="N229" s="9">
        <v>11</v>
      </c>
      <c r="O229" s="34">
        <f t="shared" si="254"/>
        <v>1288.2495516931347</v>
      </c>
      <c r="P229" s="33" t="str">
        <f t="shared" si="206"/>
        <v>66,7780509511648</v>
      </c>
      <c r="Q229" s="4" t="str">
        <f t="shared" si="207"/>
        <v>1+31,5468463418359i</v>
      </c>
      <c r="R229" s="4">
        <f t="shared" si="219"/>
        <v>31.562691807185981</v>
      </c>
      <c r="S229" s="4">
        <f t="shared" si="220"/>
        <v>1.5391080480018979</v>
      </c>
      <c r="T229" s="4" t="str">
        <f t="shared" si="208"/>
        <v>1+0,00809431065517899i</v>
      </c>
      <c r="U229" s="4">
        <f t="shared" si="221"/>
        <v>1.000032758395935</v>
      </c>
      <c r="V229" s="4">
        <f t="shared" si="222"/>
        <v>8.0941338881435655E-3</v>
      </c>
      <c r="W229" t="str">
        <f t="shared" si="209"/>
        <v>1-0,0176081359558365i</v>
      </c>
      <c r="X229" s="4">
        <f t="shared" si="223"/>
        <v>1.0001550112116817</v>
      </c>
      <c r="Y229" s="4">
        <f t="shared" si="224"/>
        <v>-1.7606316514265814E-2</v>
      </c>
      <c r="Z229" t="str">
        <f t="shared" si="210"/>
        <v>0,999998340413093+0,00346088516331251i</v>
      </c>
      <c r="AA229" s="4">
        <f t="shared" si="225"/>
        <v>1.0000043292681557</v>
      </c>
      <c r="AB229" s="4">
        <f t="shared" si="226"/>
        <v>3.460877089147388E-3</v>
      </c>
      <c r="AC229" s="47" t="str">
        <f t="shared" si="227"/>
        <v>0,0396012531011599-2,11574490568468i</v>
      </c>
      <c r="AD229" s="20">
        <f t="shared" si="228"/>
        <v>6.5107873231438038</v>
      </c>
      <c r="AE229" s="43">
        <f t="shared" si="229"/>
        <v>-88.927696934183416</v>
      </c>
      <c r="AF229" t="str">
        <f t="shared" si="211"/>
        <v>223,849857273222</v>
      </c>
      <c r="AG229" t="str">
        <f t="shared" si="212"/>
        <v>1+31,9521507850924i</v>
      </c>
      <c r="AH229">
        <f t="shared" si="230"/>
        <v>31.967795353969606</v>
      </c>
      <c r="AI229">
        <f t="shared" si="231"/>
        <v>1.539509741364276</v>
      </c>
      <c r="AJ229" t="str">
        <f t="shared" si="213"/>
        <v>1+0,00809431065517899i</v>
      </c>
      <c r="AK229">
        <f t="shared" si="232"/>
        <v>1.000032758395935</v>
      </c>
      <c r="AL229">
        <f t="shared" si="233"/>
        <v>8.0941338881435655E-3</v>
      </c>
      <c r="AM229" t="str">
        <f t="shared" si="214"/>
        <v>1-0,00532027650431204i</v>
      </c>
      <c r="AN229">
        <f t="shared" si="234"/>
        <v>1.0000141525708937</v>
      </c>
      <c r="AO229">
        <f t="shared" si="235"/>
        <v>-5.3202263077490597E-3</v>
      </c>
      <c r="AP229" s="41" t="str">
        <f t="shared" si="236"/>
        <v>0,238468743236954-6,99862209269602i</v>
      </c>
      <c r="AQ229">
        <f t="shared" si="237"/>
        <v>16.905290166978862</v>
      </c>
      <c r="AR229" s="43">
        <f t="shared" si="238"/>
        <v>-88.048477502333995</v>
      </c>
      <c r="AS229" t="str">
        <f t="shared" si="215"/>
        <v>-0,0000166666666666667</v>
      </c>
      <c r="AT229" t="str">
        <f t="shared" si="216"/>
        <v>8,11859358714453E-06i</v>
      </c>
      <c r="AU229">
        <f t="shared" si="239"/>
        <v>8.1185935871445294E-6</v>
      </c>
      <c r="AV229">
        <f t="shared" si="240"/>
        <v>1.5707963267948966</v>
      </c>
      <c r="AW229" t="str">
        <f t="shared" si="217"/>
        <v>1+0,00532626623371698i</v>
      </c>
      <c r="AX229">
        <f t="shared" si="241"/>
        <v>1.0000141844553969</v>
      </c>
      <c r="AY229">
        <f t="shared" si="242"/>
        <v>5.3262158674265234E-3</v>
      </c>
      <c r="AZ229" t="str">
        <f t="shared" si="218"/>
        <v>1+1,78074834413938i</v>
      </c>
      <c r="BA229">
        <f t="shared" si="243"/>
        <v>2.0423184534139485</v>
      </c>
      <c r="BB229">
        <f t="shared" si="244"/>
        <v>1.0591199549194321</v>
      </c>
      <c r="BC229" s="41" t="str">
        <f t="shared" si="245"/>
        <v>-3,64466187632541+2,07231316517955i</v>
      </c>
      <c r="BD229">
        <f t="shared" si="246"/>
        <v>12.449704989856475</v>
      </c>
      <c r="BE229" s="43">
        <f t="shared" si="247"/>
        <v>150.3779337249905</v>
      </c>
      <c r="BF229" s="41" t="str">
        <f t="shared" si="248"/>
        <v>4,24015284477942+7,79324099593779i</v>
      </c>
      <c r="BG229" s="20">
        <f t="shared" si="249"/>
        <v>18.960492313000273</v>
      </c>
      <c r="BH229" s="43">
        <f t="shared" si="250"/>
        <v>61.450236790807061</v>
      </c>
      <c r="BI229" s="41" t="str">
        <f t="shared" si="203"/>
        <v>13,6341987636395+26,0017930441517i</v>
      </c>
      <c r="BJ229" s="20">
        <f t="shared" si="251"/>
        <v>29.354995156835344</v>
      </c>
      <c r="BK229" s="43">
        <f t="shared" si="204"/>
        <v>62.329456222656425</v>
      </c>
      <c r="BL229">
        <f t="shared" si="252"/>
        <v>18.960492313000273</v>
      </c>
      <c r="BM229" s="43">
        <f t="shared" si="253"/>
        <v>61.450236790807061</v>
      </c>
    </row>
    <row r="230" spans="14:65" x14ac:dyDescent="0.25">
      <c r="N230" s="9">
        <v>12</v>
      </c>
      <c r="O230" s="34">
        <f t="shared" si="254"/>
        <v>1318.2567385564089</v>
      </c>
      <c r="P230" s="33" t="str">
        <f t="shared" si="206"/>
        <v>66,7780509511648</v>
      </c>
      <c r="Q230" s="4" t="str">
        <f t="shared" si="207"/>
        <v>1+32,2816667901585i</v>
      </c>
      <c r="R230" s="4">
        <f t="shared" si="219"/>
        <v>32.297151743626287</v>
      </c>
      <c r="S230" s="4">
        <f t="shared" si="220"/>
        <v>1.5398288948637533</v>
      </c>
      <c r="T230" s="4" t="str">
        <f t="shared" si="208"/>
        <v>1+0,00828285137078811i</v>
      </c>
      <c r="U230" s="4">
        <f t="shared" si="221"/>
        <v>1.0000343022250939</v>
      </c>
      <c r="V230" s="4">
        <f t="shared" si="222"/>
        <v>8.2826619618480146E-3</v>
      </c>
      <c r="W230" t="str">
        <f t="shared" si="209"/>
        <v>1-0,0180182821307342i</v>
      </c>
      <c r="X230" s="4">
        <f t="shared" si="223"/>
        <v>1.0001623160722177</v>
      </c>
      <c r="Y230" s="4">
        <f t="shared" si="224"/>
        <v>-1.801633258105418E-2</v>
      </c>
      <c r="Z230" t="str">
        <f t="shared" si="210"/>
        <v>0,999998262199171+0,00354149953470613i</v>
      </c>
      <c r="AA230" s="4">
        <f t="shared" si="225"/>
        <v>1.0000045332998826</v>
      </c>
      <c r="AB230" s="4">
        <f t="shared" si="226"/>
        <v>3.5414908830843526E-3</v>
      </c>
      <c r="AC230" s="47" t="str">
        <f t="shared" si="227"/>
        <v>0,0365859083864921-2,0676877579823i</v>
      </c>
      <c r="AD230" s="20">
        <f t="shared" si="228"/>
        <v>6.3110586132364235</v>
      </c>
      <c r="AE230" s="43">
        <f t="shared" si="229"/>
        <v>-88.986307574422625</v>
      </c>
      <c r="AF230" t="str">
        <f t="shared" si="211"/>
        <v>223,849857273222</v>
      </c>
      <c r="AG230" t="str">
        <f t="shared" si="212"/>
        <v>1+32,6964119866831i</v>
      </c>
      <c r="AH230">
        <f t="shared" si="230"/>
        <v>32.71170061007092</v>
      </c>
      <c r="AI230">
        <f t="shared" si="231"/>
        <v>1.540221462080847</v>
      </c>
      <c r="AJ230" t="str">
        <f t="shared" si="213"/>
        <v>1+0,00828285137078811i</v>
      </c>
      <c r="AK230">
        <f t="shared" si="232"/>
        <v>1.0000343022250939</v>
      </c>
      <c r="AL230">
        <f t="shared" si="233"/>
        <v>8.2826619618480146E-3</v>
      </c>
      <c r="AM230" t="str">
        <f t="shared" si="214"/>
        <v>1-0,00544420166385847i</v>
      </c>
      <c r="AN230">
        <f t="shared" si="234"/>
        <v>1.0000148195560687</v>
      </c>
      <c r="AO230">
        <f t="shared" si="235"/>
        <v>-5.4441478773152299E-3</v>
      </c>
      <c r="AP230" s="41" t="str">
        <f t="shared" si="236"/>
        <v>0,228620205960759-6,83962911082846i</v>
      </c>
      <c r="AQ230">
        <f t="shared" si="237"/>
        <v>16.705500641846939</v>
      </c>
      <c r="AR230" s="43">
        <f t="shared" si="238"/>
        <v>-88.08555441556932</v>
      </c>
      <c r="AS230" t="str">
        <f t="shared" si="215"/>
        <v>-0,0000166666666666667</v>
      </c>
      <c r="AT230" t="str">
        <f t="shared" si="216"/>
        <v>8,30769992490048E-06i</v>
      </c>
      <c r="AU230">
        <f t="shared" si="239"/>
        <v>8.3076999249004801E-6</v>
      </c>
      <c r="AV230">
        <f t="shared" si="240"/>
        <v>1.5707963267948966</v>
      </c>
      <c r="AW230" t="str">
        <f t="shared" si="217"/>
        <v>1+0,0054503309119842i</v>
      </c>
      <c r="AX230">
        <f t="shared" si="241"/>
        <v>1.0000148529432202</v>
      </c>
      <c r="AY230">
        <f t="shared" si="242"/>
        <v>5.4502769435749348E-3</v>
      </c>
      <c r="AZ230" t="str">
        <f t="shared" si="218"/>
        <v>1+1,82222730157338i</v>
      </c>
      <c r="BA230">
        <f t="shared" si="243"/>
        <v>2.0785842149404008</v>
      </c>
      <c r="BB230">
        <f t="shared" si="244"/>
        <v>1.068891059381726</v>
      </c>
      <c r="BC230" s="41" t="str">
        <f t="shared" si="245"/>
        <v>-3,64465700357522+2,0260355868059i</v>
      </c>
      <c r="BD230">
        <f t="shared" si="246"/>
        <v>12.402582452081983</v>
      </c>
      <c r="BE230" s="43">
        <f t="shared" si="247"/>
        <v>150.93066859579602</v>
      </c>
      <c r="BF230" s="41" t="str">
        <f t="shared" si="248"/>
        <v>4,05586589284206+7,61013702070359i</v>
      </c>
      <c r="BG230" s="20">
        <f t="shared" si="249"/>
        <v>18.713641065318409</v>
      </c>
      <c r="BH230" s="43">
        <f t="shared" si="250"/>
        <v>61.944361021373375</v>
      </c>
      <c r="BI230" s="41" t="str">
        <f t="shared" si="203"/>
        <v>13,0240897442784+25,3912948137773i</v>
      </c>
      <c r="BJ230" s="20">
        <f t="shared" si="251"/>
        <v>29.108083093928933</v>
      </c>
      <c r="BK230" s="43">
        <f t="shared" si="204"/>
        <v>62.845114180226631</v>
      </c>
      <c r="BL230">
        <f t="shared" si="252"/>
        <v>18.713641065318409</v>
      </c>
      <c r="BM230" s="43">
        <f t="shared" si="253"/>
        <v>61.944361021373375</v>
      </c>
    </row>
    <row r="231" spans="14:65" x14ac:dyDescent="0.25">
      <c r="N231" s="9">
        <v>13</v>
      </c>
      <c r="O231" s="34">
        <f t="shared" si="254"/>
        <v>1348.9628825916541</v>
      </c>
      <c r="P231" s="33" t="str">
        <f t="shared" si="206"/>
        <v>66,7780509511648</v>
      </c>
      <c r="Q231" s="4" t="str">
        <f t="shared" si="207"/>
        <v>1+33,0336034055115i</v>
      </c>
      <c r="R231" s="4">
        <f t="shared" si="219"/>
        <v>33.048736041679732</v>
      </c>
      <c r="S231" s="4">
        <f t="shared" si="220"/>
        <v>1.5405333643566659</v>
      </c>
      <c r="T231" s="4" t="str">
        <f t="shared" si="208"/>
        <v>1+0,0084757837638305i</v>
      </c>
      <c r="U231" s="4">
        <f t="shared" si="221"/>
        <v>1.0000359188101251</v>
      </c>
      <c r="V231" s="4">
        <f t="shared" si="222"/>
        <v>8.4755808088883069E-3</v>
      </c>
      <c r="W231" t="str">
        <f t="shared" si="209"/>
        <v>1-0,0184379818373179i</v>
      </c>
      <c r="X231" s="4">
        <f t="shared" si="223"/>
        <v>1.0001699651430418</v>
      </c>
      <c r="Y231" s="4">
        <f t="shared" si="224"/>
        <v>-1.8435892876371564E-2</v>
      </c>
      <c r="Z231" t="str">
        <f t="shared" si="210"/>
        <v>0,999998180299141+0,00362399165603033i</v>
      </c>
      <c r="AA231" s="4">
        <f t="shared" si="225"/>
        <v>1.0000047469472912</v>
      </c>
      <c r="AB231" s="4">
        <f t="shared" si="226"/>
        <v>3.6239823856528425E-3</v>
      </c>
      <c r="AC231" s="47" t="str">
        <f t="shared" si="227"/>
        <v>0,0337060188219048-2,02071852321448i</v>
      </c>
      <c r="AD231" s="20">
        <f t="shared" si="228"/>
        <v>6.1113246177054581</v>
      </c>
      <c r="AE231" s="43">
        <f t="shared" si="229"/>
        <v>-89.044382716554111</v>
      </c>
      <c r="AF231" t="str">
        <f t="shared" si="211"/>
        <v>223,849857273222</v>
      </c>
      <c r="AG231" t="str">
        <f t="shared" si="212"/>
        <v>1+33,4580092586972i</v>
      </c>
      <c r="AH231">
        <f t="shared" si="230"/>
        <v>33.47295002767261</v>
      </c>
      <c r="AI231">
        <f t="shared" si="231"/>
        <v>1.5409170119974807</v>
      </c>
      <c r="AJ231" t="str">
        <f t="shared" si="213"/>
        <v>1+0,0084757837638305i</v>
      </c>
      <c r="AK231">
        <f t="shared" si="232"/>
        <v>1.0000359188101251</v>
      </c>
      <c r="AL231">
        <f t="shared" si="233"/>
        <v>8.4755808088883069E-3</v>
      </c>
      <c r="AM231" t="str">
        <f t="shared" si="214"/>
        <v>1-0,00557101341118959i</v>
      </c>
      <c r="AN231">
        <f t="shared" si="234"/>
        <v>1.00001551797481</v>
      </c>
      <c r="AO231">
        <f t="shared" si="235"/>
        <v>-5.5709557779184482E-3</v>
      </c>
      <c r="AP231" s="41" t="str">
        <f t="shared" si="236"/>
        <v>0,219214116013282-6,68423549435935i</v>
      </c>
      <c r="AQ231">
        <f t="shared" si="237"/>
        <v>16.505703420824602</v>
      </c>
      <c r="AR231" s="43">
        <f t="shared" si="238"/>
        <v>-88.121618612022644</v>
      </c>
      <c r="AS231" t="str">
        <f t="shared" si="215"/>
        <v>-0,0000166666666666667</v>
      </c>
      <c r="AT231" t="str">
        <f t="shared" si="216"/>
        <v>0,000008501211115122i</v>
      </c>
      <c r="AU231">
        <f t="shared" si="239"/>
        <v>8.5012111151220005E-6</v>
      </c>
      <c r="AV231">
        <f t="shared" si="240"/>
        <v>1.5707963267948966</v>
      </c>
      <c r="AW231" t="str">
        <f t="shared" si="217"/>
        <v>1+0,0055772854278446i</v>
      </c>
      <c r="AX231">
        <f t="shared" si="241"/>
        <v>1.0000155529354249</v>
      </c>
      <c r="AY231">
        <f t="shared" si="242"/>
        <v>5.5772275997007749E-3</v>
      </c>
      <c r="AZ231" t="str">
        <f t="shared" si="218"/>
        <v>1+1,86467242804271i</v>
      </c>
      <c r="BA231">
        <f t="shared" si="243"/>
        <v>2.1158930180665316</v>
      </c>
      <c r="BB231">
        <f t="shared" si="244"/>
        <v>1.078542080000185</v>
      </c>
      <c r="BC231" s="41" t="str">
        <f t="shared" si="245"/>
        <v>-3,64465190119339+1,98083223681424i</v>
      </c>
      <c r="BD231">
        <f t="shared" si="246"/>
        <v>12.357097984731018</v>
      </c>
      <c r="BE231" s="43">
        <f t="shared" si="247"/>
        <v>151.47635760842508</v>
      </c>
      <c r="BF231" s="41" t="str">
        <f t="shared" si="248"/>
        <v>3,87985768672999+7,43158157606745i</v>
      </c>
      <c r="BG231" s="20">
        <f t="shared" si="249"/>
        <v>18.468422602436476</v>
      </c>
      <c r="BH231" s="43">
        <f t="shared" si="250"/>
        <v>62.431974891870979</v>
      </c>
      <c r="BI231" s="41" t="str">
        <f t="shared" si="203"/>
        <v>12,4413900009887+24,795937990305i</v>
      </c>
      <c r="BJ231" s="20">
        <f t="shared" si="251"/>
        <v>28.862801405555615</v>
      </c>
      <c r="BK231" s="43">
        <f t="shared" si="204"/>
        <v>63.354738996402517</v>
      </c>
      <c r="BL231">
        <f t="shared" si="252"/>
        <v>18.468422602436476</v>
      </c>
      <c r="BM231" s="43">
        <f t="shared" si="253"/>
        <v>62.431974891870979</v>
      </c>
    </row>
    <row r="232" spans="14:65" x14ac:dyDescent="0.25">
      <c r="N232" s="9">
        <v>14</v>
      </c>
      <c r="O232" s="34">
        <f t="shared" si="254"/>
        <v>1380.3842646028863</v>
      </c>
      <c r="P232" s="33" t="str">
        <f t="shared" si="206"/>
        <v>66,7780509511648</v>
      </c>
      <c r="Q232" s="4" t="str">
        <f t="shared" si="207"/>
        <v>1+33,8030548746416i</v>
      </c>
      <c r="R232" s="4">
        <f t="shared" si="219"/>
        <v>33.817843202339674</v>
      </c>
      <c r="S232" s="4">
        <f t="shared" si="220"/>
        <v>1.5412218272011882</v>
      </c>
      <c r="T232" s="4" t="str">
        <f t="shared" si="208"/>
        <v>1+0,00867321012961475i</v>
      </c>
      <c r="U232" s="4">
        <f t="shared" si="221"/>
        <v>1.0000376115796608</v>
      </c>
      <c r="V232" s="4">
        <f t="shared" si="222"/>
        <v>8.6729926599178383E-3</v>
      </c>
      <c r="W232" t="str">
        <f t="shared" si="209"/>
        <v>1-0,0188674576059272i</v>
      </c>
      <c r="X232" s="4">
        <f t="shared" si="223"/>
        <v>1.0001779746407693</v>
      </c>
      <c r="Y232" s="4">
        <f t="shared" si="224"/>
        <v>-1.8865219265456538E-2</v>
      </c>
      <c r="Z232" t="str">
        <f t="shared" si="210"/>
        <v>0,999998094539282+0,00370840526569977i</v>
      </c>
      <c r="AA232" s="4">
        <f t="shared" si="225"/>
        <v>1.000004970663551</v>
      </c>
      <c r="AB232" s="4">
        <f t="shared" si="226"/>
        <v>3.7083953323138697E-3</v>
      </c>
      <c r="AC232" s="47" t="str">
        <f t="shared" si="227"/>
        <v>0,0309555101141986-1,97481285748358i</v>
      </c>
      <c r="AD232" s="20">
        <f t="shared" si="228"/>
        <v>5.9115858995178101</v>
      </c>
      <c r="AE232" s="43">
        <f t="shared" si="229"/>
        <v>-89.101952961715057</v>
      </c>
      <c r="AF232" t="str">
        <f t="shared" si="211"/>
        <v>223,849857273222</v>
      </c>
      <c r="AG232" t="str">
        <f t="shared" si="212"/>
        <v>1+34,2373464100894i</v>
      </c>
      <c r="AH232">
        <f t="shared" si="230"/>
        <v>34.251947232302889</v>
      </c>
      <c r="AI232">
        <f t="shared" si="231"/>
        <v>1.5415967572104106</v>
      </c>
      <c r="AJ232" t="str">
        <f t="shared" si="213"/>
        <v>1+0,00867321012961475i</v>
      </c>
      <c r="AK232">
        <f t="shared" si="232"/>
        <v>1.0000376115796608</v>
      </c>
      <c r="AL232">
        <f t="shared" si="233"/>
        <v>8.6729926599178383E-3</v>
      </c>
      <c r="AM232" t="str">
        <f t="shared" si="214"/>
        <v>1-0,00570077898357241i</v>
      </c>
      <c r="AN232">
        <f t="shared" si="234"/>
        <v>1.0000162493084899</v>
      </c>
      <c r="AO232">
        <f t="shared" si="235"/>
        <v>-5.7007172284639536E-3</v>
      </c>
      <c r="AP232" s="41" t="str">
        <f t="shared" si="236"/>
        <v>0,21023063115055-6,53236065691706i</v>
      </c>
      <c r="AQ232">
        <f t="shared" si="237"/>
        <v>16.305898932963782</v>
      </c>
      <c r="AR232" s="43">
        <f t="shared" si="238"/>
        <v>-88.15668906143766</v>
      </c>
      <c r="AS232" t="str">
        <f t="shared" si="215"/>
        <v>-0,0000166666666666667</v>
      </c>
      <c r="AT232" t="str">
        <f t="shared" si="216"/>
        <v>0,0000086992297600036i</v>
      </c>
      <c r="AU232">
        <f t="shared" si="239"/>
        <v>8.6992297600036008E-6</v>
      </c>
      <c r="AV232">
        <f t="shared" si="240"/>
        <v>1.5707963267948966</v>
      </c>
      <c r="AW232" t="str">
        <f t="shared" si="217"/>
        <v>1+0,00570719709426295i</v>
      </c>
      <c r="AX232">
        <f t="shared" si="241"/>
        <v>1.0000162859167208</v>
      </c>
      <c r="AY232">
        <f t="shared" si="242"/>
        <v>5.7071351303449556E-3</v>
      </c>
      <c r="AZ232" t="str">
        <f t="shared" si="218"/>
        <v>1+1,90810622851524i</v>
      </c>
      <c r="BA232">
        <f t="shared" si="243"/>
        <v>2.1542677130056638</v>
      </c>
      <c r="BB232">
        <f t="shared" si="244"/>
        <v>1.0880709417544085</v>
      </c>
      <c r="BC232" s="41" t="str">
        <f t="shared" si="245"/>
        <v>-3,64464655835901+1,93667914761102i</v>
      </c>
      <c r="BD232">
        <f t="shared" si="246"/>
        <v>12.313210958749288</v>
      </c>
      <c r="BE232" s="43">
        <f t="shared" si="247"/>
        <v>152.01487801727282</v>
      </c>
      <c r="BF232" s="41" t="str">
        <f t="shared" si="248"/>
        <v>3,71175698812262+7,25744577537248i</v>
      </c>
      <c r="BG232" s="20">
        <f t="shared" si="249"/>
        <v>18.224796858267098</v>
      </c>
      <c r="BH232" s="43">
        <f t="shared" si="250"/>
        <v>62.912925055557771</v>
      </c>
      <c r="BI232" s="41" t="str">
        <f t="shared" si="203"/>
        <v>11,8848703226414+24,2152950657309i</v>
      </c>
      <c r="BJ232" s="20">
        <f t="shared" si="251"/>
        <v>28.619109891713059</v>
      </c>
      <c r="BK232" s="43">
        <f t="shared" si="204"/>
        <v>63.858188955835132</v>
      </c>
      <c r="BL232">
        <f t="shared" si="252"/>
        <v>18.224796858267098</v>
      </c>
      <c r="BM232" s="43">
        <f t="shared" si="253"/>
        <v>62.912925055557771</v>
      </c>
    </row>
    <row r="233" spans="14:65" x14ac:dyDescent="0.25">
      <c r="N233" s="9">
        <v>15</v>
      </c>
      <c r="O233" s="34">
        <f t="shared" si="254"/>
        <v>1412.5375446227545</v>
      </c>
      <c r="P233" s="33" t="str">
        <f t="shared" si="206"/>
        <v>66,7780509511648</v>
      </c>
      <c r="Q233" s="4" t="str">
        <f t="shared" si="207"/>
        <v>1+34,5904291709025i</v>
      </c>
      <c r="R233" s="4">
        <f t="shared" si="219"/>
        <v>34.60488101738283</v>
      </c>
      <c r="S233" s="4">
        <f t="shared" si="220"/>
        <v>1.5418946458173928</v>
      </c>
      <c r="T233" s="4" t="str">
        <f t="shared" si="208"/>
        <v>1+0,00887523514621322i</v>
      </c>
      <c r="U233" s="4">
        <f t="shared" si="221"/>
        <v>1.0000393841238957</v>
      </c>
      <c r="V233" s="4">
        <f t="shared" si="222"/>
        <v>8.8750021237303141E-3</v>
      </c>
      <c r="W233" t="str">
        <f t="shared" si="209"/>
        <v>1-0,0193069371502995i</v>
      </c>
      <c r="X233" s="4">
        <f t="shared" si="223"/>
        <v>1.0001863615457498</v>
      </c>
      <c r="Y233" s="4">
        <f t="shared" si="224"/>
        <v>-1.9304538749408916E-2</v>
      </c>
      <c r="Z233" t="str">
        <f t="shared" si="210"/>
        <v>0,999998004737685+0,00379478512092762i</v>
      </c>
      <c r="AA233" s="4">
        <f t="shared" si="225"/>
        <v>1.0000052049231869</v>
      </c>
      <c r="AB233" s="4">
        <f t="shared" si="226"/>
        <v>3.7947744771157179E-3</v>
      </c>
      <c r="AC233" s="47" t="str">
        <f t="shared" si="227"/>
        <v>0,028328579388177-1,9299469435555i</v>
      </c>
      <c r="AD233" s="20">
        <f t="shared" si="228"/>
        <v>5.7118430117071188</v>
      </c>
      <c r="AE233" s="43">
        <f t="shared" si="229"/>
        <v>-89.15904865182668</v>
      </c>
      <c r="AF233" t="str">
        <f t="shared" si="211"/>
        <v>223,849857273222</v>
      </c>
      <c r="AG233" t="str">
        <f t="shared" si="212"/>
        <v>1+35,0348366557331i</v>
      </c>
      <c r="AH233">
        <f t="shared" si="230"/>
        <v>35.04910525953408</v>
      </c>
      <c r="AI233">
        <f t="shared" si="231"/>
        <v>1.5422610556154792</v>
      </c>
      <c r="AJ233" t="str">
        <f t="shared" si="213"/>
        <v>1+0,00887523514621322i</v>
      </c>
      <c r="AK233">
        <f t="shared" si="232"/>
        <v>1.0000393841238957</v>
      </c>
      <c r="AL233">
        <f t="shared" si="233"/>
        <v>8.8750021237303141E-3</v>
      </c>
      <c r="AM233" t="str">
        <f t="shared" si="214"/>
        <v>1-0,00583356718443104i</v>
      </c>
      <c r="AN233">
        <f t="shared" si="234"/>
        <v>1.0000170151082908</v>
      </c>
      <c r="AO233">
        <f t="shared" si="235"/>
        <v>-5.8335010127009406E-3</v>
      </c>
      <c r="AP233" s="41" t="str">
        <f t="shared" si="236"/>
        <v>0,201650795926858-6,38392575767858i</v>
      </c>
      <c r="AQ233">
        <f t="shared" si="237"/>
        <v>16.106087591995085</v>
      </c>
      <c r="AR233" s="43">
        <f t="shared" si="238"/>
        <v>-88.190784217111755</v>
      </c>
      <c r="AS233" t="str">
        <f t="shared" si="215"/>
        <v>-0,0000166666666666667</v>
      </c>
      <c r="AT233" t="str">
        <f t="shared" si="216"/>
        <v>8,90186085165186E-06i</v>
      </c>
      <c r="AU233">
        <f t="shared" si="239"/>
        <v>8.9018608516518594E-6</v>
      </c>
      <c r="AV233">
        <f t="shared" si="240"/>
        <v>1.5707963267948966</v>
      </c>
      <c r="AW233" t="str">
        <f t="shared" si="217"/>
        <v>1+0,00584013479212435i</v>
      </c>
      <c r="AX233">
        <f t="shared" si="241"/>
        <v>1.0000170534417852</v>
      </c>
      <c r="AY233">
        <f t="shared" si="242"/>
        <v>5.8400683966511428E-3</v>
      </c>
      <c r="AZ233" t="str">
        <f t="shared" si="218"/>
        <v>1+1,95255173216691i</v>
      </c>
      <c r="BA233">
        <f t="shared" si="243"/>
        <v>2.1937315849456152</v>
      </c>
      <c r="BB233">
        <f t="shared" si="244"/>
        <v>1.0974757744355488</v>
      </c>
      <c r="BC233" s="41" t="str">
        <f t="shared" si="245"/>
        <v>-3,64464096374141+1,89355290845204i</v>
      </c>
      <c r="BD233">
        <f t="shared" si="246"/>
        <v>12.270880605402114</v>
      </c>
      <c r="BE233" s="43">
        <f t="shared" si="247"/>
        <v>152.54611872181252</v>
      </c>
      <c r="BF233" s="41" t="str">
        <f t="shared" si="248"/>
        <v>3,55120914724489+7,0876053522227i</v>
      </c>
      <c r="BG233" s="20">
        <f t="shared" si="249"/>
        <v>17.982723617109226</v>
      </c>
      <c r="BH233" s="43">
        <f t="shared" si="250"/>
        <v>63.387070069985846</v>
      </c>
      <c r="BI233" s="41" t="str">
        <f t="shared" si="203"/>
        <v>11,3533564345881+23,6489537770382i</v>
      </c>
      <c r="BJ233" s="20">
        <f t="shared" si="251"/>
        <v>28.376968197397186</v>
      </c>
      <c r="BK233" s="43">
        <f t="shared" si="204"/>
        <v>64.355334504700693</v>
      </c>
      <c r="BL233">
        <f t="shared" si="252"/>
        <v>17.982723617109226</v>
      </c>
      <c r="BM233" s="43">
        <f t="shared" si="253"/>
        <v>63.387070069985846</v>
      </c>
    </row>
    <row r="234" spans="14:65" x14ac:dyDescent="0.25">
      <c r="N234" s="9">
        <v>16</v>
      </c>
      <c r="O234" s="34">
        <f t="shared" si="254"/>
        <v>1445.4397707459289</v>
      </c>
      <c r="P234" s="33" t="str">
        <f t="shared" si="206"/>
        <v>66,7780509511648</v>
      </c>
      <c r="Q234" s="4" t="str">
        <f t="shared" si="207"/>
        <v>1+35,3961437705683i</v>
      </c>
      <c r="R234" s="4">
        <f t="shared" si="219"/>
        <v>35.410266785591169</v>
      </c>
      <c r="S234" s="4">
        <f t="shared" si="220"/>
        <v>1.5425521745046227</v>
      </c>
      <c r="T234" s="4" t="str">
        <f t="shared" si="208"/>
        <v>1+0,00908196592996385i</v>
      </c>
      <c r="U234" s="4">
        <f t="shared" si="221"/>
        <v>1.0000412402021994</v>
      </c>
      <c r="V234" s="4">
        <f t="shared" si="222"/>
        <v>9.0817162424309747E-3</v>
      </c>
      <c r="W234" t="str">
        <f t="shared" si="209"/>
        <v>1-0,0197566534883065i</v>
      </c>
      <c r="X234" s="4">
        <f t="shared" si="223"/>
        <v>1.0001951436380088</v>
      </c>
      <c r="Y234" s="4">
        <f t="shared" si="224"/>
        <v>-1.9754083582530266E-2</v>
      </c>
      <c r="Z234" t="str">
        <f t="shared" si="210"/>
        <v>0,999997910703869+0,00388317702145651i</v>
      </c>
      <c r="AA234" s="4">
        <f t="shared" si="225"/>
        <v>1.0000054502230891</v>
      </c>
      <c r="AB234" s="4">
        <f t="shared" si="226"/>
        <v>3.8831656164097805E-3</v>
      </c>
      <c r="AC234" s="47" t="str">
        <f t="shared" si="227"/>
        <v>0,0258196831426755-1,88609748070606i</v>
      </c>
      <c r="AD234" s="20">
        <f t="shared" si="228"/>
        <v>5.5120964985367005</v>
      </c>
      <c r="AE234" s="43">
        <f t="shared" si="229"/>
        <v>-89.215699884814086</v>
      </c>
      <c r="AF234" t="str">
        <f t="shared" si="211"/>
        <v>223,849857273222</v>
      </c>
      <c r="AG234" t="str">
        <f t="shared" si="212"/>
        <v>1+35,8509028355126i</v>
      </c>
      <c r="AH234">
        <f t="shared" si="230"/>
        <v>35.864846773984198</v>
      </c>
      <c r="AI234">
        <f t="shared" si="231"/>
        <v>1.542910257085953</v>
      </c>
      <c r="AJ234" t="str">
        <f t="shared" si="213"/>
        <v>1+0,00908196592996385i</v>
      </c>
      <c r="AK234">
        <f t="shared" si="232"/>
        <v>1.0000412402021994</v>
      </c>
      <c r="AL234">
        <f t="shared" si="233"/>
        <v>9.0817162424309747E-3</v>
      </c>
      <c r="AM234" t="str">
        <f t="shared" si="214"/>
        <v>1-0,00596944841982726i</v>
      </c>
      <c r="AN234">
        <f t="shared" si="234"/>
        <v>1.0000178169984957</v>
      </c>
      <c r="AO234">
        <f t="shared" si="235"/>
        <v>-5.9693775156092251E-3</v>
      </c>
      <c r="AP234" s="41" t="str">
        <f t="shared" si="236"/>
        <v>0,193456502330636-6,23885366754927i</v>
      </c>
      <c r="AQ234">
        <f t="shared" si="237"/>
        <v>15.906269797197144</v>
      </c>
      <c r="AR234" s="43">
        <f t="shared" si="238"/>
        <v>-88.223922025007923</v>
      </c>
      <c r="AS234" t="str">
        <f t="shared" si="215"/>
        <v>-0,0000166666666666667</v>
      </c>
      <c r="AT234" t="str">
        <f t="shared" si="216"/>
        <v>9,10921182775374E-06i</v>
      </c>
      <c r="AU234">
        <f t="shared" si="239"/>
        <v>9.1092118277537397E-6</v>
      </c>
      <c r="AV234">
        <f t="shared" si="240"/>
        <v>1.5707963267948966</v>
      </c>
      <c r="AW234" t="str">
        <f t="shared" si="217"/>
        <v>1+0,00597616900675587i</v>
      </c>
      <c r="AX234">
        <f t="shared" si="241"/>
        <v>1.0000178571385598</v>
      </c>
      <c r="AY234">
        <f t="shared" si="242"/>
        <v>5.9760978627931612E-3</v>
      </c>
      <c r="AZ234" t="str">
        <f t="shared" si="218"/>
        <v>1+1,99803250459205i</v>
      </c>
      <c r="BA234">
        <f t="shared" si="243"/>
        <v>2.2343083693631867</v>
      </c>
      <c r="BB234">
        <f t="shared" si="244"/>
        <v>1.1067549088058921</v>
      </c>
      <c r="BC234" s="41" t="str">
        <f t="shared" si="245"/>
        <v>-3,64463510547601+1,85143065302884i</v>
      </c>
      <c r="BD234">
        <f t="shared" si="246"/>
        <v>12.230066107418923</v>
      </c>
      <c r="BE234" s="43">
        <f t="shared" si="247"/>
        <v>153.06998004446876</v>
      </c>
      <c r="BF234" s="41" t="str">
        <f t="shared" si="248"/>
        <v>3,39787536678561+6,92194044335301i</v>
      </c>
      <c r="BG234" s="20">
        <f t="shared" si="249"/>
        <v>17.742162605955624</v>
      </c>
      <c r="BH234" s="43">
        <f t="shared" si="250"/>
        <v>63.85428015965465</v>
      </c>
      <c r="BI234" s="41" t="str">
        <f t="shared" si="203"/>
        <v>10,8457265600853+23,0965163931205i</v>
      </c>
      <c r="BJ234" s="20">
        <f t="shared" si="251"/>
        <v>28.136335904616065</v>
      </c>
      <c r="BK234" s="43">
        <f t="shared" si="204"/>
        <v>64.846058019460784</v>
      </c>
      <c r="BL234">
        <f t="shared" si="252"/>
        <v>17.742162605955624</v>
      </c>
      <c r="BM234" s="43">
        <f t="shared" si="253"/>
        <v>63.85428015965465</v>
      </c>
    </row>
    <row r="235" spans="14:65" x14ac:dyDescent="0.25">
      <c r="N235" s="9">
        <v>17</v>
      </c>
      <c r="O235" s="34">
        <f t="shared" si="254"/>
        <v>1479.1083881682086</v>
      </c>
      <c r="P235" s="33" t="str">
        <f t="shared" si="206"/>
        <v>66,7780509511648</v>
      </c>
      <c r="Q235" s="4" t="str">
        <f t="shared" si="207"/>
        <v>1+36,2206258741846i</v>
      </c>
      <c r="R235" s="4">
        <f t="shared" si="219"/>
        <v>36.234427534013157</v>
      </c>
      <c r="S235" s="4">
        <f t="shared" si="220"/>
        <v>1.5431947596177615</v>
      </c>
      <c r="T235" s="4" t="str">
        <f t="shared" si="208"/>
        <v>1+0,00929351209226457i</v>
      </c>
      <c r="U235" s="4">
        <f t="shared" si="221"/>
        <v>1.0000431837510864</v>
      </c>
      <c r="V235" s="4">
        <f t="shared" si="222"/>
        <v>9.293244547876783E-3</v>
      </c>
      <c r="W235" t="str">
        <f t="shared" si="209"/>
        <v>1-0,0202168450655031i</v>
      </c>
      <c r="X235" s="4">
        <f t="shared" si="223"/>
        <v>1.0002043395348785</v>
      </c>
      <c r="Y235" s="4">
        <f t="shared" si="224"/>
        <v>-2.0214091392234398E-2</v>
      </c>
      <c r="Z235" t="str">
        <f t="shared" si="210"/>
        <v>0,999997812238376+0,00397362783384209i</v>
      </c>
      <c r="AA235" s="4">
        <f t="shared" si="225"/>
        <v>1.0000057070835646</v>
      </c>
      <c r="AB235" s="4">
        <f t="shared" si="226"/>
        <v>3.9736156131179373E-3</v>
      </c>
      <c r="AC235" s="47" t="str">
        <f t="shared" si="227"/>
        <v>0,0234235257335564-1,84324167467742i</v>
      </c>
      <c r="AD235" s="20">
        <f t="shared" si="228"/>
        <v>5.3123468966447627</v>
      </c>
      <c r="AE235" s="43">
        <f t="shared" si="229"/>
        <v>-89.271936529732741</v>
      </c>
      <c r="AF235" t="str">
        <f t="shared" si="211"/>
        <v>223,849857273222</v>
      </c>
      <c r="AG235" t="str">
        <f t="shared" si="212"/>
        <v>1+36,6859776385183i</v>
      </c>
      <c r="AH235">
        <f t="shared" si="230"/>
        <v>36.699604293423448</v>
      </c>
      <c r="AI235">
        <f t="shared" si="231"/>
        <v>1.543544703646879</v>
      </c>
      <c r="AJ235" t="str">
        <f t="shared" si="213"/>
        <v>1+0,00929351209226457i</v>
      </c>
      <c r="AK235">
        <f t="shared" si="232"/>
        <v>1.0000431837510864</v>
      </c>
      <c r="AL235">
        <f t="shared" si="233"/>
        <v>9.293244547876783E-3</v>
      </c>
      <c r="AM235" t="str">
        <f t="shared" si="214"/>
        <v>1-0,00610849473579065i</v>
      </c>
      <c r="AN235">
        <f t="shared" si="234"/>
        <v>1.0000186566799327</v>
      </c>
      <c r="AO235">
        <f t="shared" si="235"/>
        <v>-6.1084187606287553E-3</v>
      </c>
      <c r="AP235" s="41" t="str">
        <f t="shared" si="236"/>
        <v>0,185630452143946-6,09706893572143i</v>
      </c>
      <c r="AQ235">
        <f t="shared" si="237"/>
        <v>15.706445934235969</v>
      </c>
      <c r="AR235" s="43">
        <f t="shared" si="238"/>
        <v>-88.256119932643841</v>
      </c>
      <c r="AS235" t="str">
        <f t="shared" si="215"/>
        <v>-0,0000166666666666667</v>
      </c>
      <c r="AT235" t="str">
        <f t="shared" si="216"/>
        <v>9,32139262854136E-06i</v>
      </c>
      <c r="AU235">
        <f t="shared" si="239"/>
        <v>9.3213926285413593E-6</v>
      </c>
      <c r="AV235">
        <f t="shared" si="240"/>
        <v>1.5707963267948966</v>
      </c>
      <c r="AW235" t="str">
        <f t="shared" si="217"/>
        <v>1+0,00611537186529872i</v>
      </c>
      <c r="AX235">
        <f t="shared" si="241"/>
        <v>1.0000186987117046</v>
      </c>
      <c r="AY235">
        <f t="shared" si="242"/>
        <v>6.1152956332462113E-3</v>
      </c>
      <c r="AZ235" t="str">
        <f t="shared" si="218"/>
        <v>1+2,0445726602982i</v>
      </c>
      <c r="BA235">
        <f t="shared" si="243"/>
        <v>2.2760222677379187</v>
      </c>
      <c r="BB235">
        <f t="shared" si="244"/>
        <v>1.1159068722251209</v>
      </c>
      <c r="BC235" s="41" t="str">
        <f t="shared" si="245"/>
        <v>-3,64462897113922+1,81029004734377i</v>
      </c>
      <c r="BD235">
        <f t="shared" si="246"/>
        <v>12.190726685652233</v>
      </c>
      <c r="BE235" s="43">
        <f t="shared" si="247"/>
        <v>153.58637347788408</v>
      </c>
      <c r="BF235" s="41" t="str">
        <f t="shared" si="248"/>
        <v>3,25143199802305+6,76033538384966i</v>
      </c>
      <c r="BG235" s="20">
        <f t="shared" si="249"/>
        <v>17.503073582296999</v>
      </c>
      <c r="BH235" s="43">
        <f t="shared" si="250"/>
        <v>64.314436948151382</v>
      </c>
      <c r="BI235" s="41" t="str">
        <f t="shared" si="203"/>
        <v>10,3609090884959+22,5575990421634i</v>
      </c>
      <c r="BJ235" s="20">
        <f t="shared" si="251"/>
        <v>27.897172619888202</v>
      </c>
      <c r="BK235" s="43">
        <f t="shared" si="204"/>
        <v>65.330253545240211</v>
      </c>
      <c r="BL235">
        <f t="shared" si="252"/>
        <v>17.503073582296999</v>
      </c>
      <c r="BM235" s="43">
        <f t="shared" si="253"/>
        <v>64.314436948151382</v>
      </c>
    </row>
    <row r="236" spans="14:65" x14ac:dyDescent="0.25">
      <c r="N236" s="9">
        <v>18</v>
      </c>
      <c r="O236" s="34">
        <f t="shared" si="254"/>
        <v>1513.5612484362093</v>
      </c>
      <c r="P236" s="33" t="str">
        <f t="shared" si="206"/>
        <v>66,7780509511648</v>
      </c>
      <c r="Q236" s="4" t="str">
        <f t="shared" si="207"/>
        <v>1+37,0643126330761i</v>
      </c>
      <c r="R236" s="4">
        <f t="shared" si="219"/>
        <v>37.077800244383489</v>
      </c>
      <c r="S236" s="4">
        <f t="shared" si="220"/>
        <v>1.543822739740059</v>
      </c>
      <c r="T236" s="4" t="str">
        <f t="shared" si="208"/>
        <v>1+0,00950998579769078i</v>
      </c>
      <c r="U236" s="4">
        <f t="shared" si="221"/>
        <v>1.0000452188925619</v>
      </c>
      <c r="V236" s="4">
        <f t="shared" si="222"/>
        <v>9.5096991194143568E-3</v>
      </c>
      <c r="W236" t="str">
        <f t="shared" si="209"/>
        <v>1-0,0206877558815551i</v>
      </c>
      <c r="X236" s="4">
        <f t="shared" si="223"/>
        <v>1.0002139687303986</v>
      </c>
      <c r="Y236" s="4">
        <f t="shared" si="224"/>
        <v>-2.0684805301576934E-2</v>
      </c>
      <c r="Z236" t="str">
        <f t="shared" si="210"/>
        <v>0,999997709132347+0,00406618551630237i</v>
      </c>
      <c r="AA236" s="4">
        <f t="shared" si="225"/>
        <v>1.0000059760494409</v>
      </c>
      <c r="AB236" s="4">
        <f t="shared" si="226"/>
        <v>4.0661724215645513E-3</v>
      </c>
      <c r="AC236" s="47" t="str">
        <f t="shared" si="227"/>
        <v>0,0211350483612661-1,80135722774994i</v>
      </c>
      <c r="AD236" s="20">
        <f t="shared" si="228"/>
        <v>5.1125947361738779</v>
      </c>
      <c r="AE236" s="43">
        <f t="shared" si="229"/>
        <v>-89.327788241805706</v>
      </c>
      <c r="AF236" t="str">
        <f t="shared" si="211"/>
        <v>223,849857273222</v>
      </c>
      <c r="AG236" t="str">
        <f t="shared" si="212"/>
        <v>1+37,5405038324642i</v>
      </c>
      <c r="AH236">
        <f t="shared" si="230"/>
        <v>37.553820418104728</v>
      </c>
      <c r="AI236">
        <f t="shared" si="231"/>
        <v>1.5441647296460204</v>
      </c>
      <c r="AJ236" t="str">
        <f t="shared" si="213"/>
        <v>1+0,00950998579769078i</v>
      </c>
      <c r="AK236">
        <f t="shared" si="232"/>
        <v>1.0000452188925619</v>
      </c>
      <c r="AL236">
        <f t="shared" si="233"/>
        <v>9.5096991194143568E-3</v>
      </c>
      <c r="AM236" t="str">
        <f t="shared" si="214"/>
        <v>1-0,00625077985651845i</v>
      </c>
      <c r="AN236">
        <f t="shared" si="234"/>
        <v>1.0000195359335811</v>
      </c>
      <c r="AO236">
        <f t="shared" si="235"/>
        <v>-6.250698447751655E-3</v>
      </c>
      <c r="AP236" s="41" t="str">
        <f t="shared" si="236"/>
        <v>0,178156120952236-5,9584977566289i</v>
      </c>
      <c r="AQ236">
        <f t="shared" si="237"/>
        <v>15.50661637597605</v>
      </c>
      <c r="AR236" s="43">
        <f t="shared" si="238"/>
        <v>-88.287394897760194</v>
      </c>
      <c r="AS236" t="str">
        <f t="shared" si="215"/>
        <v>-0,0000166666666666667</v>
      </c>
      <c r="AT236" t="str">
        <f t="shared" si="216"/>
        <v>9,53851575508386E-06i</v>
      </c>
      <c r="AU236">
        <f t="shared" si="239"/>
        <v>9.5385157550838595E-6</v>
      </c>
      <c r="AV236">
        <f t="shared" si="240"/>
        <v>1.5707963267948966</v>
      </c>
      <c r="AW236" t="str">
        <f t="shared" si="217"/>
        <v>1+0,00625781717495106i</v>
      </c>
      <c r="AX236">
        <f t="shared" si="241"/>
        <v>1.0000195799462104</v>
      </c>
      <c r="AY236">
        <f t="shared" si="242"/>
        <v>6.2577354909214974E-3</v>
      </c>
      <c r="AZ236" t="str">
        <f t="shared" si="218"/>
        <v>1+2,09219687549197i</v>
      </c>
      <c r="BA236">
        <f t="shared" si="243"/>
        <v>2.3188979636496216</v>
      </c>
      <c r="BB236">
        <f t="shared" si="244"/>
        <v>1.1249303837986511</v>
      </c>
      <c r="BC236" s="41" t="str">
        <f t="shared" si="245"/>
        <v>-3,64462254772221+1,77010927786709i</v>
      </c>
      <c r="BD236">
        <f t="shared" si="246"/>
        <v>12.152821681064601</v>
      </c>
      <c r="BE236" s="43">
        <f t="shared" si="247"/>
        <v>154.09522140475565</v>
      </c>
      <c r="BF236" s="41" t="str">
        <f t="shared" si="248"/>
        <v>3,11156986778844+6,60267851395225i</v>
      </c>
      <c r="BG236" s="20">
        <f t="shared" si="249"/>
        <v>17.26541641723848</v>
      </c>
      <c r="BH236" s="43">
        <f t="shared" si="250"/>
        <v>64.767433162949942</v>
      </c>
      <c r="BI236" s="41" t="str">
        <f t="shared" si="203"/>
        <v>9,89788034572181+22,0318310769683i</v>
      </c>
      <c r="BJ236" s="20">
        <f t="shared" si="251"/>
        <v>27.659438057040667</v>
      </c>
      <c r="BK236" s="43">
        <f t="shared" si="204"/>
        <v>65.807826506995511</v>
      </c>
      <c r="BL236">
        <f t="shared" si="252"/>
        <v>17.26541641723848</v>
      </c>
      <c r="BM236" s="43">
        <f t="shared" si="253"/>
        <v>64.767433162949942</v>
      </c>
    </row>
    <row r="237" spans="14:65" x14ac:dyDescent="0.25">
      <c r="N237" s="9">
        <v>19</v>
      </c>
      <c r="O237" s="34">
        <f t="shared" si="254"/>
        <v>1548.8166189124822</v>
      </c>
      <c r="P237" s="33" t="str">
        <f t="shared" si="206"/>
        <v>66,7780509511648</v>
      </c>
      <c r="Q237" s="4" t="str">
        <f t="shared" si="207"/>
        <v>1+37,9276513811298i</v>
      </c>
      <c r="R237" s="4">
        <f t="shared" si="219"/>
        <v>37.940832084820137</v>
      </c>
      <c r="S237" s="4">
        <f t="shared" si="220"/>
        <v>1.544436445852557</v>
      </c>
      <c r="T237" s="4" t="str">
        <f t="shared" si="208"/>
        <v>1+0,00973150182346647i</v>
      </c>
      <c r="U237" s="4">
        <f t="shared" si="221"/>
        <v>1.0000473499428615</v>
      </c>
      <c r="V237" s="4">
        <f t="shared" si="222"/>
        <v>9.7311946429444081E-3</v>
      </c>
      <c r="W237" t="str">
        <f t="shared" si="209"/>
        <v>1-0,0211696356196103i</v>
      </c>
      <c r="X237" s="4">
        <f t="shared" si="223"/>
        <v>1.0002240516365657</v>
      </c>
      <c r="Y237" s="4">
        <f t="shared" si="224"/>
        <v>-2.1166474054450091E-2</v>
      </c>
      <c r="Z237" t="str">
        <f t="shared" si="210"/>
        <v>0,999997601167081+0,00416089914414571i</v>
      </c>
      <c r="AA237" s="4">
        <f t="shared" si="225"/>
        <v>1.0000062576912228</v>
      </c>
      <c r="AB237" s="4">
        <f t="shared" si="226"/>
        <v>4.160885112885866E-3</v>
      </c>
      <c r="AC237" s="47" t="str">
        <f t="shared" si="227"/>
        <v>0,018949418541453-1,76042232893427i</v>
      </c>
      <c r="AD237" s="20">
        <f t="shared" si="228"/>
        <v>4.9128405418869043</v>
      </c>
      <c r="AE237" s="43">
        <f t="shared" si="229"/>
        <v>-89.383284477375909</v>
      </c>
      <c r="AF237" t="str">
        <f t="shared" si="211"/>
        <v>223,849857273222</v>
      </c>
      <c r="AG237" t="str">
        <f t="shared" si="212"/>
        <v>1+38,4149344984494i</v>
      </c>
      <c r="AH237">
        <f t="shared" si="230"/>
        <v>38.427948065440049</v>
      </c>
      <c r="AI237">
        <f t="shared" si="231"/>
        <v>1.5447706619214132</v>
      </c>
      <c r="AJ237" t="str">
        <f t="shared" si="213"/>
        <v>1+0,00973150182346647i</v>
      </c>
      <c r="AK237">
        <f t="shared" si="232"/>
        <v>1.0000473499428615</v>
      </c>
      <c r="AL237">
        <f t="shared" si="233"/>
        <v>9.7311946429444081E-3</v>
      </c>
      <c r="AM237" t="str">
        <f t="shared" si="214"/>
        <v>1-0,00639637922346503i</v>
      </c>
      <c r="AN237">
        <f t="shared" si="234"/>
        <v>1.0000204566243485</v>
      </c>
      <c r="AO237">
        <f t="shared" si="235"/>
        <v>-6.3962919924961687E-3</v>
      </c>
      <c r="AP237" s="41" t="str">
        <f t="shared" si="236"/>
        <v>0,171017723733902-5,82306793731272i</v>
      </c>
      <c r="AQ237">
        <f t="shared" si="237"/>
        <v>15.306781483264995</v>
      </c>
      <c r="AR237" s="43">
        <f t="shared" si="238"/>
        <v>-88.317763396769848</v>
      </c>
      <c r="AS237" t="str">
        <f t="shared" si="215"/>
        <v>-0,0000166666666666667</v>
      </c>
      <c r="AT237" t="str">
        <f t="shared" si="216"/>
        <v>9,76069632893687E-06i</v>
      </c>
      <c r="AU237">
        <f t="shared" si="239"/>
        <v>9.7606963289368699E-6</v>
      </c>
      <c r="AV237">
        <f t="shared" si="240"/>
        <v>1.5707963267948966</v>
      </c>
      <c r="AW237" t="str">
        <f t="shared" si="217"/>
        <v>1+0,00640358046210156i</v>
      </c>
      <c r="AX237">
        <f t="shared" si="241"/>
        <v>1.0000205027111868</v>
      </c>
      <c r="AY237">
        <f t="shared" si="242"/>
        <v>6.403492936183872E-3</v>
      </c>
      <c r="AZ237" t="str">
        <f t="shared" si="218"/>
        <v>1+2,14093040116262i</v>
      </c>
      <c r="BA237">
        <f t="shared" si="243"/>
        <v>2.3629606392452533</v>
      </c>
      <c r="BB237">
        <f t="shared" si="244"/>
        <v>1.1338243491030229</v>
      </c>
      <c r="BC237" s="41" t="str">
        <f t="shared" si="245"/>
        <v>-3,64461582160312+1,73086703997005i</v>
      </c>
      <c r="BD237">
        <f t="shared" si="246"/>
        <v>12.116310631904588</v>
      </c>
      <c r="BE237" s="43">
        <f t="shared" si="247"/>
        <v>154.59645679338558</v>
      </c>
      <c r="BF237" s="41" t="str">
        <f t="shared" si="248"/>
        <v>2,97799363495328+6,44886199671725i</v>
      </c>
      <c r="BG237" s="20">
        <f t="shared" si="249"/>
        <v>17.02915117379149</v>
      </c>
      <c r="BH237" s="43">
        <f t="shared" si="250"/>
        <v>65.213172316009704</v>
      </c>
      <c r="BI237" s="41" t="str">
        <f t="shared" si="203"/>
        <v>9,45566246250584+21,5188544758615i</v>
      </c>
      <c r="BJ237" s="20">
        <f t="shared" si="251"/>
        <v>27.423092115169581</v>
      </c>
      <c r="BK237" s="43">
        <f t="shared" si="204"/>
        <v>66.278693396615765</v>
      </c>
      <c r="BL237">
        <f t="shared" si="252"/>
        <v>17.02915117379149</v>
      </c>
      <c r="BM237" s="43">
        <f t="shared" si="253"/>
        <v>65.213172316009704</v>
      </c>
    </row>
    <row r="238" spans="14:65" x14ac:dyDescent="0.25">
      <c r="N238" s="9">
        <v>20</v>
      </c>
      <c r="O238" s="34">
        <f t="shared" si="254"/>
        <v>1584.8931924611156</v>
      </c>
      <c r="P238" s="33" t="str">
        <f t="shared" si="206"/>
        <v>66,7780509511648</v>
      </c>
      <c r="Q238" s="4" t="str">
        <f t="shared" si="207"/>
        <v>1+38,8110998719776i</v>
      </c>
      <c r="R238" s="4">
        <f t="shared" si="219"/>
        <v>38.823980646922593</v>
      </c>
      <c r="S238" s="4">
        <f t="shared" si="220"/>
        <v>1.5450362015001544</v>
      </c>
      <c r="T238" s="4" t="str">
        <f t="shared" si="208"/>
        <v>1+0,00995817762032063i</v>
      </c>
      <c r="U238" s="4">
        <f t="shared" si="221"/>
        <v>1.0000495814216002</v>
      </c>
      <c r="V238" s="4">
        <f t="shared" si="222"/>
        <v>9.9578484713424079E-3</v>
      </c>
      <c r="W238" t="str">
        <f t="shared" si="209"/>
        <v>1-0,0216627397786842i</v>
      </c>
      <c r="X238" s="4">
        <f t="shared" si="223"/>
        <v>1.0002346096265211</v>
      </c>
      <c r="Y238" s="4">
        <f t="shared" si="224"/>
        <v>-2.1659352143494019E-2</v>
      </c>
      <c r="Z238" t="str">
        <f t="shared" si="210"/>
        <v>0,999997488113568+0,0042578189357913i</v>
      </c>
      <c r="AA238" s="4">
        <f t="shared" si="225"/>
        <v>1.0000065526062993</v>
      </c>
      <c r="AB238" s="4">
        <f t="shared" si="226"/>
        <v>4.257803901030581E-3</v>
      </c>
      <c r="AC238" s="47" t="str">
        <f t="shared" si="227"/>
        <v>0,0168620200380018-1,72041564428811i</v>
      </c>
      <c r="AD238" s="20">
        <f t="shared" si="228"/>
        <v>4.7130848342725997</v>
      </c>
      <c r="AE238" s="43">
        <f t="shared" si="229"/>
        <v>-89.438454508777582</v>
      </c>
      <c r="AF238" t="str">
        <f t="shared" si="211"/>
        <v>223,849857273222</v>
      </c>
      <c r="AG238" t="str">
        <f t="shared" si="212"/>
        <v>1+39,3097332711875i</v>
      </c>
      <c r="AH238">
        <f t="shared" si="230"/>
        <v>39.322450710146555</v>
      </c>
      <c r="AI238">
        <f t="shared" si="231"/>
        <v>1.5453628199655878</v>
      </c>
      <c r="AJ238" t="str">
        <f t="shared" si="213"/>
        <v>1+0,00995817762032063i</v>
      </c>
      <c r="AK238">
        <f t="shared" si="232"/>
        <v>1.0000495814216002</v>
      </c>
      <c r="AL238">
        <f t="shared" si="233"/>
        <v>9.9578484713424079E-3</v>
      </c>
      <c r="AM238" t="str">
        <f t="shared" si="214"/>
        <v>1-0,00654537003534198i</v>
      </c>
      <c r="AN238">
        <f t="shared" si="234"/>
        <v>1.0000214207050264</v>
      </c>
      <c r="AO238">
        <f t="shared" si="235"/>
        <v>-6.5452765657829639E-3</v>
      </c>
      <c r="AP238" s="41" t="str">
        <f t="shared" si="236"/>
        <v>0,164200181962067-5,69070886521088i</v>
      </c>
      <c r="AQ238">
        <f t="shared" si="237"/>
        <v>15.106941605692985</v>
      </c>
      <c r="AR238" s="43">
        <f t="shared" si="238"/>
        <v>-88.347241432989989</v>
      </c>
      <c r="AS238" t="str">
        <f t="shared" si="215"/>
        <v>-0,0000166666666666667</v>
      </c>
      <c r="AT238" t="str">
        <f t="shared" si="216"/>
        <v>9,98805215318159E-06i</v>
      </c>
      <c r="AU238">
        <f t="shared" si="239"/>
        <v>9.9880521531815908E-6</v>
      </c>
      <c r="AV238">
        <f t="shared" si="240"/>
        <v>1.5707963267948966</v>
      </c>
      <c r="AW238" t="str">
        <f t="shared" si="217"/>
        <v>1+0,00655273901237449i</v>
      </c>
      <c r="AX238">
        <f t="shared" si="241"/>
        <v>1.000021468963824</v>
      </c>
      <c r="AY238">
        <f t="shared" si="242"/>
        <v>6.5526452267727214E-3</v>
      </c>
      <c r="AZ238" t="str">
        <f t="shared" si="218"/>
        <v>1+2,19079907647054i</v>
      </c>
      <c r="BA238">
        <f t="shared" si="243"/>
        <v>2.4082359920622753</v>
      </c>
      <c r="BB238">
        <f t="shared" si="244"/>
        <v>1.1425878545424639</v>
      </c>
      <c r="BC238" s="41" t="str">
        <f t="shared" si="245"/>
        <v>-3,64460877851846+1,69254252662765i</v>
      </c>
      <c r="BD238">
        <f t="shared" si="246"/>
        <v>12.081153345979684</v>
      </c>
      <c r="BE238" s="43">
        <f t="shared" si="247"/>
        <v>155.09002287205024</v>
      </c>
      <c r="BF238" s="41" t="str">
        <f t="shared" si="248"/>
        <v>2,85042117517908+6,2987816458721i</v>
      </c>
      <c r="BG238" s="20">
        <f t="shared" si="249"/>
        <v>16.794238180252279</v>
      </c>
      <c r="BH238" s="43">
        <f t="shared" si="250"/>
        <v>65.651568363272631</v>
      </c>
      <c r="BI238" s="41" t="str">
        <f t="shared" si="203"/>
        <v>9,03332133641311+21,0183232769912i</v>
      </c>
      <c r="BJ238" s="20">
        <f t="shared" si="251"/>
        <v>27.188094951672671</v>
      </c>
      <c r="BK238" s="43">
        <f t="shared" si="204"/>
        <v>66.742781439060266</v>
      </c>
      <c r="BL238">
        <f t="shared" si="252"/>
        <v>16.794238180252279</v>
      </c>
      <c r="BM238" s="43">
        <f t="shared" si="253"/>
        <v>65.651568363272631</v>
      </c>
    </row>
    <row r="239" spans="14:65" x14ac:dyDescent="0.25">
      <c r="N239" s="9">
        <v>21</v>
      </c>
      <c r="O239" s="34">
        <f t="shared" si="254"/>
        <v>1621.8100973589308</v>
      </c>
      <c r="P239" s="33" t="str">
        <f t="shared" si="206"/>
        <v>66,7780509511648</v>
      </c>
      <c r="Q239" s="4" t="str">
        <f t="shared" si="207"/>
        <v>1+39,715126521703i</v>
      </c>
      <c r="R239" s="4">
        <f t="shared" si="219"/>
        <v>39.72771418839595</v>
      </c>
      <c r="S239" s="4">
        <f t="shared" si="220"/>
        <v>1.545622322954356</v>
      </c>
      <c r="T239" s="4" t="str">
        <f t="shared" si="208"/>
        <v>1+0,0101901333747611i</v>
      </c>
      <c r="U239" s="4">
        <f t="shared" si="221"/>
        <v>1.0000519180613552</v>
      </c>
      <c r="V239" s="4">
        <f t="shared" si="222"/>
        <v>1.0189780686265529E-2</v>
      </c>
      <c r="W239" t="str">
        <f t="shared" si="209"/>
        <v>1-0,022167329809129i</v>
      </c>
      <c r="X239" s="4">
        <f t="shared" si="223"/>
        <v>1.0002456650797678</v>
      </c>
      <c r="Y239" s="4">
        <f t="shared" si="224"/>
        <v>-2.2163699940772146E-2</v>
      </c>
      <c r="Z239" t="str">
        <f t="shared" si="210"/>
        <v>0,999997369732008+0,00435699627939552i</v>
      </c>
      <c r="AA239" s="4">
        <f t="shared" si="225"/>
        <v>1.0000068614202169</v>
      </c>
      <c r="AB239" s="4">
        <f t="shared" si="226"/>
        <v>4.3569801693648571E-3</v>
      </c>
      <c r="AC239" s="47" t="str">
        <f t="shared" si="227"/>
        <v>0,0148684432386728-1,68131630736095i</v>
      </c>
      <c r="AD239" s="20">
        <f t="shared" si="228"/>
        <v>4.5133281306414403</v>
      </c>
      <c r="AE239" s="43">
        <f t="shared" si="229"/>
        <v>-89.493327439131349</v>
      </c>
      <c r="AF239" t="str">
        <f t="shared" si="211"/>
        <v>223,849857273222</v>
      </c>
      <c r="AG239" t="str">
        <f t="shared" si="212"/>
        <v>1+40,2253745848316i</v>
      </c>
      <c r="AH239">
        <f t="shared" si="230"/>
        <v>40.237802629989815</v>
      </c>
      <c r="AI239">
        <f t="shared" si="231"/>
        <v>1.5459415160864984</v>
      </c>
      <c r="AJ239" t="str">
        <f t="shared" si="213"/>
        <v>1+0,0101901333747611i</v>
      </c>
      <c r="AK239">
        <f t="shared" si="232"/>
        <v>1.0000519180613552</v>
      </c>
      <c r="AL239">
        <f t="shared" si="233"/>
        <v>1.0189780686265529E-2</v>
      </c>
      <c r="AM239" t="str">
        <f t="shared" si="214"/>
        <v>1-0,00669783128904986i</v>
      </c>
      <c r="AN239">
        <f t="shared" si="234"/>
        <v>1.0000224302204308</v>
      </c>
      <c r="AO239">
        <f t="shared" si="235"/>
        <v>-6.6977311347342491E-3</v>
      </c>
      <c r="AP239" s="41" t="str">
        <f t="shared" si="236"/>
        <v>0,157689092153718-5,56135147638392i</v>
      </c>
      <c r="AQ239">
        <f t="shared" si="237"/>
        <v>14.907097082329368</v>
      </c>
      <c r="AR239" s="43">
        <f t="shared" si="238"/>
        <v>-88.375844544658932</v>
      </c>
      <c r="AS239" t="str">
        <f t="shared" si="215"/>
        <v>-0,0000166666666666667</v>
      </c>
      <c r="AT239" t="str">
        <f t="shared" si="216"/>
        <v>0,0000102207037748854i</v>
      </c>
      <c r="AU239">
        <f t="shared" si="239"/>
        <v>1.02207037748854E-5</v>
      </c>
      <c r="AV239">
        <f t="shared" si="240"/>
        <v>1.5707963267948966</v>
      </c>
      <c r="AW239" t="str">
        <f t="shared" si="217"/>
        <v>1+0,0067053719116075i</v>
      </c>
      <c r="AX239">
        <f t="shared" si="241"/>
        <v>1.0000224807535443</v>
      </c>
      <c r="AY239">
        <f t="shared" si="242"/>
        <v>6.7052714186466638E-3</v>
      </c>
      <c r="AZ239" t="str">
        <f t="shared" si="218"/>
        <v>1+2,24182934244744i</v>
      </c>
      <c r="BA239">
        <f t="shared" si="243"/>
        <v>2.4547502521964062</v>
      </c>
      <c r="BB239">
        <f t="shared" si="244"/>
        <v>1.1512201613892781</v>
      </c>
      <c r="BC239" s="41" t="str">
        <f t="shared" si="245"/>
        <v>-3,64460140353257+1,65511541738526i</v>
      </c>
      <c r="BD239">
        <f t="shared" si="246"/>
        <v>12.047309967973071</v>
      </c>
      <c r="BE239" s="43">
        <f t="shared" si="247"/>
        <v>155.57587278519699</v>
      </c>
      <c r="BF239" s="41" t="str">
        <f t="shared" si="248"/>
        <v>2,72858299271835+6,15233676322676i</v>
      </c>
      <c r="BG239" s="20">
        <f t="shared" si="249"/>
        <v>16.560638098614511</v>
      </c>
      <c r="BH239" s="43">
        <f t="shared" si="250"/>
        <v>66.082545346065643</v>
      </c>
      <c r="BI239" s="41" t="str">
        <f t="shared" si="203"/>
        <v>8,62996468347609+20,5299030439439i</v>
      </c>
      <c r="BJ239" s="20">
        <f t="shared" si="251"/>
        <v>26.954407050302454</v>
      </c>
      <c r="BK239" s="43">
        <f t="shared" si="204"/>
        <v>67.200028240538089</v>
      </c>
      <c r="BL239">
        <f t="shared" si="252"/>
        <v>16.560638098614511</v>
      </c>
      <c r="BM239" s="43">
        <f t="shared" si="253"/>
        <v>66.082545346065643</v>
      </c>
    </row>
    <row r="240" spans="14:65" x14ac:dyDescent="0.25">
      <c r="N240" s="9">
        <v>22</v>
      </c>
      <c r="O240" s="34">
        <f t="shared" si="254"/>
        <v>1659.5869074375626</v>
      </c>
      <c r="P240" s="33" t="str">
        <f t="shared" si="206"/>
        <v>66,7780509511648</v>
      </c>
      <c r="Q240" s="4" t="str">
        <f t="shared" si="207"/>
        <v>1+40,6402106572024i</v>
      </c>
      <c r="R240" s="4">
        <f t="shared" si="219"/>
        <v>40.652511881331364</v>
      </c>
      <c r="S240" s="4">
        <f t="shared" si="220"/>
        <v>1.546195119372751</v>
      </c>
      <c r="T240" s="4" t="str">
        <f t="shared" si="208"/>
        <v>1+0,0104274920727993i</v>
      </c>
      <c r="U240" s="4">
        <f t="shared" si="221"/>
        <v>1.0000543648176974</v>
      </c>
      <c r="V240" s="4">
        <f t="shared" si="222"/>
        <v>1.0427114161377113E-2</v>
      </c>
      <c r="W240" t="str">
        <f t="shared" si="209"/>
        <v>1-0,0226836732512581i</v>
      </c>
      <c r="X240" s="4">
        <f t="shared" si="223"/>
        <v>1.0002572414295083</v>
      </c>
      <c r="Y240" s="4">
        <f t="shared" si="224"/>
        <v>-2.2679783831260052E-2</v>
      </c>
      <c r="Z240" t="str">
        <f t="shared" si="210"/>
        <v>0,999997245771297+0,00445848376009877i</v>
      </c>
      <c r="AA240" s="4">
        <f t="shared" si="225"/>
        <v>1.0000071847879988</v>
      </c>
      <c r="AB240" s="4">
        <f t="shared" si="226"/>
        <v>4.4584664978962983E-3</v>
      </c>
      <c r="AC240" s="47" t="str">
        <f t="shared" si="227"/>
        <v>0,0129644759543432-1,64310390977039i</v>
      </c>
      <c r="AD240" s="20">
        <f t="shared" si="228"/>
        <v>4.3135709462160197</v>
      </c>
      <c r="AE240" s="43">
        <f t="shared" si="229"/>
        <v>-89.547932217067313</v>
      </c>
      <c r="AF240" t="str">
        <f t="shared" si="211"/>
        <v>223,849857273222</v>
      </c>
      <c r="AG240" t="str">
        <f t="shared" si="212"/>
        <v>1+41,1623439245267i</v>
      </c>
      <c r="AH240">
        <f t="shared" si="230"/>
        <v>41.174489157256339</v>
      </c>
      <c r="AI240">
        <f t="shared" si="231"/>
        <v>1.5465070555652083</v>
      </c>
      <c r="AJ240" t="str">
        <f t="shared" si="213"/>
        <v>1+0,0104274920727993i</v>
      </c>
      <c r="AK240">
        <f t="shared" si="232"/>
        <v>1.0000543648176974</v>
      </c>
      <c r="AL240">
        <f t="shared" si="233"/>
        <v>1.0427114161377113E-2</v>
      </c>
      <c r="AM240" t="str">
        <f t="shared" si="214"/>
        <v>1-0,00685384382156351i</v>
      </c>
      <c r="AN240">
        <f t="shared" si="234"/>
        <v>1.0000234873117384</v>
      </c>
      <c r="AO240">
        <f t="shared" si="235"/>
        <v>-6.8537365044169605E-3</v>
      </c>
      <c r="AP240" s="41" t="str">
        <f t="shared" si="236"/>
        <v>0,151470695803939-5,43492822418529i</v>
      </c>
      <c r="AQ240">
        <f t="shared" si="237"/>
        <v>14.707248242436538</v>
      </c>
      <c r="AR240" s="43">
        <f t="shared" si="238"/>
        <v>-88.40358781274017</v>
      </c>
      <c r="AS240" t="str">
        <f t="shared" si="215"/>
        <v>-0,0000166666666666667</v>
      </c>
      <c r="AT240" t="str">
        <f t="shared" si="216"/>
        <v>0,0000104587745490177i</v>
      </c>
      <c r="AU240">
        <f t="shared" si="239"/>
        <v>1.0458774549017699E-5</v>
      </c>
      <c r="AV240">
        <f t="shared" si="240"/>
        <v>1.5707963267948966</v>
      </c>
      <c r="AW240" t="str">
        <f t="shared" si="217"/>
        <v>1+0,00686156008778418i</v>
      </c>
      <c r="AX240">
        <f t="shared" si="241"/>
        <v>1.000023540226348</v>
      </c>
      <c r="AY240">
        <f t="shared" si="242"/>
        <v>6.8614524077735021E-3</v>
      </c>
      <c r="AZ240" t="str">
        <f t="shared" si="218"/>
        <v>1+2,29404825601584i</v>
      </c>
      <c r="BA240">
        <f t="shared" si="243"/>
        <v>2.5025301998036542</v>
      </c>
      <c r="BB240">
        <f t="shared" si="244"/>
        <v>1.1597206995590854</v>
      </c>
      <c r="BC240" s="41" t="str">
        <f t="shared" si="245"/>
        <v>-3,64459368100632+1,61856586758299i</v>
      </c>
      <c r="BD240">
        <f t="shared" si="246"/>
        <v>12.014741041794196</v>
      </c>
      <c r="BE240" s="43">
        <f t="shared" si="247"/>
        <v>156.05396923439963</v>
      </c>
      <c r="BF240" s="41" t="str">
        <f t="shared" si="248"/>
        <v>2,61222165810576+6,00942998505674i</v>
      </c>
      <c r="BG240" s="20">
        <f t="shared" si="249"/>
        <v>16.328311988010213</v>
      </c>
      <c r="BH240" s="43">
        <f t="shared" si="250"/>
        <v>66.506037017332304</v>
      </c>
      <c r="BI240" s="41" t="str">
        <f t="shared" si="203"/>
        <v>8,24474017564508+20,0532703607559i</v>
      </c>
      <c r="BJ240" s="20">
        <f t="shared" si="251"/>
        <v>26.72198928423073</v>
      </c>
      <c r="BK240" s="43">
        <f t="shared" si="204"/>
        <v>67.650381421659461</v>
      </c>
      <c r="BL240">
        <f t="shared" si="252"/>
        <v>16.328311988010213</v>
      </c>
      <c r="BM240" s="43">
        <f t="shared" si="253"/>
        <v>66.506037017332304</v>
      </c>
    </row>
    <row r="241" spans="14:65" x14ac:dyDescent="0.25">
      <c r="N241" s="9">
        <v>23</v>
      </c>
      <c r="O241" s="34">
        <f t="shared" si="254"/>
        <v>1698.2436524617447</v>
      </c>
      <c r="P241" s="33" t="str">
        <f t="shared" si="206"/>
        <v>66,7780509511648</v>
      </c>
      <c r="Q241" s="4" t="str">
        <f t="shared" si="207"/>
        <v>1+41,5868427703287i</v>
      </c>
      <c r="R241" s="4">
        <f t="shared" si="219"/>
        <v>41.598864066270373</v>
      </c>
      <c r="S241" s="4">
        <f t="shared" si="220"/>
        <v>1.5467548929552641</v>
      </c>
      <c r="T241" s="4" t="str">
        <f t="shared" si="208"/>
        <v>1+0,0106703795651586i</v>
      </c>
      <c r="U241" s="4">
        <f t="shared" si="221"/>
        <v>1.0000569268796975</v>
      </c>
      <c r="V241" s="4">
        <f t="shared" si="222"/>
        <v>1.0669974627018984E-2</v>
      </c>
      <c r="W241" t="str">
        <f t="shared" si="209"/>
        <v>1-0,0232120438771987i</v>
      </c>
      <c r="X241" s="4">
        <f t="shared" si="223"/>
        <v>1.0002693632122086</v>
      </c>
      <c r="Y241" s="4">
        <f t="shared" si="224"/>
        <v>-2.3207876349196011E-2</v>
      </c>
      <c r="Z241" t="str">
        <f t="shared" si="210"/>
        <v>0,999997115968497+0,0045623351879066i</v>
      </c>
      <c r="AA241" s="4">
        <f t="shared" si="225"/>
        <v>1.0000075233955386</v>
      </c>
      <c r="AB241" s="4">
        <f t="shared" si="226"/>
        <v>4.5623166911305767E-3</v>
      </c>
      <c r="AC241" s="47" t="str">
        <f t="shared" si="227"/>
        <v>0,0111460946236216-1,60575849191243i</v>
      </c>
      <c r="AD241" s="20">
        <f t="shared" si="228"/>
        <v>4.1138137952167302</v>
      </c>
      <c r="AE241" s="43">
        <f t="shared" si="229"/>
        <v>-89.602297651380482</v>
      </c>
      <c r="AF241" t="str">
        <f t="shared" si="211"/>
        <v>223,849857273222</v>
      </c>
      <c r="AG241" t="str">
        <f t="shared" si="212"/>
        <v>1+42,1211380838183i</v>
      </c>
      <c r="AH241">
        <f t="shared" si="230"/>
        <v>42.133006936083831</v>
      </c>
      <c r="AI241">
        <f t="shared" si="231"/>
        <v>1.5470597368103711</v>
      </c>
      <c r="AJ241" t="str">
        <f t="shared" si="213"/>
        <v>1+0,0106703795651586i</v>
      </c>
      <c r="AK241">
        <f t="shared" si="232"/>
        <v>1.0000569268796975</v>
      </c>
      <c r="AL241">
        <f t="shared" si="233"/>
        <v>1.0669974627018984E-2</v>
      </c>
      <c r="AM241" t="str">
        <f t="shared" si="214"/>
        <v>1-0,00701349035279266i</v>
      </c>
      <c r="AN241">
        <f t="shared" si="234"/>
        <v>1.0000245942210264</v>
      </c>
      <c r="AO241">
        <f t="shared" si="235"/>
        <v>-7.0133753605510904E-3</v>
      </c>
      <c r="AP241" s="41" t="str">
        <f t="shared" si="236"/>
        <v>0,145531850645625-5,31137304838588i</v>
      </c>
      <c r="AQ241">
        <f t="shared" si="237"/>
        <v>14.507395406164482</v>
      </c>
      <c r="AR241" s="43">
        <f t="shared" si="238"/>
        <v>-88.43048586851495</v>
      </c>
      <c r="AS241" t="str">
        <f t="shared" si="215"/>
        <v>-0,0000166666666666667</v>
      </c>
      <c r="AT241" t="str">
        <f t="shared" si="216"/>
        <v>0,0000107023907038541i</v>
      </c>
      <c r="AU241">
        <f t="shared" si="239"/>
        <v>1.07023907038541E-5</v>
      </c>
      <c r="AV241">
        <f t="shared" si="240"/>
        <v>1.5707963267948966</v>
      </c>
      <c r="AW241" t="str">
        <f t="shared" si="217"/>
        <v>1+0,00702138635394285i</v>
      </c>
      <c r="AX241">
        <f t="shared" si="241"/>
        <v>1.0000246496293634</v>
      </c>
      <c r="AY241">
        <f t="shared" si="242"/>
        <v>7.0212709728862234E-3</v>
      </c>
      <c r="AZ241" t="str">
        <f t="shared" si="218"/>
        <v>1+2,34748350433489i</v>
      </c>
      <c r="BA241">
        <f t="shared" si="243"/>
        <v>2.5516031829272383</v>
      </c>
      <c r="BB241">
        <f t="shared" si="244"/>
        <v>1.1680890611697403</v>
      </c>
      <c r="BC241" s="41" t="str">
        <f t="shared" si="245"/>
        <v>-3,64458559456369+1,58287449783234i</v>
      </c>
      <c r="BD241">
        <f t="shared" si="246"/>
        <v>11.983407567984404</v>
      </c>
      <c r="BE241" s="43">
        <f t="shared" si="247"/>
        <v>156.52428410686065</v>
      </c>
      <c r="BF241" s="41" t="str">
        <f t="shared" si="248"/>
        <v>2,50109127062501+5,86996713690251i</v>
      </c>
      <c r="BG241" s="20">
        <f t="shared" si="249"/>
        <v>16.097221363201129</v>
      </c>
      <c r="BH241" s="43">
        <f t="shared" si="250"/>
        <v>66.921986455480138</v>
      </c>
      <c r="BI241" s="41" t="str">
        <f t="shared" si="203"/>
        <v>7,87683366035079+19,5881123545103i</v>
      </c>
      <c r="BJ241" s="20">
        <f t="shared" si="251"/>
        <v>26.490802974148885</v>
      </c>
      <c r="BK241" s="43">
        <f t="shared" si="204"/>
        <v>68.093798238345684</v>
      </c>
      <c r="BL241">
        <f t="shared" si="252"/>
        <v>16.097221363201129</v>
      </c>
      <c r="BM241" s="43">
        <f t="shared" si="253"/>
        <v>66.921986455480138</v>
      </c>
    </row>
    <row r="242" spans="14:65" x14ac:dyDescent="0.25">
      <c r="N242" s="9">
        <v>24</v>
      </c>
      <c r="O242" s="34">
        <f t="shared" si="254"/>
        <v>1737.8008287493772</v>
      </c>
      <c r="P242" s="33" t="str">
        <f t="shared" si="206"/>
        <v>66,7780509511648</v>
      </c>
      <c r="Q242" s="4" t="str">
        <f t="shared" si="207"/>
        <v>1+42,555524777959i</v>
      </c>
      <c r="R242" s="4">
        <f t="shared" si="219"/>
        <v>42.567272512195117</v>
      </c>
      <c r="S242" s="4">
        <f t="shared" si="220"/>
        <v>1.5473019390972302</v>
      </c>
      <c r="T242" s="4" t="str">
        <f t="shared" si="208"/>
        <v>1+0,0109189246340026i</v>
      </c>
      <c r="U242" s="4">
        <f t="shared" si="221"/>
        <v>1.0000596096809244</v>
      </c>
      <c r="V242" s="4">
        <f t="shared" si="222"/>
        <v>1.0918490736365399E-2</v>
      </c>
      <c r="W242" t="str">
        <f t="shared" si="209"/>
        <v>1-0,0237527218360509i</v>
      </c>
      <c r="X242" s="4">
        <f t="shared" si="223"/>
        <v>1.0002820561194832</v>
      </c>
      <c r="Y242" s="4">
        <f t="shared" si="224"/>
        <v>-2.3748256317345597E-2</v>
      </c>
      <c r="Z242" t="str">
        <f t="shared" si="210"/>
        <v>0,99999698004828+0,00466860562622074i</v>
      </c>
      <c r="AA242" s="4">
        <f t="shared" si="225"/>
        <v>1.0000078779610555</v>
      </c>
      <c r="AB242" s="4">
        <f t="shared" si="226"/>
        <v>4.668585806576195E-3</v>
      </c>
      <c r="AC242" s="47" t="str">
        <f t="shared" si="227"/>
        <v>0,00940945590534141-1,56926053380805i</v>
      </c>
      <c r="AD242" s="20">
        <f t="shared" si="228"/>
        <v>3.9140571919452198</v>
      </c>
      <c r="AE242" s="43">
        <f t="shared" si="229"/>
        <v>-89.656452425623499</v>
      </c>
      <c r="AF242" t="str">
        <f t="shared" si="211"/>
        <v>223,849857273222</v>
      </c>
      <c r="AG242" t="str">
        <f t="shared" si="212"/>
        <v>1+43,1022654280614i</v>
      </c>
      <c r="AH242">
        <f t="shared" si="230"/>
        <v>43.113864185793609</v>
      </c>
      <c r="AI242">
        <f t="shared" si="231"/>
        <v>1.5475998515095641</v>
      </c>
      <c r="AJ242" t="str">
        <f t="shared" si="213"/>
        <v>1+0,0109189246340026i</v>
      </c>
      <c r="AK242">
        <f t="shared" si="232"/>
        <v>1.0000596096809244</v>
      </c>
      <c r="AL242">
        <f t="shared" si="233"/>
        <v>1.0918490736365399E-2</v>
      </c>
      <c r="AM242" t="str">
        <f t="shared" si="214"/>
        <v>1-0,00717685552944143i</v>
      </c>
      <c r="AN242">
        <f t="shared" si="234"/>
        <v>1.0000257532960291</v>
      </c>
      <c r="AO242">
        <f t="shared" si="235"/>
        <v>-7.1767323132060131E-3</v>
      </c>
      <c r="AP242" s="41" t="str">
        <f t="shared" si="236"/>
        <v>0,139860003177374-5,19062134475815i</v>
      </c>
      <c r="AQ242">
        <f t="shared" si="237"/>
        <v>14.307538885225179</v>
      </c>
      <c r="AR242" s="43">
        <f t="shared" si="238"/>
        <v>-88.456552900966386</v>
      </c>
      <c r="AS242" t="str">
        <f t="shared" si="215"/>
        <v>-0,0000166666666666667</v>
      </c>
      <c r="AT242" t="str">
        <f t="shared" si="216"/>
        <v>0,0000109516814079046i</v>
      </c>
      <c r="AU242">
        <f t="shared" si="239"/>
        <v>1.09516814079046E-5</v>
      </c>
      <c r="AV242">
        <f t="shared" si="240"/>
        <v>1.5707963267948966</v>
      </c>
      <c r="AW242" t="str">
        <f t="shared" si="217"/>
        <v>1+0,00718493545208546i</v>
      </c>
      <c r="AX242">
        <f t="shared" si="241"/>
        <v>1.0000258113156133</v>
      </c>
      <c r="AY242">
        <f t="shared" si="242"/>
        <v>7.1848118192281698E-3</v>
      </c>
      <c r="AZ242" t="str">
        <f t="shared" si="218"/>
        <v>1+2,40216341948057i</v>
      </c>
      <c r="BA242">
        <f t="shared" si="243"/>
        <v>2.6019971356422715</v>
      </c>
      <c r="BB242">
        <f t="shared" si="244"/>
        <v>1.1763249939305578</v>
      </c>
      <c r="BC242" s="41" t="str">
        <f t="shared" si="245"/>
        <v>-3,64457712705724+1,54802238373938i</v>
      </c>
      <c r="BD242">
        <f t="shared" si="246"/>
        <v>11.953271056235623</v>
      </c>
      <c r="BE242" s="43">
        <f t="shared" si="247"/>
        <v>156.98679809413565</v>
      </c>
      <c r="BF242" s="41" t="str">
        <f t="shared" si="248"/>
        <v>2,39495694448301+5,73385709627073i</v>
      </c>
      <c r="BG242" s="20">
        <f t="shared" si="249"/>
        <v>15.867328248180845</v>
      </c>
      <c r="BH242" s="43">
        <f t="shared" si="250"/>
        <v>67.330345668512152</v>
      </c>
      <c r="BI242" s="41" t="str">
        <f t="shared" ref="BI242:BI305" si="255">IMPRODUCT(AP242,BC242)</f>
        <v>7,52546745863061+19,1341262438291i</v>
      </c>
      <c r="BJ242" s="20">
        <f t="shared" si="251"/>
        <v>26.260809941460813</v>
      </c>
      <c r="BK242" s="43">
        <f t="shared" ref="BK242:BK305" si="256">(180/PI())*IMARGUMENT(BI242)</f>
        <v>68.530245193169293</v>
      </c>
      <c r="BL242">
        <f t="shared" si="252"/>
        <v>15.867328248180845</v>
      </c>
      <c r="BM242" s="43">
        <f t="shared" si="253"/>
        <v>67.330345668512152</v>
      </c>
    </row>
    <row r="243" spans="14:65" x14ac:dyDescent="0.25">
      <c r="N243" s="9">
        <v>25</v>
      </c>
      <c r="O243" s="34">
        <f t="shared" si="254"/>
        <v>1778.2794100389244</v>
      </c>
      <c r="P243" s="33" t="str">
        <f t="shared" si="206"/>
        <v>66,7780509511648</v>
      </c>
      <c r="Q243" s="4" t="str">
        <f t="shared" si="207"/>
        <v>1+43,5467702881156i</v>
      </c>
      <c r="R243" s="4">
        <f t="shared" si="219"/>
        <v>43.558250682573423</v>
      </c>
      <c r="S243" s="4">
        <f t="shared" si="220"/>
        <v>1.5478365465393342</v>
      </c>
      <c r="T243" s="4" t="str">
        <f t="shared" si="208"/>
        <v>1+0,0111732590612166i</v>
      </c>
      <c r="U243" s="4">
        <f t="shared" si="221"/>
        <v>1.0000624189109644</v>
      </c>
      <c r="V243" s="4">
        <f t="shared" si="222"/>
        <v>1.117279413308909E-2</v>
      </c>
      <c r="W243" t="str">
        <f t="shared" si="209"/>
        <v>1-0,024305993802425i</v>
      </c>
      <c r="X243" s="4">
        <f t="shared" si="223"/>
        <v>1.000295347052421</v>
      </c>
      <c r="Y243" s="4">
        <f t="shared" si="224"/>
        <v>-2.4301208989224058E-2</v>
      </c>
      <c r="Z243" t="str">
        <f t="shared" si="210"/>
        <v>0,99999683772234+0,0047773514210342i</v>
      </c>
      <c r="AA243" s="4">
        <f t="shared" si="225"/>
        <v>1.0000082492366151</v>
      </c>
      <c r="AB243" s="4">
        <f t="shared" si="226"/>
        <v>4.7773301839114787E-3</v>
      </c>
      <c r="AC243" s="47" t="str">
        <f t="shared" si="227"/>
        <v>0,00775088864219037-1,53359094608811i</v>
      </c>
      <c r="AD243" s="20">
        <f t="shared" si="228"/>
        <v>3.7143016518687508</v>
      </c>
      <c r="AE243" s="43">
        <f t="shared" si="229"/>
        <v>-89.710425112640451</v>
      </c>
      <c r="AF243" t="str">
        <f t="shared" si="211"/>
        <v>223,849857273222</v>
      </c>
      <c r="AG243" t="str">
        <f t="shared" si="212"/>
        <v>1+44,1062461639604i</v>
      </c>
      <c r="AH243">
        <f t="shared" si="230"/>
        <v>44.117580970355476</v>
      </c>
      <c r="AI243">
        <f t="shared" si="231"/>
        <v>1.5481276847775129</v>
      </c>
      <c r="AJ243" t="str">
        <f t="shared" si="213"/>
        <v>1+0,0111732590612166i</v>
      </c>
      <c r="AK243">
        <f t="shared" si="232"/>
        <v>1.0000624189109644</v>
      </c>
      <c r="AL243">
        <f t="shared" si="233"/>
        <v>1.117279413308909E-2</v>
      </c>
      <c r="AM243" t="str">
        <f t="shared" si="214"/>
        <v>1-0,00734402596988883i</v>
      </c>
      <c r="AN243">
        <f t="shared" si="234"/>
        <v>1.0000269669951138</v>
      </c>
      <c r="AO243">
        <f t="shared" si="235"/>
        <v>-7.3438939415061506E-3</v>
      </c>
      <c r="AP243" s="41" t="str">
        <f t="shared" si="236"/>
        <v>0,134443162404779-5,07260993512685i</v>
      </c>
      <c r="AQ243">
        <f t="shared" si="237"/>
        <v>14.107678983550567</v>
      </c>
      <c r="AR243" s="43">
        <f t="shared" si="238"/>
        <v>-88.481802663956458</v>
      </c>
      <c r="AS243" t="str">
        <f t="shared" si="215"/>
        <v>-0,0000166666666666667</v>
      </c>
      <c r="AT243" t="str">
        <f t="shared" si="216"/>
        <v>0,0000112067788384002i</v>
      </c>
      <c r="AU243">
        <f t="shared" si="239"/>
        <v>1.12067788384002E-5</v>
      </c>
      <c r="AV243">
        <f t="shared" si="240"/>
        <v>1.5707963267948966</v>
      </c>
      <c r="AW243" t="str">
        <f t="shared" si="217"/>
        <v>1+0,00735229409810863i</v>
      </c>
      <c r="AX243">
        <f t="shared" si="241"/>
        <v>1.0000270277490031</v>
      </c>
      <c r="AY243">
        <f t="shared" si="242"/>
        <v>7.352161623308655E-3</v>
      </c>
      <c r="AZ243" t="str">
        <f t="shared" si="218"/>
        <v>1+2,45811699346765i</v>
      </c>
      <c r="BA243">
        <f t="shared" si="243"/>
        <v>2.6537405965117311</v>
      </c>
      <c r="BB243">
        <f t="shared" si="244"/>
        <v>1.1844283944057907</v>
      </c>
      <c r="BC243" s="41" t="str">
        <f t="shared" si="245"/>
        <v>-3,64456826053167+1,51399104586911i</v>
      </c>
      <c r="BD243">
        <f t="shared" si="246"/>
        <v>11.92429357310559</v>
      </c>
      <c r="BE243" s="43">
        <f t="shared" si="247"/>
        <v>157.44150030359467</v>
      </c>
      <c r="BF243" s="41" t="str">
        <f t="shared" si="248"/>
        <v>2,29359431766709+5,60101166275327i</v>
      </c>
      <c r="BG243" s="20">
        <f t="shared" si="249"/>
        <v>15.638595224974344</v>
      </c>
      <c r="BH243" s="43">
        <f t="shared" si="250"/>
        <v>67.731075190954272</v>
      </c>
      <c r="BI243" s="41" t="str">
        <f t="shared" si="255"/>
        <v>7,18989873842277+18,6910189116801i</v>
      </c>
      <c r="BJ243" s="20">
        <f t="shared" si="251"/>
        <v>26.031972556656157</v>
      </c>
      <c r="BK243" s="43">
        <f t="shared" si="256"/>
        <v>68.959697639638236</v>
      </c>
      <c r="BL243">
        <f t="shared" si="252"/>
        <v>15.638595224974344</v>
      </c>
      <c r="BM243" s="43">
        <f t="shared" si="253"/>
        <v>67.731075190954272</v>
      </c>
    </row>
    <row r="244" spans="14:65" x14ac:dyDescent="0.25">
      <c r="N244" s="9">
        <v>26</v>
      </c>
      <c r="O244" s="34">
        <f t="shared" si="254"/>
        <v>1819.7008586099832</v>
      </c>
      <c r="P244" s="33" t="str">
        <f t="shared" si="206"/>
        <v>66,7780509511648</v>
      </c>
      <c r="Q244" s="4" t="str">
        <f t="shared" si="207"/>
        <v>1+44,5611048722881i</v>
      </c>
      <c r="R244" s="4">
        <f t="shared" si="219"/>
        <v>44.572324007606539</v>
      </c>
      <c r="S244" s="4">
        <f t="shared" si="220"/>
        <v>1.5483589975144689</v>
      </c>
      <c r="T244" s="4" t="str">
        <f t="shared" si="208"/>
        <v>1+0,0114335176982803i</v>
      </c>
      <c r="U244" s="4">
        <f t="shared" si="221"/>
        <v>1.0000653605274792</v>
      </c>
      <c r="V244" s="4">
        <f t="shared" si="222"/>
        <v>1.1433019520574591E-2</v>
      </c>
      <c r="W244" t="str">
        <f t="shared" si="209"/>
        <v>1-0,0248721531284408i</v>
      </c>
      <c r="X244" s="4">
        <f t="shared" si="223"/>
        <v>1.0003092641784563</v>
      </c>
      <c r="Y244" s="4">
        <f t="shared" si="224"/>
        <v>-2.4867026194330372E-2</v>
      </c>
      <c r="Z244" t="str">
        <f t="shared" si="210"/>
        <v>0,999996688688785+0,00488863023080676i</v>
      </c>
      <c r="AA244" s="4">
        <f t="shared" si="225"/>
        <v>1.0000086380097264</v>
      </c>
      <c r="AB244" s="4">
        <f t="shared" si="226"/>
        <v>4.888607474829912E-3</v>
      </c>
      <c r="AC244" s="47" t="str">
        <f t="shared" si="227"/>
        <v>0,00616688617938696-1,49873106111786i</v>
      </c>
      <c r="AD244" s="20">
        <f t="shared" si="228"/>
        <v>3.5145476927065782</v>
      </c>
      <c r="AE244" s="43">
        <f t="shared" si="229"/>
        <v>-89.764244189046835</v>
      </c>
      <c r="AF244" t="str">
        <f t="shared" si="211"/>
        <v>223,849857273222</v>
      </c>
      <c r="AG244" t="str">
        <f t="shared" si="212"/>
        <v>1+45,1336126153903i</v>
      </c>
      <c r="AH244">
        <f t="shared" si="230"/>
        <v>45.144689474135475</v>
      </c>
      <c r="AI244">
        <f t="shared" si="231"/>
        <v>1.5486435153012601</v>
      </c>
      <c r="AJ244" t="str">
        <f t="shared" si="213"/>
        <v>1+0,0114335176982803i</v>
      </c>
      <c r="AK244">
        <f t="shared" si="232"/>
        <v>1.0000653605274792</v>
      </c>
      <c r="AL244">
        <f t="shared" si="233"/>
        <v>1.1433019520574591E-2</v>
      </c>
      <c r="AM244" t="str">
        <f t="shared" si="214"/>
        <v>1-0,00751509031011505i</v>
      </c>
      <c r="AN244">
        <f t="shared" si="234"/>
        <v>1.0000282378924954</v>
      </c>
      <c r="AO244">
        <f t="shared" si="235"/>
        <v>-7.5149488393699195E-3</v>
      </c>
      <c r="AP244" s="41" t="str">
        <f t="shared" si="236"/>
        <v>0,12926987474245-4,95727703788951i</v>
      </c>
      <c r="AQ244">
        <f t="shared" si="237"/>
        <v>13.907815997933499</v>
      </c>
      <c r="AR244" s="43">
        <f t="shared" si="238"/>
        <v>-88.50624848319876</v>
      </c>
      <c r="AS244" t="str">
        <f t="shared" si="215"/>
        <v>-0,0000166666666666667</v>
      </c>
      <c r="AT244" t="str">
        <f t="shared" si="216"/>
        <v>0,0000114678182513752i</v>
      </c>
      <c r="AU244">
        <f t="shared" si="239"/>
        <v>1.1467818251375201E-5</v>
      </c>
      <c r="AV244">
        <f t="shared" si="240"/>
        <v>1.5707963267948966</v>
      </c>
      <c r="AW244" t="str">
        <f t="shared" si="217"/>
        <v>1+0,00752355102778165i</v>
      </c>
      <c r="AX244">
        <f t="shared" si="241"/>
        <v>1.0000283015095461</v>
      </c>
      <c r="AY244">
        <f t="shared" si="242"/>
        <v>7.5234090786929862E-3</v>
      </c>
      <c r="AZ244" t="str">
        <f t="shared" si="218"/>
        <v>1+2,51537389362166i</v>
      </c>
      <c r="BA244">
        <f t="shared" si="243"/>
        <v>2.7068627273493924</v>
      </c>
      <c r="BB244">
        <f t="shared" si="244"/>
        <v>1.1923993011936969</v>
      </c>
      <c r="BC244" s="41" t="str">
        <f t="shared" si="245"/>
        <v>-3,64455897618581+1,48076243994556i</v>
      </c>
      <c r="BD244">
        <f t="shared" si="246"/>
        <v>11.896437785040826</v>
      </c>
      <c r="BE244" s="43">
        <f t="shared" si="247"/>
        <v>157.88838786498798</v>
      </c>
      <c r="BF244" s="41" t="str">
        <f t="shared" si="248"/>
        <v>2,19678908250288+5,47134543511144i</v>
      </c>
      <c r="BG244" s="20">
        <f t="shared" si="249"/>
        <v>15.41098547774741</v>
      </c>
      <c r="BH244" s="43">
        <f t="shared" si="250"/>
        <v>68.12414367594117</v>
      </c>
      <c r="BI244" s="41" t="str">
        <f t="shared" si="255"/>
        <v>6,86941795976836+18,2585065010151i</v>
      </c>
      <c r="BJ244" s="20">
        <f t="shared" si="251"/>
        <v>25.804253782974325</v>
      </c>
      <c r="BK244" s="43">
        <f t="shared" si="256"/>
        <v>69.38213938178923</v>
      </c>
      <c r="BL244">
        <f t="shared" si="252"/>
        <v>15.41098547774741</v>
      </c>
      <c r="BM244" s="43">
        <f t="shared" si="253"/>
        <v>68.12414367594117</v>
      </c>
    </row>
    <row r="245" spans="14:65" x14ac:dyDescent="0.25">
      <c r="N245" s="9">
        <v>27</v>
      </c>
      <c r="O245" s="34">
        <f t="shared" si="254"/>
        <v>1862.0871366628687</v>
      </c>
      <c r="P245" s="33" t="str">
        <f t="shared" si="206"/>
        <v>66,7780509511648</v>
      </c>
      <c r="Q245" s="4" t="str">
        <f t="shared" si="207"/>
        <v>1+45,5990663441002i</v>
      </c>
      <c r="R245" s="4">
        <f t="shared" si="219"/>
        <v>45.6100301628233</v>
      </c>
      <c r="S245" s="4">
        <f t="shared" si="220"/>
        <v>1.5488695678915589</v>
      </c>
      <c r="T245" s="4" t="str">
        <f t="shared" si="208"/>
        <v>1+0,0116998385377682i</v>
      </c>
      <c r="U245" s="4">
        <f t="shared" si="221"/>
        <v>1.0000684407688356</v>
      </c>
      <c r="V245" s="4">
        <f t="shared" si="222"/>
        <v>1.1699304732712109E-2</v>
      </c>
      <c r="W245" t="str">
        <f t="shared" si="209"/>
        <v>1-0,0254514999992673i</v>
      </c>
      <c r="X245" s="4">
        <f t="shared" si="223"/>
        <v>1.000323836990908</v>
      </c>
      <c r="Y245" s="4">
        <f t="shared" si="224"/>
        <v>-2.5446006486439271E-2</v>
      </c>
      <c r="Z245" t="str">
        <f t="shared" si="210"/>
        <v>0,999996532631495+0,0050025010570364i</v>
      </c>
      <c r="AA245" s="4">
        <f t="shared" si="225"/>
        <v>1.0000090451050121</v>
      </c>
      <c r="AB245" s="4">
        <f t="shared" si="226"/>
        <v>5.002476673579271E-3</v>
      </c>
      <c r="AC245" s="47" t="str">
        <f t="shared" si="227"/>
        <v>0,00465409902301243-1,46466262426228i</v>
      </c>
      <c r="AD245" s="20">
        <f t="shared" si="228"/>
        <v>3.3147958355209295</v>
      </c>
      <c r="AE245" s="43">
        <f t="shared" si="229"/>
        <v>-89.817938049660242</v>
      </c>
      <c r="AF245" t="str">
        <f t="shared" si="211"/>
        <v>223,849857273222</v>
      </c>
      <c r="AG245" t="str">
        <f t="shared" si="212"/>
        <v>1+46,1849095056431i</v>
      </c>
      <c r="AH245">
        <f t="shared" si="230"/>
        <v>46.195734284070454</v>
      </c>
      <c r="AI245">
        <f t="shared" si="231"/>
        <v>1.5491476154823258</v>
      </c>
      <c r="AJ245" t="str">
        <f t="shared" si="213"/>
        <v>1+0,0116998385377682i</v>
      </c>
      <c r="AK245">
        <f t="shared" si="232"/>
        <v>1.0000684407688356</v>
      </c>
      <c r="AL245">
        <f t="shared" si="233"/>
        <v>1.1699304732712109E-2</v>
      </c>
      <c r="AM245" t="str">
        <f t="shared" si="214"/>
        <v>1-0,00769013925069772i</v>
      </c>
      <c r="AN245">
        <f t="shared" si="234"/>
        <v>1.000029568683694</v>
      </c>
      <c r="AO245">
        <f t="shared" si="235"/>
        <v>-7.6899876623052607E-3</v>
      </c>
      <c r="AP245" s="41" t="str">
        <f t="shared" si="236"/>
        <v>0,124329200026434-4,84456223901061i</v>
      </c>
      <c r="AQ245">
        <f t="shared" si="237"/>
        <v>13.707950218654045</v>
      </c>
      <c r="AR245" s="43">
        <f t="shared" si="238"/>
        <v>-88.529903263028515</v>
      </c>
      <c r="AS245" t="str">
        <f t="shared" si="215"/>
        <v>-0,0000166666666666667</v>
      </c>
      <c r="AT245" t="str">
        <f t="shared" si="216"/>
        <v>0,0000117349380533815i</v>
      </c>
      <c r="AU245">
        <f t="shared" si="239"/>
        <v>1.1734938053381499E-5</v>
      </c>
      <c r="AV245">
        <f t="shared" si="240"/>
        <v>1.5707963267948966</v>
      </c>
      <c r="AW245" t="str">
        <f t="shared" si="217"/>
        <v>1+0,00769879704379562i</v>
      </c>
      <c r="AX245">
        <f t="shared" si="241"/>
        <v>1.0000296352988354</v>
      </c>
      <c r="AY245">
        <f t="shared" si="242"/>
        <v>7.6986449428501965E-3</v>
      </c>
      <c r="AZ245" t="str">
        <f t="shared" si="218"/>
        <v>1+2,573964478309i</v>
      </c>
      <c r="BA245">
        <f t="shared" si="243"/>
        <v>2.7613933322865329</v>
      </c>
      <c r="BB245">
        <f t="shared" si="244"/>
        <v>1.2002378880596476</v>
      </c>
      <c r="BC245" s="41" t="str">
        <f t="shared" si="245"/>
        <v>-3,64454925433297+1,44831894728256i</v>
      </c>
      <c r="BD245">
        <f t="shared" si="246"/>
        <v>11.869666996840163</v>
      </c>
      <c r="BE245" s="43">
        <f t="shared" si="247"/>
        <v>158.32746553431809</v>
      </c>
      <c r="BF245" s="41" t="str">
        <f t="shared" si="248"/>
        <v>2,10433653697175+5,34477569490202i</v>
      </c>
      <c r="BG245" s="20">
        <f t="shared" si="249"/>
        <v>15.184462832361092</v>
      </c>
      <c r="BH245" s="43">
        <f t="shared" si="250"/>
        <v>68.509527484657809</v>
      </c>
      <c r="BI245" s="41" t="str">
        <f t="shared" si="255"/>
        <v>6,56334738880053+17,8363140318545i</v>
      </c>
      <c r="BJ245" s="20">
        <f t="shared" si="251"/>
        <v>25.577617215494186</v>
      </c>
      <c r="BK245" s="43">
        <f t="shared" si="256"/>
        <v>69.79756227128955</v>
      </c>
      <c r="BL245">
        <f t="shared" si="252"/>
        <v>15.184462832361092</v>
      </c>
      <c r="BM245" s="43">
        <f t="shared" si="253"/>
        <v>68.509527484657809</v>
      </c>
    </row>
    <row r="246" spans="14:65" x14ac:dyDescent="0.25">
      <c r="N246" s="9">
        <v>28</v>
      </c>
      <c r="O246" s="34">
        <f t="shared" si="254"/>
        <v>1905.4607179632501</v>
      </c>
      <c r="P246" s="33" t="str">
        <f t="shared" si="206"/>
        <v>66,7780509511648</v>
      </c>
      <c r="Q246" s="4" t="str">
        <f t="shared" si="207"/>
        <v>1+46,6612050444633i</v>
      </c>
      <c r="R246" s="4">
        <f t="shared" si="219"/>
        <v>46.67191935416249</v>
      </c>
      <c r="S246" s="4">
        <f t="shared" si="220"/>
        <v>1.5493685273163933</v>
      </c>
      <c r="T246" s="4" t="str">
        <f t="shared" si="208"/>
        <v>1+0,0119723627865146i</v>
      </c>
      <c r="U246" s="4">
        <f t="shared" si="221"/>
        <v>1.0000716661673261</v>
      </c>
      <c r="V246" s="4">
        <f t="shared" si="222"/>
        <v>1.1971790806305505E-2</v>
      </c>
      <c r="W246" t="str">
        <f t="shared" si="209"/>
        <v>1-0,0260443415922841i</v>
      </c>
      <c r="X246" s="4">
        <f t="shared" si="223"/>
        <v>1.0003390963713132</v>
      </c>
      <c r="Y246" s="4">
        <f t="shared" si="224"/>
        <v>-2.6038455294998309E-2</v>
      </c>
      <c r="Z246" t="str">
        <f t="shared" si="210"/>
        <v>0,999996369219452+0,00511902427554246i</v>
      </c>
      <c r="AA246" s="4">
        <f t="shared" si="225"/>
        <v>1.0000094713859564</v>
      </c>
      <c r="AB246" s="4">
        <f t="shared" si="226"/>
        <v>5.1189981482101738E-3</v>
      </c>
      <c r="AC246" s="47" t="str">
        <f t="shared" si="227"/>
        <v>0,00320932782324154-1,43136778529326i</v>
      </c>
      <c r="AD246" s="20">
        <f t="shared" si="228"/>
        <v>3.1150466058157358</v>
      </c>
      <c r="AE246" s="43">
        <f t="shared" si="229"/>
        <v>-89.871535021885506</v>
      </c>
      <c r="AF246" t="str">
        <f t="shared" si="211"/>
        <v>223,849857273222</v>
      </c>
      <c r="AG246" t="str">
        <f t="shared" si="212"/>
        <v>1+47,2606942462457i</v>
      </c>
      <c r="AH246">
        <f t="shared" si="230"/>
        <v>47.271272678415606</v>
      </c>
      <c r="AI246">
        <f t="shared" si="231"/>
        <v>1.549640251575908</v>
      </c>
      <c r="AJ246" t="str">
        <f t="shared" si="213"/>
        <v>1+0,0119723627865146i</v>
      </c>
      <c r="AK246">
        <f t="shared" si="232"/>
        <v>1.0000716661673261</v>
      </c>
      <c r="AL246">
        <f t="shared" si="233"/>
        <v>1.1971790806305505E-2</v>
      </c>
      <c r="AM246" t="str">
        <f t="shared" si="214"/>
        <v>1-0,00786926560490221i</v>
      </c>
      <c r="AN246">
        <f t="shared" si="234"/>
        <v>1.0000309621912515</v>
      </c>
      <c r="AO246">
        <f t="shared" si="235"/>
        <v>-7.8691031752848514E-3</v>
      </c>
      <c r="AP246" s="41" t="str">
        <f t="shared" si="236"/>
        <v>0,119610688588708-4,73440646349173i</v>
      </c>
      <c r="AQ246">
        <f t="shared" si="237"/>
        <v>13.508081930092379</v>
      </c>
      <c r="AR246" s="43">
        <f t="shared" si="238"/>
        <v>-88.552779492972633</v>
      </c>
      <c r="AS246" t="str">
        <f t="shared" si="215"/>
        <v>-0,0000166666666666667</v>
      </c>
      <c r="AT246" t="str">
        <f t="shared" si="216"/>
        <v>0,0000120082798748741i</v>
      </c>
      <c r="AU246">
        <f t="shared" si="239"/>
        <v>1.2008279874874099E-5</v>
      </c>
      <c r="AV246">
        <f t="shared" si="240"/>
        <v>1.5707963267948966</v>
      </c>
      <c r="AW246" t="str">
        <f t="shared" si="217"/>
        <v>1+0,00787812506390791i</v>
      </c>
      <c r="AX246">
        <f t="shared" si="241"/>
        <v>1.0000310319457706</v>
      </c>
      <c r="AY246">
        <f t="shared" si="242"/>
        <v>7.877962085081687E-3</v>
      </c>
      <c r="AZ246" t="str">
        <f t="shared" si="218"/>
        <v>1+2,63391981303321i</v>
      </c>
      <c r="BA246">
        <f t="shared" si="243"/>
        <v>2.817362877140412</v>
      </c>
      <c r="BB246">
        <f t="shared" si="244"/>
        <v>1.2079444570588032</v>
      </c>
      <c r="BC246" s="41" t="str">
        <f t="shared" si="245"/>
        <v>-3,64453907435891+1,41664336543991i</v>
      </c>
      <c r="BD246">
        <f t="shared" si="246"/>
        <v>11.843945185708781</v>
      </c>
      <c r="BE246" s="43">
        <f t="shared" si="247"/>
        <v>158.75874529705186</v>
      </c>
      <c r="BF246" s="41" t="str">
        <f t="shared" si="248"/>
        <v>2,01604115588588+5,22122229624818i</v>
      </c>
      <c r="BG246" s="20">
        <f t="shared" si="249"/>
        <v>14.958991791524518</v>
      </c>
      <c r="BH246" s="43">
        <f t="shared" si="250"/>
        <v>68.88721027516641</v>
      </c>
      <c r="BI246" s="41" t="str">
        <f t="shared" si="255"/>
        <v>6,27103967752887+17,4241750385179i</v>
      </c>
      <c r="BJ246" s="20">
        <f t="shared" si="251"/>
        <v>25.352027115801171</v>
      </c>
      <c r="BK246" s="43">
        <f t="shared" si="256"/>
        <v>70.205965804079256</v>
      </c>
      <c r="BL246">
        <f t="shared" si="252"/>
        <v>14.958991791524518</v>
      </c>
      <c r="BM246" s="43">
        <f t="shared" si="253"/>
        <v>68.88721027516641</v>
      </c>
    </row>
    <row r="247" spans="14:65" x14ac:dyDescent="0.25">
      <c r="N247" s="9">
        <v>29</v>
      </c>
      <c r="O247" s="34">
        <f t="shared" si="254"/>
        <v>1949.8445997580463</v>
      </c>
      <c r="P247" s="33" t="str">
        <f t="shared" si="206"/>
        <v>66,7780509511648</v>
      </c>
      <c r="Q247" s="4" t="str">
        <f t="shared" si="207"/>
        <v>1+47,7480841333744i</v>
      </c>
      <c r="R247" s="4">
        <f t="shared" si="219"/>
        <v>47.758554609701072</v>
      </c>
      <c r="S247" s="4">
        <f t="shared" si="220"/>
        <v>1.5498561393495236</v>
      </c>
      <c r="T247" s="4" t="str">
        <f t="shared" si="208"/>
        <v>1+0,0122512349404832i</v>
      </c>
      <c r="U247" s="4">
        <f t="shared" si="221"/>
        <v>1.0000750435630152</v>
      </c>
      <c r="V247" s="4">
        <f t="shared" si="222"/>
        <v>1.2250622055130772E-2</v>
      </c>
      <c r="W247" t="str">
        <f t="shared" si="209"/>
        <v>1-0,0266509922399503i</v>
      </c>
      <c r="X247" s="4">
        <f t="shared" si="223"/>
        <v>1.0003550746546817</v>
      </c>
      <c r="Y247" s="4">
        <f t="shared" si="224"/>
        <v>-2.6644685079678907E-2</v>
      </c>
      <c r="Z247" t="str">
        <f t="shared" si="210"/>
        <v>0,999996198106037+0,00523826166847763i</v>
      </c>
      <c r="AA247" s="4">
        <f t="shared" si="225"/>
        <v>1.000009917756737</v>
      </c>
      <c r="AB247" s="4">
        <f t="shared" si="226"/>
        <v>5.2382336725510029E-3</v>
      </c>
      <c r="AC247" s="47" t="str">
        <f t="shared" si="227"/>
        <v>0,00182951666832473-1,39882908993895i</v>
      </c>
      <c r="AD247" s="20">
        <f t="shared" si="228"/>
        <v>2.915300534644139</v>
      </c>
      <c r="AE247" s="43">
        <f t="shared" si="229"/>
        <v>-89.925063380059711</v>
      </c>
      <c r="AF247" t="str">
        <f t="shared" si="211"/>
        <v>223,849857273222</v>
      </c>
      <c r="AG247" t="str">
        <f t="shared" si="212"/>
        <v>1+48,3615372325063i</v>
      </c>
      <c r="AH247">
        <f t="shared" si="230"/>
        <v>48.371874922222034</v>
      </c>
      <c r="AI247">
        <f t="shared" si="231"/>
        <v>1.5501216838271712</v>
      </c>
      <c r="AJ247" t="str">
        <f t="shared" si="213"/>
        <v>1+0,0122512349404832i</v>
      </c>
      <c r="AK247">
        <f t="shared" si="232"/>
        <v>1.0000750435630152</v>
      </c>
      <c r="AL247">
        <f t="shared" si="233"/>
        <v>1.2250622055130772E-2</v>
      </c>
      <c r="AM247" t="str">
        <f t="shared" si="214"/>
        <v>1-0,00805256434789236i</v>
      </c>
      <c r="AN247">
        <f t="shared" si="234"/>
        <v>1.0000324213707159</v>
      </c>
      <c r="AO247">
        <f t="shared" si="235"/>
        <v>-8.0523903017263691E-3</v>
      </c>
      <c r="AP247" s="41" t="str">
        <f t="shared" si="236"/>
        <v>0,115104359347497-4,62675194731901i</v>
      </c>
      <c r="AQ247">
        <f t="shared" si="237"/>
        <v>13.308211411329626</v>
      </c>
      <c r="AR247" s="43">
        <f t="shared" si="238"/>
        <v>-88.574889254121629</v>
      </c>
      <c r="AS247" t="str">
        <f t="shared" si="215"/>
        <v>-0,0000166666666666667</v>
      </c>
      <c r="AT247" t="str">
        <f t="shared" si="216"/>
        <v>0,0000122879886453047i</v>
      </c>
      <c r="AU247">
        <f t="shared" si="239"/>
        <v>1.2287988645304701E-5</v>
      </c>
      <c r="AV247">
        <f t="shared" si="240"/>
        <v>1.5707963267948966</v>
      </c>
      <c r="AW247" t="str">
        <f t="shared" si="217"/>
        <v>1+0,00806163017020829i</v>
      </c>
      <c r="AX247">
        <f t="shared" si="241"/>
        <v>1.0000324944125571</v>
      </c>
      <c r="AY247">
        <f t="shared" si="242"/>
        <v>8.0614555355561189E-3</v>
      </c>
      <c r="AZ247" t="str">
        <f t="shared" si="218"/>
        <v>1+2,6952716869063i</v>
      </c>
      <c r="BA247">
        <f t="shared" si="243"/>
        <v>2.8748025090845339</v>
      </c>
      <c r="BB247">
        <f t="shared" si="244"/>
        <v>1.2155194316810318</v>
      </c>
      <c r="BC247" s="41" t="str">
        <f t="shared" si="245"/>
        <v>-3,64452841467836+1,38571889910026i</v>
      </c>
      <c r="BD247">
        <f t="shared" si="246"/>
        <v>11.819237031072484</v>
      </c>
      <c r="BE247" s="43">
        <f t="shared" si="247"/>
        <v>159.18224597254385</v>
      </c>
      <c r="BF247" s="41" t="str">
        <f t="shared" si="248"/>
        <v>1,93171618105678+5,10060756138469i</v>
      </c>
      <c r="BG247" s="20">
        <f t="shared" si="249"/>
        <v>14.734537565716622</v>
      </c>
      <c r="BH247" s="43">
        <f t="shared" si="250"/>
        <v>69.257182592484185</v>
      </c>
      <c r="BI247" s="41" t="str">
        <f t="shared" si="255"/>
        <v>5,99187650655358+17,0218312257892i</v>
      </c>
      <c r="BJ247" s="20">
        <f t="shared" si="251"/>
        <v>25.127448442402102</v>
      </c>
      <c r="BK247" s="43">
        <f t="shared" si="256"/>
        <v>70.60735671842221</v>
      </c>
      <c r="BL247">
        <f t="shared" si="252"/>
        <v>14.734537565716622</v>
      </c>
      <c r="BM247" s="43">
        <f t="shared" si="253"/>
        <v>69.257182592484185</v>
      </c>
    </row>
    <row r="248" spans="14:65" x14ac:dyDescent="0.25">
      <c r="N248" s="9">
        <v>30</v>
      </c>
      <c r="O248" s="34">
        <f t="shared" si="254"/>
        <v>1995.2623149688804</v>
      </c>
      <c r="P248" s="33" t="str">
        <f t="shared" si="206"/>
        <v>66,7780509511648</v>
      </c>
      <c r="Q248" s="4" t="str">
        <f t="shared" si="207"/>
        <v>1+48,8602798885139i</v>
      </c>
      <c r="R248" s="4">
        <f t="shared" si="219"/>
        <v>48.870512078183872</v>
      </c>
      <c r="S248" s="4">
        <f t="shared" si="220"/>
        <v>1.5503326616012747</v>
      </c>
      <c r="T248" s="4" t="str">
        <f t="shared" si="208"/>
        <v>1+0,0125366028613816i</v>
      </c>
      <c r="U248" s="4">
        <f t="shared" si="221"/>
        <v>1.0000785801182346</v>
      </c>
      <c r="V248" s="4">
        <f t="shared" si="222"/>
        <v>1.2535946145681456E-2</v>
      </c>
      <c r="W248" t="str">
        <f t="shared" si="209"/>
        <v>1-0,0272717735964699i</v>
      </c>
      <c r="X248" s="4">
        <f t="shared" si="223"/>
        <v>1.0003718056978101</v>
      </c>
      <c r="Y248" s="4">
        <f t="shared" si="224"/>
        <v>-2.7265015488131081E-2</v>
      </c>
      <c r="Z248" t="str">
        <f t="shared" si="210"/>
        <v>0,999996018928294+0,00536027645708606i</v>
      </c>
      <c r="AA248" s="4">
        <f t="shared" si="225"/>
        <v>1.0000103851641409</v>
      </c>
      <c r="AB248" s="4">
        <f t="shared" si="226"/>
        <v>5.3602464589262745E-3</v>
      </c>
      <c r="AC248" s="47" t="str">
        <f t="shared" si="227"/>
        <v>0,000511746675771713-1,36702947157561i</v>
      </c>
      <c r="AD248" s="20">
        <f t="shared" si="228"/>
        <v>2.715558159727121</v>
      </c>
      <c r="AE248" s="43">
        <f t="shared" si="229"/>
        <v>-89.978551359761028</v>
      </c>
      <c r="AF248" t="str">
        <f t="shared" si="211"/>
        <v>223,849857273222</v>
      </c>
      <c r="AG248" t="str">
        <f t="shared" si="212"/>
        <v>1+49,4880221459486i</v>
      </c>
      <c r="AH248">
        <f t="shared" si="230"/>
        <v>49.498124569703634</v>
      </c>
      <c r="AI248">
        <f t="shared" si="231"/>
        <v>1.5505921666046769</v>
      </c>
      <c r="AJ248" t="str">
        <f t="shared" si="213"/>
        <v>1+0,0125366028613816i</v>
      </c>
      <c r="AK248">
        <f t="shared" si="232"/>
        <v>1.0000785801182346</v>
      </c>
      <c r="AL248">
        <f t="shared" si="233"/>
        <v>1.2535946145681456E-2</v>
      </c>
      <c r="AM248" t="str">
        <f t="shared" si="214"/>
        <v>1-0,0082401326670881i</v>
      </c>
      <c r="AN248">
        <f t="shared" si="234"/>
        <v>1.0000339493169075</v>
      </c>
      <c r="AO248">
        <f t="shared" si="235"/>
        <v>-8.2399461736031732E-3</v>
      </c>
      <c r="AP248" s="41" t="str">
        <f t="shared" si="236"/>
        <v>0,110800678869078-4,52154220988784i</v>
      </c>
      <c r="AQ248">
        <f t="shared" si="237"/>
        <v>13.108338936736541</v>
      </c>
      <c r="AR248" s="43">
        <f t="shared" si="238"/>
        <v>-88.596244225305782</v>
      </c>
      <c r="AS248" t="str">
        <f t="shared" si="215"/>
        <v>-0,0000166666666666667</v>
      </c>
      <c r="AT248" t="str">
        <f t="shared" si="216"/>
        <v>0,0000125742126699657i</v>
      </c>
      <c r="AU248">
        <f t="shared" si="239"/>
        <v>1.2574212669965701E-5</v>
      </c>
      <c r="AV248">
        <f t="shared" si="240"/>
        <v>1.5707963267948966</v>
      </c>
      <c r="AW248" t="str">
        <f t="shared" si="217"/>
        <v>1+0,00824940965953326i</v>
      </c>
      <c r="AX248">
        <f t="shared" si="241"/>
        <v>1.0000340258009879</v>
      </c>
      <c r="AY248">
        <f t="shared" si="242"/>
        <v>8.2492225354759592E-3</v>
      </c>
      <c r="AZ248" t="str">
        <f t="shared" si="218"/>
        <v>1+2,75805262950395i</v>
      </c>
      <c r="BA248">
        <f t="shared" si="243"/>
        <v>2.9337440766218266</v>
      </c>
      <c r="BB248">
        <f t="shared" si="244"/>
        <v>1.2229633500477815</v>
      </c>
      <c r="BC248" s="41" t="str">
        <f t="shared" si="245"/>
        <v>-3,64451725268942+1,35552915116156i</v>
      </c>
      <c r="BD248">
        <f t="shared" si="246"/>
        <v>11.795507940330928</v>
      </c>
      <c r="BE248" s="43">
        <f t="shared" si="247"/>
        <v>159.59799282137121</v>
      </c>
      <c r="BF248" s="41" t="str">
        <f t="shared" si="248"/>
        <v>1,85118322962887+4,98285618162923i</v>
      </c>
      <c r="BG248" s="20">
        <f t="shared" si="249"/>
        <v>14.511066100058052</v>
      </c>
      <c r="BH248" s="43">
        <f t="shared" si="250"/>
        <v>69.619441461610165</v>
      </c>
      <c r="BI248" s="41" t="str">
        <f t="shared" si="255"/>
        <v>5,72526728796237+16,6290321428752i</v>
      </c>
      <c r="BJ248" s="20">
        <f t="shared" si="251"/>
        <v>24.903846877067469</v>
      </c>
      <c r="BK248" s="43">
        <f t="shared" si="256"/>
        <v>71.001748596065454</v>
      </c>
      <c r="BL248">
        <f t="shared" si="252"/>
        <v>14.511066100058052</v>
      </c>
      <c r="BM248" s="43">
        <f t="shared" si="253"/>
        <v>69.619441461610165</v>
      </c>
    </row>
    <row r="249" spans="14:65" x14ac:dyDescent="0.25">
      <c r="N249" s="9">
        <v>31</v>
      </c>
      <c r="O249" s="34">
        <f t="shared" si="254"/>
        <v>2041.7379446695318</v>
      </c>
      <c r="P249" s="33" t="str">
        <f t="shared" si="206"/>
        <v>66,7780509511648</v>
      </c>
      <c r="Q249" s="4" t="str">
        <f t="shared" si="207"/>
        <v>1+49,9983820107924i</v>
      </c>
      <c r="R249" s="4">
        <f t="shared" si="219"/>
        <v>50.008381334503611</v>
      </c>
      <c r="S249" s="4">
        <f t="shared" si="220"/>
        <v>1.5507983458639107</v>
      </c>
      <c r="T249" s="4" t="str">
        <f t="shared" si="208"/>
        <v>1+0,0128286178550586i</v>
      </c>
      <c r="U249" s="4">
        <f t="shared" si="221"/>
        <v>1.0000822833327621</v>
      </c>
      <c r="V249" s="4">
        <f t="shared" si="222"/>
        <v>1.282791417463474E-2</v>
      </c>
      <c r="W249" t="str">
        <f t="shared" si="209"/>
        <v>1-0,0279070148083349i</v>
      </c>
      <c r="X249" s="4">
        <f t="shared" si="223"/>
        <v>1.0003893249507976</v>
      </c>
      <c r="Y249" s="4">
        <f t="shared" si="224"/>
        <v>-2.7899773516980923E-2</v>
      </c>
      <c r="Z249" t="str">
        <f t="shared" si="210"/>
        <v>0,999995831306165+0,00548513333522365i</v>
      </c>
      <c r="AA249" s="4">
        <f t="shared" si="225"/>
        <v>1.0000108745995782</v>
      </c>
      <c r="AB249" s="4">
        <f t="shared" si="226"/>
        <v>5.4851011916343378E-3</v>
      </c>
      <c r="AC249" s="47" t="str">
        <f t="shared" si="227"/>
        <v>-0,000746770132224867-1,33595224306224i</v>
      </c>
      <c r="AD249" s="20">
        <f t="shared" si="228"/>
        <v>2.515820026586963</v>
      </c>
      <c r="AE249" s="43">
        <f t="shared" si="229"/>
        <v>-90.032027172085492</v>
      </c>
      <c r="AF249" t="str">
        <f t="shared" si="211"/>
        <v>223,849857273222</v>
      </c>
      <c r="AG249" t="str">
        <f t="shared" si="212"/>
        <v>1+50,6407462637838i</v>
      </c>
      <c r="AH249">
        <f t="shared" si="230"/>
        <v>50.650618773643153</v>
      </c>
      <c r="AI249">
        <f t="shared" si="231"/>
        <v>1.5510519485309973</v>
      </c>
      <c r="AJ249" t="str">
        <f t="shared" si="213"/>
        <v>1+0,0128286178550586i</v>
      </c>
      <c r="AK249">
        <f t="shared" si="232"/>
        <v>1.0000822833327621</v>
      </c>
      <c r="AL249">
        <f t="shared" si="233"/>
        <v>1.282791417463474E-2</v>
      </c>
      <c r="AM249" t="str">
        <f t="shared" si="214"/>
        <v>1-0,00843207001369495i</v>
      </c>
      <c r="AN249">
        <f t="shared" si="234"/>
        <v>1.0000355492704827</v>
      </c>
      <c r="AO249">
        <f t="shared" si="235"/>
        <v>-8.4318701827092047E-3</v>
      </c>
      <c r="AP249" s="41" t="str">
        <f t="shared" si="236"/>
        <v>0,106690541358668-4,4187220269059i</v>
      </c>
      <c r="AQ249">
        <f t="shared" si="237"/>
        <v>12.908464776553885</v>
      </c>
      <c r="AR249" s="43">
        <f t="shared" si="238"/>
        <v>-88.616855689077553</v>
      </c>
      <c r="AS249" t="str">
        <f t="shared" si="215"/>
        <v>-0,0000166666666666667</v>
      </c>
      <c r="AT249" t="str">
        <f t="shared" si="216"/>
        <v>0,0000128671037086238i</v>
      </c>
      <c r="AU249">
        <f t="shared" si="239"/>
        <v>1.28671037086238E-5</v>
      </c>
      <c r="AV249">
        <f t="shared" si="240"/>
        <v>1.5707963267948966</v>
      </c>
      <c r="AW249" t="str">
        <f t="shared" si="217"/>
        <v>1+0,00844156309505351i</v>
      </c>
      <c r="AX249">
        <f t="shared" si="241"/>
        <v>1.0000356293590182</v>
      </c>
      <c r="AY249">
        <f t="shared" si="242"/>
        <v>8.4413625883994568E-3</v>
      </c>
      <c r="AZ249" t="str">
        <f t="shared" si="218"/>
        <v>1+2,82229592811289i</v>
      </c>
      <c r="BA249">
        <f t="shared" si="243"/>
        <v>2.9942201498624978</v>
      </c>
      <c r="BB249">
        <f t="shared" si="244"/>
        <v>1.2302768581876391</v>
      </c>
      <c r="BC249" s="41" t="str">
        <f t="shared" si="245"/>
        <v>-3,64450556472539+1,32605811404049i</v>
      </c>
      <c r="BD249">
        <f t="shared" si="246"/>
        <v>11.772724070739443</v>
      </c>
      <c r="BE249" s="43">
        <f t="shared" si="247"/>
        <v>160.00601715711167</v>
      </c>
      <c r="BF249" s="41" t="str">
        <f t="shared" si="248"/>
        <v>1,77427191978574+4,86789512345454i</v>
      </c>
      <c r="BG249" s="20">
        <f t="shared" si="249"/>
        <v>14.288544097326403</v>
      </c>
      <c r="BH249" s="43">
        <f t="shared" si="250"/>
        <v>69.973989985026179</v>
      </c>
      <c r="BI249" s="41" t="str">
        <f t="shared" si="255"/>
        <v>5,47064792578278+16,2455348740932i</v>
      </c>
      <c r="BJ249" s="20">
        <f t="shared" si="251"/>
        <v>24.681188847293306</v>
      </c>
      <c r="BK249" s="43">
        <f t="shared" si="256"/>
        <v>71.389161468034075</v>
      </c>
      <c r="BL249">
        <f t="shared" si="252"/>
        <v>14.288544097326403</v>
      </c>
      <c r="BM249" s="43">
        <f t="shared" si="253"/>
        <v>69.973989985026179</v>
      </c>
    </row>
    <row r="250" spans="14:65" x14ac:dyDescent="0.25">
      <c r="N250" s="9">
        <v>32</v>
      </c>
      <c r="O250" s="34">
        <f t="shared" si="254"/>
        <v>2089.2961308540398</v>
      </c>
      <c r="P250" s="33" t="str">
        <f t="shared" si="206"/>
        <v>66,7780509511648</v>
      </c>
      <c r="Q250" s="4" t="str">
        <f t="shared" si="207"/>
        <v>1+51,1629939370203i</v>
      </c>
      <c r="R250" s="4">
        <f t="shared" si="219"/>
        <v>51.172765692305283</v>
      </c>
      <c r="S250" s="4">
        <f t="shared" si="220"/>
        <v>1.5512534382410159</v>
      </c>
      <c r="T250" s="4" t="str">
        <f t="shared" si="208"/>
        <v>1+0,0131274347517293i</v>
      </c>
      <c r="U250" s="4">
        <f t="shared" si="221"/>
        <v>1.0000861610597163</v>
      </c>
      <c r="V250" s="4">
        <f t="shared" si="222"/>
        <v>1.3126680748078814E-2</v>
      </c>
      <c r="W250" t="str">
        <f t="shared" si="209"/>
        <v>1-0,0285570526888445i</v>
      </c>
      <c r="X250" s="4">
        <f t="shared" si="223"/>
        <v>1.0004076695319131</v>
      </c>
      <c r="Y250" s="4">
        <f t="shared" si="224"/>
        <v>-2.8549293676124035E-2</v>
      </c>
      <c r="Z250" t="str">
        <f t="shared" si="210"/>
        <v>0,999995634841678+0,00561289850365996i</v>
      </c>
      <c r="AA250" s="4">
        <f t="shared" si="225"/>
        <v>1.0000113871011784</v>
      </c>
      <c r="AB250" s="4">
        <f t="shared" si="226"/>
        <v>5.6128640612036883E-3</v>
      </c>
      <c r="AC250" s="47" t="str">
        <f t="shared" si="227"/>
        <v>-0,00194869668157078-1,30558108871755i</v>
      </c>
      <c r="AD250" s="20">
        <f t="shared" si="228"/>
        <v>2.3160866896961085</v>
      </c>
      <c r="AE250" s="43">
        <f t="shared" si="229"/>
        <v>-90.08551901789663</v>
      </c>
      <c r="AF250" t="str">
        <f t="shared" si="211"/>
        <v>223,849857273222</v>
      </c>
      <c r="AG250" t="str">
        <f t="shared" si="212"/>
        <v>1+51,820320775598i</v>
      </c>
      <c r="AH250">
        <f t="shared" si="230"/>
        <v>51.829968602015121</v>
      </c>
      <c r="AI250">
        <f t="shared" si="231"/>
        <v>1.5515012726105686</v>
      </c>
      <c r="AJ250" t="str">
        <f t="shared" si="213"/>
        <v>1+0,0131274347517293i</v>
      </c>
      <c r="AK250">
        <f t="shared" si="232"/>
        <v>1.0000861610597163</v>
      </c>
      <c r="AL250">
        <f t="shared" si="233"/>
        <v>1.3126680748078814E-2</v>
      </c>
      <c r="AM250" t="str">
        <f t="shared" si="214"/>
        <v>1-0,00862847815543477i</v>
      </c>
      <c r="AN250">
        <f t="shared" si="234"/>
        <v>1.000037224624803</v>
      </c>
      <c r="AO250">
        <f t="shared" si="235"/>
        <v>-8.6282640331062262E-3</v>
      </c>
      <c r="AP250" s="41" t="str">
        <f t="shared" si="236"/>
        <v>0,102765249539691-4,31823740377223i</v>
      </c>
      <c r="AQ250">
        <f t="shared" si="237"/>
        <v>12.708589197462977</v>
      </c>
      <c r="AR250" s="43">
        <f t="shared" si="238"/>
        <v>-88.636734537502747</v>
      </c>
      <c r="AS250" t="str">
        <f t="shared" si="215"/>
        <v>-0,0000166666666666667</v>
      </c>
      <c r="AT250" t="str">
        <f t="shared" si="216"/>
        <v>0,0000131668170559845i</v>
      </c>
      <c r="AU250">
        <f t="shared" si="239"/>
        <v>1.3166817055984499E-5</v>
      </c>
      <c r="AV250">
        <f t="shared" si="240"/>
        <v>1.5707963267948966</v>
      </c>
      <c r="AW250" t="str">
        <f t="shared" si="217"/>
        <v>1+0,00863819235906414i</v>
      </c>
      <c r="AX250">
        <f t="shared" si="241"/>
        <v>1.0000373084876544</v>
      </c>
      <c r="AY250">
        <f t="shared" si="242"/>
        <v>8.6379775127463903E-3</v>
      </c>
      <c r="AZ250" t="str">
        <f t="shared" si="218"/>
        <v>1+2,88803564538044i</v>
      </c>
      <c r="BA250">
        <f t="shared" si="243"/>
        <v>3.0562640411109796</v>
      </c>
      <c r="BB250">
        <f t="shared" si="244"/>
        <v>1.2374607034146594</v>
      </c>
      <c r="BC250" s="41" t="str">
        <f t="shared" si="245"/>
        <v>-3,64449332600496+1,29729016118231i</v>
      </c>
      <c r="BD250">
        <f t="shared" si="246"/>
        <v>11.750852347619334</v>
      </c>
      <c r="BE250" s="43">
        <f t="shared" si="247"/>
        <v>160.40635596394085</v>
      </c>
      <c r="BF250" s="41" t="str">
        <f t="shared" si="248"/>
        <v>1,70081951306936+4,75565353935727i</v>
      </c>
      <c r="BG250" s="20">
        <f t="shared" si="249"/>
        <v>14.066939037315443</v>
      </c>
      <c r="BH250" s="43">
        <f t="shared" si="250"/>
        <v>70.320836946044196</v>
      </c>
      <c r="BI250" s="41" t="str">
        <f t="shared" si="255"/>
        <v>5,22747963147052+15,8711037452922i</v>
      </c>
      <c r="BJ250" s="20">
        <f t="shared" si="251"/>
        <v>24.459441545082331</v>
      </c>
      <c r="BK250" s="43">
        <f t="shared" si="256"/>
        <v>71.769621426438121</v>
      </c>
      <c r="BL250">
        <f t="shared" si="252"/>
        <v>14.066939037315443</v>
      </c>
      <c r="BM250" s="43">
        <f t="shared" si="253"/>
        <v>70.320836946044196</v>
      </c>
    </row>
    <row r="251" spans="14:65" x14ac:dyDescent="0.25">
      <c r="N251" s="9">
        <v>33</v>
      </c>
      <c r="O251" s="34">
        <f t="shared" si="254"/>
        <v>2137.9620895022344</v>
      </c>
      <c r="P251" s="33" t="str">
        <f t="shared" si="206"/>
        <v>66,7780509511648</v>
      </c>
      <c r="Q251" s="4" t="str">
        <f t="shared" si="207"/>
        <v>1+52,3547331598554i</v>
      </c>
      <c r="R251" s="4">
        <f t="shared" si="219"/>
        <v>52.364282523869861</v>
      </c>
      <c r="S251" s="4">
        <f t="shared" si="220"/>
        <v>1.5516981792741293</v>
      </c>
      <c r="T251" s="4" t="str">
        <f t="shared" si="208"/>
        <v>1+0,0134332119880674i</v>
      </c>
      <c r="U251" s="4">
        <f t="shared" si="221"/>
        <v>1.0000902215221967</v>
      </c>
      <c r="V251" s="4">
        <f t="shared" si="222"/>
        <v>1.3432404062536128E-2</v>
      </c>
      <c r="W251" t="str">
        <f t="shared" si="209"/>
        <v>1-0,0292222318966868i</v>
      </c>
      <c r="X251" s="4">
        <f t="shared" si="223"/>
        <v>1.0004268783059678</v>
      </c>
      <c r="Y251" s="4">
        <f t="shared" si="224"/>
        <v>-2.9213918156353019E-2</v>
      </c>
      <c r="Z251" t="str">
        <f t="shared" si="210"/>
        <v>0,999995429118104+0,00574363970517835i</v>
      </c>
      <c r="AA251" s="4">
        <f t="shared" si="225"/>
        <v>1.0000119237559939</v>
      </c>
      <c r="AB251" s="4">
        <f t="shared" si="226"/>
        <v>5.7436027994442222E-3</v>
      </c>
      <c r="AC251" s="47" t="str">
        <f t="shared" si="227"/>
        <v>-0,0030965764391412-1,27590005643918i</v>
      </c>
      <c r="AD251" s="20">
        <f t="shared" si="228"/>
        <v>2.116358713645571</v>
      </c>
      <c r="AE251" s="43">
        <f t="shared" si="229"/>
        <v>-90.139055102051401</v>
      </c>
      <c r="AF251" t="str">
        <f t="shared" si="211"/>
        <v>223,849857273222</v>
      </c>
      <c r="AG251" t="str">
        <f t="shared" si="212"/>
        <v>1+53,0273711074101i</v>
      </c>
      <c r="AH251">
        <f t="shared" si="230"/>
        <v>53.036799361980655</v>
      </c>
      <c r="AI251">
        <f t="shared" si="231"/>
        <v>1.5519403763548294</v>
      </c>
      <c r="AJ251" t="str">
        <f t="shared" si="213"/>
        <v>1+0,0134332119880674i</v>
      </c>
      <c r="AK251">
        <f t="shared" si="232"/>
        <v>1.0000902215221967</v>
      </c>
      <c r="AL251">
        <f t="shared" si="233"/>
        <v>1.3432404062536128E-2</v>
      </c>
      <c r="AM251" t="str">
        <f t="shared" si="214"/>
        <v>1-0,00882946123050395i</v>
      </c>
      <c r="AN251">
        <f t="shared" si="234"/>
        <v>1.0000389789331319</v>
      </c>
      <c r="AO251">
        <f t="shared" si="235"/>
        <v>-8.829231794778224E-3</v>
      </c>
      <c r="AP251" s="41" t="str">
        <f t="shared" si="236"/>
        <v>0,0990164963825667-4,22003554943182i</v>
      </c>
      <c r="AQ251">
        <f t="shared" si="237"/>
        <v>12.508712463149665</v>
      </c>
      <c r="AR251" s="43">
        <f t="shared" si="238"/>
        <v>-88.655891277762109</v>
      </c>
      <c r="AS251" t="str">
        <f t="shared" si="215"/>
        <v>-0,0000166666666666667</v>
      </c>
      <c r="AT251" t="str">
        <f t="shared" si="216"/>
        <v>0,0000134735116240316i</v>
      </c>
      <c r="AU251">
        <f t="shared" si="239"/>
        <v>1.3473511624031601E-5</v>
      </c>
      <c r="AV251">
        <f t="shared" si="240"/>
        <v>1.5707963267948966</v>
      </c>
      <c r="AW251" t="str">
        <f t="shared" si="217"/>
        <v>1+0,00883940170700347i</v>
      </c>
      <c r="AX251">
        <f t="shared" si="241"/>
        <v>1.0000390667481636</v>
      </c>
      <c r="AY251">
        <f t="shared" si="242"/>
        <v>8.8391714955120566E-3</v>
      </c>
      <c r="AZ251" t="str">
        <f t="shared" si="218"/>
        <v>1+2,95530663737483i</v>
      </c>
      <c r="BA251">
        <f t="shared" si="243"/>
        <v>3.1199098257660784</v>
      </c>
      <c r="BB251">
        <f t="shared" si="244"/>
        <v>1.2445157278306107</v>
      </c>
      <c r="BC251" s="41" t="str">
        <f t="shared" si="245"/>
        <v>-3,64448051057952+1,26921003877251i</v>
      </c>
      <c r="BD251">
        <f t="shared" si="246"/>
        <v>11.729860479097114</v>
      </c>
      <c r="BE251" s="43">
        <f t="shared" si="247"/>
        <v>160.79905152126065</v>
      </c>
      <c r="BF251" s="41" t="str">
        <f t="shared" si="248"/>
        <v>1,63067057258499+4,64606268323752i</v>
      </c>
      <c r="BG251" s="20">
        <f t="shared" si="249"/>
        <v>13.846219192742687</v>
      </c>
      <c r="BH251" s="43">
        <f t="shared" si="250"/>
        <v>70.65999641920925</v>
      </c>
      <c r="BI251" s="41" t="str">
        <f t="shared" si="255"/>
        <v>4,9952477920236+15,5055100450698i</v>
      </c>
      <c r="BJ251" s="20">
        <f t="shared" si="251"/>
        <v>24.238572942246751</v>
      </c>
      <c r="BK251" s="43">
        <f t="shared" si="256"/>
        <v>72.1431602434985</v>
      </c>
      <c r="BL251">
        <f t="shared" si="252"/>
        <v>13.846219192742687</v>
      </c>
      <c r="BM251" s="43">
        <f t="shared" si="253"/>
        <v>70.65999641920925</v>
      </c>
    </row>
    <row r="252" spans="14:65" x14ac:dyDescent="0.25">
      <c r="N252" s="9">
        <v>34</v>
      </c>
      <c r="O252" s="34">
        <f t="shared" si="254"/>
        <v>2187.7616239495528</v>
      </c>
      <c r="P252" s="33" t="str">
        <f t="shared" si="206"/>
        <v>66,7780509511648</v>
      </c>
      <c r="Q252" s="4" t="str">
        <f t="shared" si="207"/>
        <v>1+53,5742315552089i</v>
      </c>
      <c r="R252" s="4">
        <f t="shared" si="219"/>
        <v>53.583563587457874</v>
      </c>
      <c r="S252" s="4">
        <f t="shared" si="220"/>
        <v>1.5521328040666913</v>
      </c>
      <c r="T252" s="4" t="str">
        <f t="shared" si="208"/>
        <v>1+0,0137461116912112i</v>
      </c>
      <c r="U252" s="4">
        <f t="shared" si="221"/>
        <v>1.0000944733307084</v>
      </c>
      <c r="V252" s="4">
        <f t="shared" si="222"/>
        <v>1.3745245987823956E-2</v>
      </c>
      <c r="W252" t="str">
        <f t="shared" si="209"/>
        <v>1-0,0299029051186827i</v>
      </c>
      <c r="X252" s="4">
        <f t="shared" si="223"/>
        <v>1.0004469919663594</v>
      </c>
      <c r="Y252" s="4">
        <f t="shared" si="224"/>
        <v>-2.9893997000367042E-2</v>
      </c>
      <c r="Z252" t="str">
        <f t="shared" si="210"/>
        <v>0,999995213699077+0,00587742626049451i</v>
      </c>
      <c r="AA252" s="4">
        <f t="shared" si="225"/>
        <v>1.0000124857023087</v>
      </c>
      <c r="AB252" s="4">
        <f t="shared" si="226"/>
        <v>5.8773867153133737E-3</v>
      </c>
      <c r="AC252" s="47" t="str">
        <f t="shared" si="227"/>
        <v>-0,00419283875715047-1,24689354996427i</v>
      </c>
      <c r="AD252" s="20">
        <f t="shared" si="228"/>
        <v>1.91663667433286</v>
      </c>
      <c r="AE252" s="43">
        <f t="shared" si="229"/>
        <v>-90.19266364760739</v>
      </c>
      <c r="AF252" t="str">
        <f t="shared" si="211"/>
        <v>223,849857273222</v>
      </c>
      <c r="AG252" t="str">
        <f t="shared" si="212"/>
        <v>1+54,2625372532837i</v>
      </c>
      <c r="AH252">
        <f t="shared" si="230"/>
        <v>54.27175093143763</v>
      </c>
      <c r="AI252">
        <f t="shared" si="231"/>
        <v>1.5523694919046922</v>
      </c>
      <c r="AJ252" t="str">
        <f t="shared" si="213"/>
        <v>1+0,0137461116912112i</v>
      </c>
      <c r="AK252">
        <f t="shared" si="232"/>
        <v>1.0000944733307084</v>
      </c>
      <c r="AL252">
        <f t="shared" si="233"/>
        <v>1.3745245987823956E-2</v>
      </c>
      <c r="AM252" t="str">
        <f t="shared" si="214"/>
        <v>1-0,0090351258027893i</v>
      </c>
      <c r="AN252">
        <f t="shared" si="234"/>
        <v>1.0000408159161667</v>
      </c>
      <c r="AO252">
        <f t="shared" si="235"/>
        <v>-9.0348799585217941E-3</v>
      </c>
      <c r="AP252" s="41" t="str">
        <f t="shared" si="236"/>
        <v>0,0954363476457024-4,12406485070285i</v>
      </c>
      <c r="AQ252">
        <f t="shared" si="237"/>
        <v>12.308834834861358</v>
      </c>
      <c r="AR252" s="43">
        <f t="shared" si="238"/>
        <v>-88.674336037566064</v>
      </c>
      <c r="AS252" t="str">
        <f t="shared" si="215"/>
        <v>-0,0000166666666666667</v>
      </c>
      <c r="AT252" t="str">
        <f t="shared" si="216"/>
        <v>0,0000137873500262848i</v>
      </c>
      <c r="AU252">
        <f t="shared" si="239"/>
        <v>1.3787350026284801E-5</v>
      </c>
      <c r="AV252">
        <f t="shared" si="240"/>
        <v>1.5707963267948966</v>
      </c>
      <c r="AW252" t="str">
        <f t="shared" si="217"/>
        <v>1+0,0090452978227312i</v>
      </c>
      <c r="AX252">
        <f t="shared" si="241"/>
        <v>1.0000409078696242</v>
      </c>
      <c r="AY252">
        <f t="shared" si="242"/>
        <v>9.0450511472188397E-3</v>
      </c>
      <c r="AZ252" t="str">
        <f t="shared" si="218"/>
        <v>1+3,02414457206646i</v>
      </c>
      <c r="BA252">
        <f t="shared" si="243"/>
        <v>3.1851923635408639</v>
      </c>
      <c r="BB252">
        <f t="shared" si="244"/>
        <v>1.2514428619698044</v>
      </c>
      <c r="BC252" s="41" t="str">
        <f t="shared" si="245"/>
        <v>-3,64446709127826+1,24180285764577i</v>
      </c>
      <c r="BD252">
        <f t="shared" si="246"/>
        <v>11.70971696757988</v>
      </c>
      <c r="BE252" s="43">
        <f t="shared" si="247"/>
        <v>161.18415103642704</v>
      </c>
      <c r="BF252" s="41" t="str">
        <f t="shared" si="248"/>
        <v>1,56367663639518+4,53905583002163i</v>
      </c>
      <c r="BG252" s="20">
        <f t="shared" si="249"/>
        <v>13.626353641912743</v>
      </c>
      <c r="BH252" s="43">
        <f t="shared" si="250"/>
        <v>70.99148738881965</v>
      </c>
      <c r="BI252" s="41" t="str">
        <f t="shared" si="255"/>
        <v>4,77346088841272+15,1485317599136i</v>
      </c>
      <c r="BJ252" s="20">
        <f t="shared" si="251"/>
        <v>24.018551802441216</v>
      </c>
      <c r="BK252" s="43">
        <f t="shared" si="256"/>
        <v>72.509814998860961</v>
      </c>
      <c r="BL252">
        <f t="shared" si="252"/>
        <v>13.626353641912743</v>
      </c>
      <c r="BM252" s="43">
        <f t="shared" si="253"/>
        <v>70.99148738881965</v>
      </c>
    </row>
    <row r="253" spans="14:65" x14ac:dyDescent="0.25">
      <c r="N253" s="9">
        <v>35</v>
      </c>
      <c r="O253" s="34">
        <f t="shared" si="254"/>
        <v>2238.7211385683418</v>
      </c>
      <c r="P253" s="33" t="str">
        <f t="shared" si="206"/>
        <v>66,7780509511648</v>
      </c>
      <c r="Q253" s="4" t="str">
        <f t="shared" si="207"/>
        <v>1+54,8221357172719i</v>
      </c>
      <c r="R253" s="4">
        <f t="shared" si="219"/>
        <v>54.83125536227471</v>
      </c>
      <c r="S253" s="4">
        <f t="shared" si="220"/>
        <v>1.5525575424053428</v>
      </c>
      <c r="T253" s="4" t="str">
        <f t="shared" si="208"/>
        <v>1+0,014066299764725i</v>
      </c>
      <c r="U253" s="4">
        <f t="shared" si="221"/>
        <v>1.0000989255014081</v>
      </c>
      <c r="V253" s="4">
        <f t="shared" si="222"/>
        <v>1.4065372151788526E-2</v>
      </c>
      <c r="W253" t="str">
        <f t="shared" si="209"/>
        <v>1-0,0305994332567844i</v>
      </c>
      <c r="X253" s="4">
        <f t="shared" si="223"/>
        <v>1.0004680531209562</v>
      </c>
      <c r="Y253" s="4">
        <f t="shared" si="224"/>
        <v>-3.0589888277200324E-2</v>
      </c>
      <c r="Z253" t="str">
        <f t="shared" si="210"/>
        <v>0,999994988127664+0,00601432910501092i</v>
      </c>
      <c r="AA253" s="4">
        <f t="shared" si="225"/>
        <v>1.0000130741320485</v>
      </c>
      <c r="AB253" s="4">
        <f t="shared" si="226"/>
        <v>6.0142867316144624E-3</v>
      </c>
      <c r="AC253" s="47" t="str">
        <f t="shared" si="227"/>
        <v>-0,00523980397991201-1,2185463212711i</v>
      </c>
      <c r="AD253" s="20">
        <f t="shared" si="228"/>
        <v>1.7169211601747478</v>
      </c>
      <c r="AE253" s="43">
        <f t="shared" si="229"/>
        <v>-90.246372910014486</v>
      </c>
      <c r="AF253" t="str">
        <f t="shared" si="211"/>
        <v>223,849857273222</v>
      </c>
      <c r="AG253" t="str">
        <f t="shared" si="212"/>
        <v>1+55,5264741146587i</v>
      </c>
      <c r="AH253">
        <f t="shared" si="230"/>
        <v>55.535478098291932</v>
      </c>
      <c r="AI253">
        <f t="shared" si="231"/>
        <v>1.5527888461504</v>
      </c>
      <c r="AJ253" t="str">
        <f t="shared" si="213"/>
        <v>1+0,014066299764725i</v>
      </c>
      <c r="AK253">
        <f t="shared" si="232"/>
        <v>1.0000989255014081</v>
      </c>
      <c r="AL253">
        <f t="shared" si="233"/>
        <v>1.4065372151788526E-2</v>
      </c>
      <c r="AM253" t="str">
        <f t="shared" si="214"/>
        <v>1-0,00924558091836934i</v>
      </c>
      <c r="AN253">
        <f t="shared" si="234"/>
        <v>1.0000427394699278</v>
      </c>
      <c r="AO253">
        <f t="shared" si="235"/>
        <v>-9.2453174920986668E-3</v>
      </c>
      <c r="AP253" s="41" t="str">
        <f t="shared" si="236"/>
        <v>0,0920172251930675-4,03027484707453i</v>
      </c>
      <c r="AQ253">
        <f t="shared" si="237"/>
        <v>12.108956571959581</v>
      </c>
      <c r="AR253" s="43">
        <f t="shared" si="238"/>
        <v>-88.692078570384226</v>
      </c>
      <c r="AS253" t="str">
        <f t="shared" si="215"/>
        <v>-0,0000166666666666667</v>
      </c>
      <c r="AT253" t="str">
        <f t="shared" si="216"/>
        <v>0,0000141084986640191i</v>
      </c>
      <c r="AU253">
        <f t="shared" si="239"/>
        <v>1.4108498664019101E-5</v>
      </c>
      <c r="AV253">
        <f t="shared" si="240"/>
        <v>1.5707963267948966</v>
      </c>
      <c r="AW253" t="str">
        <f t="shared" si="217"/>
        <v>1+0,00925598987509322i</v>
      </c>
      <c r="AX253">
        <f t="shared" si="241"/>
        <v>1.0000428357568329</v>
      </c>
      <c r="AY253">
        <f t="shared" si="242"/>
        <v>9.2557255581310685E-3</v>
      </c>
      <c r="AZ253" t="str">
        <f t="shared" si="218"/>
        <v>1+3,0945859482395i</v>
      </c>
      <c r="BA253">
        <f t="shared" si="243"/>
        <v>3.2521473200089459</v>
      </c>
      <c r="BB253">
        <f t="shared" si="244"/>
        <v>1.2582431186025378</v>
      </c>
      <c r="BC253" s="41" t="str">
        <f t="shared" si="245"/>
        <v>-3,64445303965076+1,21505408538824i</v>
      </c>
      <c r="BD253">
        <f t="shared" si="246"/>
        <v>11.690391118173588</v>
      </c>
      <c r="BE253" s="43">
        <f t="shared" si="247"/>
        <v>161.56170628649178</v>
      </c>
      <c r="BF253" s="41" t="str">
        <f t="shared" si="248"/>
        <v>1,49969590543703+4,43456819927929i</v>
      </c>
      <c r="BG253" s="20">
        <f t="shared" si="249"/>
        <v>13.407312278348344</v>
      </c>
      <c r="BH253" s="43">
        <f t="shared" si="250"/>
        <v>71.315333376477241</v>
      </c>
      <c r="BI253" s="41" t="str">
        <f t="shared" si="255"/>
        <v>4,56164946212027+14,7999533224457i</v>
      </c>
      <c r="BJ253" s="20">
        <f t="shared" si="251"/>
        <v>23.799347690133171</v>
      </c>
      <c r="BK253" s="43">
        <f t="shared" si="256"/>
        <v>72.869627716107544</v>
      </c>
      <c r="BL253">
        <f t="shared" si="252"/>
        <v>13.407312278348344</v>
      </c>
      <c r="BM253" s="43">
        <f t="shared" si="253"/>
        <v>71.315333376477241</v>
      </c>
    </row>
    <row r="254" spans="14:65" x14ac:dyDescent="0.25">
      <c r="N254" s="9">
        <v>36</v>
      </c>
      <c r="O254" s="34">
        <f t="shared" si="254"/>
        <v>2290.8676527677749</v>
      </c>
      <c r="P254" s="33" t="str">
        <f t="shared" si="206"/>
        <v>66,7780509511648</v>
      </c>
      <c r="Q254" s="4" t="str">
        <f t="shared" si="207"/>
        <v>1+56,0991073013487i</v>
      </c>
      <c r="R254" s="4">
        <f t="shared" si="219"/>
        <v>56.108019391244206</v>
      </c>
      <c r="S254" s="4">
        <f t="shared" si="220"/>
        <v>1.5529726188786297</v>
      </c>
      <c r="T254" s="4" t="str">
        <f t="shared" si="208"/>
        <v>1+0,0143939459765635i</v>
      </c>
      <c r="U254" s="4">
        <f t="shared" si="221"/>
        <v>1.0001035874752056</v>
      </c>
      <c r="V254" s="4">
        <f t="shared" si="222"/>
        <v>1.4392952026954448E-2</v>
      </c>
      <c r="W254" t="str">
        <f t="shared" si="209"/>
        <v>1-0,0313121856194301i</v>
      </c>
      <c r="X254" s="4">
        <f t="shared" si="223"/>
        <v>1.000490106382</v>
      </c>
      <c r="Y254" s="4">
        <f t="shared" si="224"/>
        <v>-3.1301958260112006E-2</v>
      </c>
      <c r="Z254" t="str">
        <f t="shared" si="210"/>
        <v>0,999994751925398+0,00615442082642785i</v>
      </c>
      <c r="AA254" s="4">
        <f t="shared" si="225"/>
        <v>1.0000136902933114</v>
      </c>
      <c r="AB254" s="4">
        <f t="shared" si="226"/>
        <v>6.1543754225475613E-3</v>
      </c>
      <c r="AC254" s="47" t="str">
        <f t="shared" si="227"/>
        <v>-0,00623968832344346-1,19084346312068i</v>
      </c>
      <c r="AD254" s="20">
        <f t="shared" si="228"/>
        <v>1.5172127733455911</v>
      </c>
      <c r="AE254" s="43">
        <f t="shared" si="229"/>
        <v>-90.300211191295332</v>
      </c>
      <c r="AF254" t="str">
        <f t="shared" si="211"/>
        <v>223,849857273222</v>
      </c>
      <c r="AG254" t="str">
        <f t="shared" si="212"/>
        <v>1+56,8198518475889i</v>
      </c>
      <c r="AH254">
        <f t="shared" si="230"/>
        <v>56.828650907635954</v>
      </c>
      <c r="AI254">
        <f t="shared" si="231"/>
        <v>1.5531986608488118</v>
      </c>
      <c r="AJ254" t="str">
        <f t="shared" si="213"/>
        <v>1+0,0143939459765635i</v>
      </c>
      <c r="AK254">
        <f t="shared" si="232"/>
        <v>1.0001035874752056</v>
      </c>
      <c r="AL254">
        <f t="shared" si="233"/>
        <v>1.4392952026954448E-2</v>
      </c>
      <c r="AM254" t="str">
        <f t="shared" si="214"/>
        <v>1-0,00946093816333199i</v>
      </c>
      <c r="AN254">
        <f t="shared" si="234"/>
        <v>1.0000447536740196</v>
      </c>
      <c r="AO254">
        <f t="shared" si="235"/>
        <v>-9.4606558976796876E-3</v>
      </c>
      <c r="AP254" s="41" t="str">
        <f t="shared" si="236"/>
        <v>0,088751891054176-3,93861620597207i</v>
      </c>
      <c r="AQ254">
        <f t="shared" si="237"/>
        <v>11.909077932468456</v>
      </c>
      <c r="AR254" s="43">
        <f t="shared" si="238"/>
        <v>-88.709128260492093</v>
      </c>
      <c r="AS254" t="str">
        <f t="shared" si="215"/>
        <v>-0,0000166666666666667</v>
      </c>
      <c r="AT254" t="str">
        <f t="shared" si="216"/>
        <v>0,0000144371278144932i</v>
      </c>
      <c r="AU254">
        <f t="shared" si="239"/>
        <v>1.4437127814493201E-5</v>
      </c>
      <c r="AV254">
        <f t="shared" si="240"/>
        <v>1.5707963267948966</v>
      </c>
      <c r="AW254" t="str">
        <f t="shared" si="217"/>
        <v>1+0,0094715895758045i</v>
      </c>
      <c r="AX254">
        <f t="shared" si="241"/>
        <v>1.0000448544985832</v>
      </c>
      <c r="AY254">
        <f t="shared" si="242"/>
        <v>9.4713063557629318E-3</v>
      </c>
      <c r="AZ254" t="str">
        <f t="shared" si="218"/>
        <v>1+3,16666811484397i</v>
      </c>
      <c r="BA254">
        <f t="shared" si="243"/>
        <v>3.3208111884853473</v>
      </c>
      <c r="BB254">
        <f t="shared" si="244"/>
        <v>1.2649175867108537</v>
      </c>
      <c r="BC254" s="41" t="str">
        <f t="shared" si="245"/>
        <v>-3,64443832590656+1,18894953862852i</v>
      </c>
      <c r="BD254">
        <f t="shared" si="246"/>
        <v>11.67185304424904</v>
      </c>
      <c r="BE254" s="43">
        <f t="shared" si="247"/>
        <v>161.93177326974464</v>
      </c>
      <c r="BF254" s="41" t="str">
        <f t="shared" si="248"/>
        <v>1,43859294532379+4,33253688259896i</v>
      </c>
      <c r="BG254" s="20">
        <f t="shared" si="249"/>
        <v>13.189065817594638</v>
      </c>
      <c r="BH254" s="43">
        <f t="shared" si="250"/>
        <v>71.631562078449321</v>
      </c>
      <c r="BI254" s="41" t="str">
        <f t="shared" si="255"/>
        <v>4,35936512767078+14,4595653720026i</v>
      </c>
      <c r="BJ254" s="20">
        <f t="shared" si="251"/>
        <v>23.580930976717514</v>
      </c>
      <c r="BK254" s="43">
        <f t="shared" si="256"/>
        <v>73.222645009252588</v>
      </c>
      <c r="BL254">
        <f t="shared" si="252"/>
        <v>13.189065817594638</v>
      </c>
      <c r="BM254" s="43">
        <f t="shared" si="253"/>
        <v>71.631562078449321</v>
      </c>
    </row>
    <row r="255" spans="14:65" x14ac:dyDescent="0.25">
      <c r="N255" s="9">
        <v>37</v>
      </c>
      <c r="O255" s="34">
        <f t="shared" si="254"/>
        <v>2344.2288153199238</v>
      </c>
      <c r="P255" s="33" t="str">
        <f t="shared" si="206"/>
        <v>66,7780509511648</v>
      </c>
      <c r="Q255" s="4" t="str">
        <f t="shared" si="207"/>
        <v>1+57,4058233746763i</v>
      </c>
      <c r="R255" s="4">
        <f t="shared" si="219"/>
        <v>57.414532631769568</v>
      </c>
      <c r="S255" s="4">
        <f t="shared" si="220"/>
        <v>1.553378252993161</v>
      </c>
      <c r="T255" s="4" t="str">
        <f t="shared" si="208"/>
        <v>1+0,0147292240490852i</v>
      </c>
      <c r="U255" s="4">
        <f t="shared" si="221"/>
        <v>1.0001084691377673</v>
      </c>
      <c r="V255" s="4">
        <f t="shared" si="222"/>
        <v>1.4728159019129191E-2</v>
      </c>
      <c r="W255" t="str">
        <f t="shared" si="209"/>
        <v>1-0,032041540117357i</v>
      </c>
      <c r="X255" s="4">
        <f t="shared" si="223"/>
        <v>1.0005131984602162</v>
      </c>
      <c r="Y255" s="4">
        <f t="shared" si="224"/>
        <v>-3.2030581607975908E-2</v>
      </c>
      <c r="Z255" t="str">
        <f t="shared" si="210"/>
        <v>0,999994504591261+0,00629777570323036i</v>
      </c>
      <c r="AA255" s="4">
        <f t="shared" si="225"/>
        <v>1.0000143354930118</v>
      </c>
      <c r="AB255" s="4">
        <f t="shared" si="226"/>
        <v>6.2977270521320577E-3</v>
      </c>
      <c r="AC255" s="47" t="str">
        <f t="shared" si="227"/>
        <v>-0,00719460853790392-1,16377040173723i</v>
      </c>
      <c r="AD255" s="20">
        <f t="shared" si="228"/>
        <v>1.3175121310432547</v>
      </c>
      <c r="AE255" s="43">
        <f t="shared" si="229"/>
        <v>-90.354206854218432</v>
      </c>
      <c r="AF255" t="str">
        <f t="shared" si="211"/>
        <v>223,849857273222</v>
      </c>
      <c r="AG255" t="str">
        <f t="shared" si="212"/>
        <v>1+58,1433562180684i</v>
      </c>
      <c r="AH255">
        <f t="shared" si="230"/>
        <v>58.151955017017208</v>
      </c>
      <c r="AI255">
        <f t="shared" si="231"/>
        <v>1.5535991527381687</v>
      </c>
      <c r="AJ255" t="str">
        <f t="shared" si="213"/>
        <v>1+0,0147292240490852i</v>
      </c>
      <c r="AK255">
        <f t="shared" si="232"/>
        <v>1.0001084691377673</v>
      </c>
      <c r="AL255">
        <f t="shared" si="233"/>
        <v>1.4728159019129191E-2</v>
      </c>
      <c r="AM255" t="str">
        <f t="shared" si="214"/>
        <v>1-0,00968131172293919i</v>
      </c>
      <c r="AN255">
        <f t="shared" si="234"/>
        <v>1.0000468628002774</v>
      </c>
      <c r="AO255">
        <f t="shared" si="235"/>
        <v>-9.68100927060901E-3</v>
      </c>
      <c r="AP255" s="41" t="str">
        <f t="shared" si="236"/>
        <v>0,0856334321938121-3,8490406984851i</v>
      </c>
      <c r="AQ255">
        <f t="shared" si="237"/>
        <v>11.709199173619968</v>
      </c>
      <c r="AR255" s="43">
        <f t="shared" si="238"/>
        <v>-88.725494127836896</v>
      </c>
      <c r="AS255" t="str">
        <f t="shared" si="215"/>
        <v>-0,0000166666666666667</v>
      </c>
      <c r="AT255" t="str">
        <f t="shared" si="216"/>
        <v>0,0000147734117212324i</v>
      </c>
      <c r="AU255">
        <f t="shared" si="239"/>
        <v>1.47734117212324E-5</v>
      </c>
      <c r="AV255">
        <f t="shared" si="240"/>
        <v>1.5707963267948966</v>
      </c>
      <c r="AW255" t="str">
        <f t="shared" si="217"/>
        <v>1+0,00969221123868019i</v>
      </c>
      <c r="AX255">
        <f t="shared" si="241"/>
        <v>1.0000469683763333</v>
      </c>
      <c r="AY255">
        <f t="shared" si="242"/>
        <v>9.6919077637078084E-3</v>
      </c>
      <c r="AZ255" t="str">
        <f t="shared" si="218"/>
        <v>1+3,24042929079874i</v>
      </c>
      <c r="BA255">
        <f t="shared" si="243"/>
        <v>3.3912213122511519</v>
      </c>
      <c r="BB255">
        <f t="shared" si="244"/>
        <v>1.2714674256480749</v>
      </c>
      <c r="BC255" s="41" t="str">
        <f t="shared" si="245"/>
        <v>-3,64442291885231+1,16347537551364i</v>
      </c>
      <c r="BD255">
        <f t="shared" si="246"/>
        <v>11.654073670361209</v>
      </c>
      <c r="BE255" s="43">
        <f t="shared" si="247"/>
        <v>162.29441186770799</v>
      </c>
      <c r="BF255" s="41" t="str">
        <f t="shared" si="248"/>
        <v>1,38023840142059+4,23290077450281i</v>
      </c>
      <c r="BG255" s="20">
        <f t="shared" si="249"/>
        <v>12.971585801404469</v>
      </c>
      <c r="BH255" s="43">
        <f t="shared" si="250"/>
        <v>71.94020501348956</v>
      </c>
      <c r="BI255" s="41" t="str">
        <f t="shared" si="255"/>
        <v>4,16617962913012+14,1271645268326i</v>
      </c>
      <c r="BJ255" s="20">
        <f t="shared" si="251"/>
        <v>23.363272843981168</v>
      </c>
      <c r="BK255" s="43">
        <f t="shared" si="256"/>
        <v>73.568917739871068</v>
      </c>
      <c r="BL255">
        <f t="shared" si="252"/>
        <v>12.971585801404469</v>
      </c>
      <c r="BM255" s="43">
        <f t="shared" si="253"/>
        <v>71.94020501348956</v>
      </c>
    </row>
    <row r="256" spans="14:65" x14ac:dyDescent="0.25">
      <c r="N256" s="9">
        <v>38</v>
      </c>
      <c r="O256" s="34">
        <f t="shared" si="254"/>
        <v>2398.8329190194918</v>
      </c>
      <c r="P256" s="33" t="str">
        <f t="shared" si="206"/>
        <v>66,7780509511648</v>
      </c>
      <c r="Q256" s="4" t="str">
        <f t="shared" si="207"/>
        <v>1+58,7429767754128i</v>
      </c>
      <c r="R256" s="4">
        <f t="shared" si="219"/>
        <v>58.751487814664642</v>
      </c>
      <c r="S256" s="4">
        <f t="shared" si="220"/>
        <v>1.5537746592872661</v>
      </c>
      <c r="T256" s="4" t="str">
        <f t="shared" si="208"/>
        <v>1+0,015072311751162i</v>
      </c>
      <c r="U256" s="4">
        <f t="shared" si="221"/>
        <v>1.0001135808404584</v>
      </c>
      <c r="V256" s="4">
        <f t="shared" si="222"/>
        <v>1.5071170558003118E-2</v>
      </c>
      <c r="W256" t="str">
        <f t="shared" si="209"/>
        <v>1-0,032787883463974i</v>
      </c>
      <c r="X256" s="4">
        <f t="shared" si="223"/>
        <v>1.0005373782633247</v>
      </c>
      <c r="Y256" s="4">
        <f t="shared" si="224"/>
        <v>-3.2776141550203509E-2</v>
      </c>
      <c r="Z256" t="str">
        <f t="shared" si="210"/>
        <v>0,999994245600627+0,0064444697440716i</v>
      </c>
      <c r="AA256" s="4">
        <f t="shared" si="225"/>
        <v>1.000015011099658</v>
      </c>
      <c r="AB256" s="4">
        <f t="shared" si="226"/>
        <v>6.4444176135208869E-3</v>
      </c>
      <c r="AC256" s="47" t="str">
        <f t="shared" si="227"/>
        <v>-0,00810658636242893-1,13731288962679i</v>
      </c>
      <c r="AD256" s="20">
        <f t="shared" si="228"/>
        <v>1.1178198667877361</v>
      </c>
      <c r="AE256" s="43">
        <f t="shared" si="229"/>
        <v>-90.408388336466942</v>
      </c>
      <c r="AF256" t="str">
        <f t="shared" si="211"/>
        <v>223,849857273222</v>
      </c>
      <c r="AG256" t="str">
        <f t="shared" si="212"/>
        <v>1+59,4976889656329i</v>
      </c>
      <c r="AH256">
        <f t="shared" si="230"/>
        <v>59.506092059983196</v>
      </c>
      <c r="AI256">
        <f t="shared" si="231"/>
        <v>1.5539905336503854</v>
      </c>
      <c r="AJ256" t="str">
        <f t="shared" si="213"/>
        <v>1+0,015072311751162i</v>
      </c>
      <c r="AK256">
        <f t="shared" si="232"/>
        <v>1.0001135808404584</v>
      </c>
      <c r="AL256">
        <f t="shared" si="233"/>
        <v>1.5071170558003118E-2</v>
      </c>
      <c r="AM256" t="str">
        <f t="shared" si="214"/>
        <v>1-0,00990681844216916i</v>
      </c>
      <c r="AN256">
        <f t="shared" si="234"/>
        <v>1.0000490713218257</v>
      </c>
      <c r="AO256">
        <f t="shared" si="235"/>
        <v>-9.9064943595173257E-3</v>
      </c>
      <c r="AP256" s="41" t="str">
        <f t="shared" si="236"/>
        <v>0,0826552459602351-3,76150117555612i</v>
      </c>
      <c r="AQ256">
        <f t="shared" si="237"/>
        <v>11.509320552398364</v>
      </c>
      <c r="AR256" s="43">
        <f t="shared" si="238"/>
        <v>-88.741184832724713</v>
      </c>
      <c r="AS256" t="str">
        <f t="shared" si="215"/>
        <v>-0,0000166666666666667</v>
      </c>
      <c r="AT256" t="str">
        <f t="shared" si="216"/>
        <v>0,0000151175286864155i</v>
      </c>
      <c r="AU256">
        <f t="shared" si="239"/>
        <v>1.5117528686415501E-5</v>
      </c>
      <c r="AV256">
        <f t="shared" si="240"/>
        <v>1.5707963267948966</v>
      </c>
      <c r="AW256" t="str">
        <f t="shared" si="217"/>
        <v>1+0,00991797184024618i</v>
      </c>
      <c r="AX256">
        <f t="shared" si="241"/>
        <v>1.0000491818732837</v>
      </c>
      <c r="AY256">
        <f t="shared" si="242"/>
        <v>9.917646661818328E-3</v>
      </c>
      <c r="AZ256" t="str">
        <f t="shared" si="218"/>
        <v>1+3,31590858525564i</v>
      </c>
      <c r="BA256">
        <f t="shared" si="243"/>
        <v>3.4634159071315791</v>
      </c>
      <c r="BB256">
        <f t="shared" si="244"/>
        <v>1.2778938594914213</v>
      </c>
      <c r="BC256" s="41" t="str">
        <f t="shared" si="245"/>
        <v>-3,64440678582557+1,13861808836566i</v>
      </c>
      <c r="BD256">
        <f t="shared" si="246"/>
        <v>11.637024732720127</v>
      </c>
      <c r="BE256" s="43">
        <f t="shared" si="247"/>
        <v>162.6496855181181</v>
      </c>
      <c r="BF256" s="41" t="str">
        <f t="shared" si="248"/>
        <v>1,3245087266096+4,1356005066956i</v>
      </c>
      <c r="BG256" s="20">
        <f t="shared" si="249"/>
        <v>12.754844599507864</v>
      </c>
      <c r="BH256" s="43">
        <f t="shared" si="250"/>
        <v>72.241297181651106</v>
      </c>
      <c r="BI256" s="41" t="str">
        <f t="shared" si="255"/>
        <v>3,98168393863533+13,8025531672362i</v>
      </c>
      <c r="BJ256" s="20">
        <f t="shared" si="251"/>
        <v>23.146345285118478</v>
      </c>
      <c r="BK256" s="43">
        <f t="shared" si="256"/>
        <v>73.908500685393363</v>
      </c>
      <c r="BL256">
        <f t="shared" si="252"/>
        <v>12.754844599507864</v>
      </c>
      <c r="BM256" s="43">
        <f t="shared" si="253"/>
        <v>72.241297181651106</v>
      </c>
    </row>
    <row r="257" spans="14:65" x14ac:dyDescent="0.25">
      <c r="N257" s="9">
        <v>39</v>
      </c>
      <c r="O257" s="34">
        <f t="shared" si="254"/>
        <v>2454.7089156850338</v>
      </c>
      <c r="P257" s="33" t="str">
        <f t="shared" si="206"/>
        <v>66,7780509511648</v>
      </c>
      <c r="Q257" s="4" t="str">
        <f t="shared" si="207"/>
        <v>1+60,1112764799909i</v>
      </c>
      <c r="R257" s="4">
        <f t="shared" si="219"/>
        <v>60.119593811451409</v>
      </c>
      <c r="S257" s="4">
        <f t="shared" si="220"/>
        <v>1.5541620474421995</v>
      </c>
      <c r="T257" s="4" t="str">
        <f t="shared" si="208"/>
        <v>1+0,0154233909924349i</v>
      </c>
      <c r="U257" s="4">
        <f t="shared" si="221"/>
        <v>1.0001189334222733</v>
      </c>
      <c r="V257" s="4">
        <f t="shared" si="222"/>
        <v>1.542216818978776E-2</v>
      </c>
      <c r="W257" t="str">
        <f t="shared" si="209"/>
        <v>1-0,0335516113804026i</v>
      </c>
      <c r="X257" s="4">
        <f t="shared" si="223"/>
        <v>1.0005626969991543</v>
      </c>
      <c r="Y257" s="4">
        <f t="shared" si="224"/>
        <v>-3.3539030075236065E-2</v>
      </c>
      <c r="Z257" t="str">
        <f t="shared" si="210"/>
        <v>0,999993974404139+0,0065945807280738i</v>
      </c>
      <c r="AA257" s="4">
        <f t="shared" si="225"/>
        <v>1.0000157185462459</v>
      </c>
      <c r="AB257" s="4">
        <f t="shared" si="226"/>
        <v>6.5945248692275875E-3</v>
      </c>
      <c r="AC257" s="47" t="str">
        <f t="shared" si="227"/>
        <v>-0,00897755278151754-1,11145699853226i</v>
      </c>
      <c r="AD257" s="20">
        <f t="shared" si="228"/>
        <v>0.91813663175170468</v>
      </c>
      <c r="AE257" s="43">
        <f t="shared" si="229"/>
        <v>-90.46278416480726</v>
      </c>
      <c r="AF257" t="str">
        <f t="shared" si="211"/>
        <v>223,849857273222</v>
      </c>
      <c r="AG257" t="str">
        <f t="shared" si="212"/>
        <v>1+60,883568175432i</v>
      </c>
      <c r="AH257">
        <f t="shared" si="230"/>
        <v>60.891780018098316</v>
      </c>
      <c r="AI257">
        <f t="shared" si="231"/>
        <v>1.5543730106209164</v>
      </c>
      <c r="AJ257" t="str">
        <f t="shared" si="213"/>
        <v>1+0,0154233909924349i</v>
      </c>
      <c r="AK257">
        <f t="shared" si="232"/>
        <v>1.0001189334222733</v>
      </c>
      <c r="AL257">
        <f t="shared" si="233"/>
        <v>1.542216818978776E-2</v>
      </c>
      <c r="AM257" t="str">
        <f t="shared" si="214"/>
        <v>1-0,0101375778876694i</v>
      </c>
      <c r="AN257">
        <f t="shared" si="234"/>
        <v>1.0000513839225607</v>
      </c>
      <c r="AO257">
        <f t="shared" si="235"/>
        <v>-1.0137230627815125E-2</v>
      </c>
      <c r="AP257" s="41" t="str">
        <f t="shared" si="236"/>
        <v>0,0798110261819307-3,67595154462408i</v>
      </c>
      <c r="AQ257">
        <f t="shared" si="237"/>
        <v>11.309442326083408</v>
      </c>
      <c r="AR257" s="43">
        <f t="shared" si="238"/>
        <v>-88.756208680330801</v>
      </c>
      <c r="AS257" t="str">
        <f t="shared" si="215"/>
        <v>-0,0000166666666666667</v>
      </c>
      <c r="AT257" t="str">
        <f t="shared" si="216"/>
        <v>0,0000154696611654122i</v>
      </c>
      <c r="AU257">
        <f t="shared" si="239"/>
        <v>1.5469661165412201E-5</v>
      </c>
      <c r="AV257">
        <f t="shared" si="240"/>
        <v>1.5707963267948966</v>
      </c>
      <c r="AW257" t="str">
        <f t="shared" si="217"/>
        <v>1+0,0101489910817617i</v>
      </c>
      <c r="AX257">
        <f t="shared" si="241"/>
        <v>1.0000514996838801</v>
      </c>
      <c r="AY257">
        <f t="shared" si="242"/>
        <v>1.0148642647767703E-2</v>
      </c>
      <c r="AZ257" t="str">
        <f t="shared" si="218"/>
        <v>1+3,39314601833567i</v>
      </c>
      <c r="BA257">
        <f t="shared" si="243"/>
        <v>3.5374340844384946</v>
      </c>
      <c r="BB257">
        <f t="shared" si="244"/>
        <v>1.2841981715951196</v>
      </c>
      <c r="BC257" s="41" t="str">
        <f t="shared" si="245"/>
        <v>-3,64438989262581+1,1143644965153i</v>
      </c>
      <c r="BD257">
        <f t="shared" si="246"/>
        <v>11.620678777410422</v>
      </c>
      <c r="BE257" s="43">
        <f t="shared" si="247"/>
        <v>162.99766089931393</v>
      </c>
      <c r="BF257" s="41" t="str">
        <f t="shared" si="248"/>
        <v>1,27128592118529+4,04057838545387i</v>
      </c>
      <c r="BG257" s="20">
        <f t="shared" si="249"/>
        <v>12.538815409162126</v>
      </c>
      <c r="BH257" s="43">
        <f t="shared" si="250"/>
        <v>72.534876734506582</v>
      </c>
      <c r="BI257" s="41" t="str">
        <f t="shared" si="255"/>
        <v>3,80548739510213+13,4855392290178i</v>
      </c>
      <c r="BJ257" s="20">
        <f t="shared" si="251"/>
        <v>22.930121103493811</v>
      </c>
      <c r="BK257" s="43">
        <f t="shared" si="256"/>
        <v>74.241452218983085</v>
      </c>
      <c r="BL257">
        <f t="shared" si="252"/>
        <v>12.538815409162126</v>
      </c>
      <c r="BM257" s="43">
        <f t="shared" si="253"/>
        <v>72.534876734506582</v>
      </c>
    </row>
    <row r="258" spans="14:65" x14ac:dyDescent="0.25">
      <c r="N258" s="9">
        <v>40</v>
      </c>
      <c r="O258" s="34">
        <f t="shared" si="254"/>
        <v>2511.8864315095811</v>
      </c>
      <c r="P258" s="33" t="str">
        <f t="shared" si="206"/>
        <v>66,7780509511648</v>
      </c>
      <c r="Q258" s="4" t="str">
        <f t="shared" si="207"/>
        <v>1+61,5114479790258i</v>
      </c>
      <c r="R258" s="4">
        <f t="shared" si="219"/>
        <v>61.519576010213193</v>
      </c>
      <c r="S258" s="4">
        <f t="shared" si="220"/>
        <v>1.5545406223909406</v>
      </c>
      <c r="T258" s="4" t="str">
        <f t="shared" si="208"/>
        <v>1+0,0157826479197648i</v>
      </c>
      <c r="U258" s="4">
        <f t="shared" si="221"/>
        <v>1.0001245382327939</v>
      </c>
      <c r="V258" s="4">
        <f t="shared" si="222"/>
        <v>1.5781337671933647E-2</v>
      </c>
      <c r="W258" t="str">
        <f t="shared" si="209"/>
        <v>1-0,0343331288052933i</v>
      </c>
      <c r="X258" s="4">
        <f t="shared" si="223"/>
        <v>1.0005892082835797</v>
      </c>
      <c r="Y258" s="4">
        <f t="shared" si="224"/>
        <v>-3.4319648122635091E-2</v>
      </c>
      <c r="Z258" t="str">
        <f t="shared" si="210"/>
        <v>0,999993690426555+0,00674818824606766i</v>
      </c>
      <c r="AA258" s="4">
        <f t="shared" si="225"/>
        <v>1.0000164593333076</v>
      </c>
      <c r="AB258" s="4">
        <f t="shared" si="226"/>
        <v>6.7481283922863622E-3</v>
      </c>
      <c r="AC258" s="47" t="str">
        <f t="shared" si="227"/>
        <v>-0,00980935209172644-1,086189112524i</v>
      </c>
      <c r="AD258" s="20">
        <f t="shared" si="228"/>
        <v>0.71846309612902004</v>
      </c>
      <c r="AE258" s="43">
        <f t="shared" si="229"/>
        <v>-90.517422969259954</v>
      </c>
      <c r="AF258" t="str">
        <f t="shared" si="211"/>
        <v>223,849857273222</v>
      </c>
      <c r="AG258" t="str">
        <f t="shared" si="212"/>
        <v>1+62,3017286589673i</v>
      </c>
      <c r="AH258">
        <f t="shared" si="230"/>
        <v>62.309753601627946</v>
      </c>
      <c r="AI258">
        <f t="shared" si="231"/>
        <v>1.5547467859962409</v>
      </c>
      <c r="AJ258" t="str">
        <f t="shared" si="213"/>
        <v>1+0,0157826479197648i</v>
      </c>
      <c r="AK258">
        <f t="shared" si="232"/>
        <v>1.0001245382327939</v>
      </c>
      <c r="AL258">
        <f t="shared" si="233"/>
        <v>1.5781337671933647E-2</v>
      </c>
      <c r="AM258" t="str">
        <f t="shared" si="214"/>
        <v>1-0,0103737124111525i</v>
      </c>
      <c r="AN258">
        <f t="shared" si="234"/>
        <v>1.0000538055070785</v>
      </c>
      <c r="AO258">
        <f t="shared" si="235"/>
        <v>-1.0373340316595944E-2</v>
      </c>
      <c r="AP258" s="41" t="str">
        <f t="shared" si="236"/>
        <v>0,0770947498842882-3,59234674671895i</v>
      </c>
      <c r="AQ258">
        <f t="shared" si="237"/>
        <v>11.109564752794711</v>
      </c>
      <c r="AR258" s="43">
        <f t="shared" si="238"/>
        <v>-88.770573625035254</v>
      </c>
      <c r="AS258" t="str">
        <f t="shared" si="215"/>
        <v>-0,0000166666666666667</v>
      </c>
      <c r="AT258" t="str">
        <f t="shared" si="216"/>
        <v>0,0000158299958635241i</v>
      </c>
      <c r="AU258">
        <f t="shared" si="239"/>
        <v>1.5829995863524102E-5</v>
      </c>
      <c r="AV258">
        <f t="shared" si="240"/>
        <v>1.5707963267948966</v>
      </c>
      <c r="AW258" t="str">
        <f t="shared" si="217"/>
        <v>1+0,0103853914526867i</v>
      </c>
      <c r="AX258">
        <f t="shared" si="241"/>
        <v>1.0000539267237671</v>
      </c>
      <c r="AY258">
        <f t="shared" si="242"/>
        <v>1.0385018100022866E-2</v>
      </c>
      <c r="AZ258" t="str">
        <f t="shared" si="218"/>
        <v>1+3,47218254234825i</v>
      </c>
      <c r="BA258">
        <f t="shared" si="243"/>
        <v>3.613315874288872</v>
      </c>
      <c r="BB258">
        <f t="shared" si="244"/>
        <v>1.2903816993495867</v>
      </c>
      <c r="BC258" s="41" t="str">
        <f t="shared" si="245"/>
        <v>-3,64437220344194+1,09070173930853i</v>
      </c>
      <c r="BD258">
        <f t="shared" si="246"/>
        <v>11.605009156548039</v>
      </c>
      <c r="BE258" s="43">
        <f t="shared" si="247"/>
        <v>163.33840762635211</v>
      </c>
      <c r="BF258" s="41" t="str">
        <f t="shared" si="248"/>
        <v>1,22045728434478+3,9477783319758i</v>
      </c>
      <c r="BG258" s="20">
        <f t="shared" si="249"/>
        <v>12.32347225267706</v>
      </c>
      <c r="BH258" s="43">
        <f t="shared" si="250"/>
        <v>72.820984657092126</v>
      </c>
      <c r="BI258" s="41" t="str">
        <f t="shared" si="255"/>
        <v>3,63721688133609+13,175936006658i</v>
      </c>
      <c r="BJ258" s="20">
        <f t="shared" si="251"/>
        <v>22.714573909342764</v>
      </c>
      <c r="BK258" s="43">
        <f t="shared" si="256"/>
        <v>74.567834001316896</v>
      </c>
      <c r="BL258">
        <f t="shared" si="252"/>
        <v>12.32347225267706</v>
      </c>
      <c r="BM258" s="43">
        <f t="shared" si="253"/>
        <v>72.820984657092126</v>
      </c>
    </row>
    <row r="259" spans="14:65" x14ac:dyDescent="0.25">
      <c r="N259" s="9">
        <v>41</v>
      </c>
      <c r="O259" s="34">
        <f t="shared" si="254"/>
        <v>2570.3957827688669</v>
      </c>
      <c r="P259" s="33" t="str">
        <f t="shared" si="206"/>
        <v>66,7780509511648</v>
      </c>
      <c r="Q259" s="4" t="str">
        <f t="shared" si="207"/>
        <v>1+62,9442336619791i</v>
      </c>
      <c r="R259" s="4">
        <f t="shared" si="219"/>
        <v>62.952176700204916</v>
      </c>
      <c r="S259" s="4">
        <f t="shared" si="220"/>
        <v>1.5549105844246329</v>
      </c>
      <c r="T259" s="4" t="str">
        <f t="shared" si="208"/>
        <v>1+0,0161502730159297i</v>
      </c>
      <c r="U259" s="4">
        <f t="shared" si="221"/>
        <v>1.0001304071562314</v>
      </c>
      <c r="V259" s="4">
        <f t="shared" si="222"/>
        <v>1.6148869069970765E-2</v>
      </c>
      <c r="W259" t="str">
        <f t="shared" si="209"/>
        <v>1-0,035132850109529i</v>
      </c>
      <c r="X259" s="4">
        <f t="shared" si="223"/>
        <v>1.0006169682534964</v>
      </c>
      <c r="Y259" s="4">
        <f t="shared" si="224"/>
        <v>-3.5118405778799364E-2</v>
      </c>
      <c r="Z259" t="str">
        <f t="shared" si="210"/>
        <v>0,99999339306552+0,00690537374279237i</v>
      </c>
      <c r="AA259" s="4">
        <f t="shared" si="225"/>
        <v>1.0000172350320864</v>
      </c>
      <c r="AB259" s="4">
        <f t="shared" si="226"/>
        <v>6.9053096083672013E-3</v>
      </c>
      <c r="AC259" s="47" t="str">
        <f t="shared" si="227"/>
        <v>-0,0106037457870527-1,06149592122428i</v>
      </c>
      <c r="AD259" s="20">
        <f t="shared" si="228"/>
        <v>0.51879995054179018</v>
      </c>
      <c r="AE259" s="43">
        <f t="shared" si="229"/>
        <v>-90.572333497276688</v>
      </c>
      <c r="AF259" t="str">
        <f t="shared" si="211"/>
        <v>223,849857273222</v>
      </c>
      <c r="AG259" t="str">
        <f t="shared" si="212"/>
        <v>1+63,7529223436981i</v>
      </c>
      <c r="AH259">
        <f t="shared" si="230"/>
        <v>63.760764639091349</v>
      </c>
      <c r="AI259">
        <f t="shared" si="231"/>
        <v>1.5551120575390154</v>
      </c>
      <c r="AJ259" t="str">
        <f t="shared" si="213"/>
        <v>1+0,0161502730159297i</v>
      </c>
      <c r="AK259">
        <f t="shared" si="232"/>
        <v>1.0001304071562314</v>
      </c>
      <c r="AL259">
        <f t="shared" si="233"/>
        <v>1.6148869069970765E-2</v>
      </c>
      <c r="AM259" t="str">
        <f t="shared" si="214"/>
        <v>1-0,0106153472142682i</v>
      </c>
      <c r="AN259">
        <f t="shared" si="234"/>
        <v>1.0000563412110737</v>
      </c>
      <c r="AO259">
        <f t="shared" si="235"/>
        <v>-1.0614948508980633E-2</v>
      </c>
      <c r="AP259" s="41" t="str">
        <f t="shared" si="236"/>
        <v>0,0745006645988126-3,5106427340022i</v>
      </c>
      <c r="AQ259">
        <f t="shared" si="237"/>
        <v>10.909688092037806</v>
      </c>
      <c r="AR259" s="43">
        <f t="shared" si="238"/>
        <v>-88.784287274585807</v>
      </c>
      <c r="AS259" t="str">
        <f t="shared" si="215"/>
        <v>-0,0000166666666666667</v>
      </c>
      <c r="AT259" t="str">
        <f t="shared" si="216"/>
        <v>0,0000161987238349775i</v>
      </c>
      <c r="AU259">
        <f t="shared" si="239"/>
        <v>1.6198723834977501E-5</v>
      </c>
      <c r="AV259">
        <f t="shared" si="240"/>
        <v>1.5707963267948966</v>
      </c>
      <c r="AW259" t="str">
        <f t="shared" si="217"/>
        <v>1+0,0106272982956267i</v>
      </c>
      <c r="AX259">
        <f t="shared" si="241"/>
        <v>1.0000564681402067</v>
      </c>
      <c r="AY259">
        <f t="shared" si="242"/>
        <v>1.0626898242259741E-2</v>
      </c>
      <c r="AZ259" t="str">
        <f t="shared" si="218"/>
        <v>1+3,55306006350453i</v>
      </c>
      <c r="BA259">
        <f t="shared" si="243"/>
        <v>3.6911022493112835</v>
      </c>
      <c r="BB259">
        <f t="shared" si="244"/>
        <v>1.2964458291505989</v>
      </c>
      <c r="BC259" s="41" t="str">
        <f t="shared" si="245"/>
        <v>-3,64435368077656+1,06761726928256i</v>
      </c>
      <c r="BD259">
        <f t="shared" si="246"/>
        <v>11.58999002255813</v>
      </c>
      <c r="BE259" s="43">
        <f t="shared" si="247"/>
        <v>163.67199795907149</v>
      </c>
      <c r="BF259" s="41" t="str">
        <f t="shared" si="248"/>
        <v>1,17191517676111+3,85714582552167i</v>
      </c>
      <c r="BG259" s="20">
        <f t="shared" si="249"/>
        <v>12.108789973099922</v>
      </c>
      <c r="BH259" s="43">
        <f t="shared" si="250"/>
        <v>73.099664461794731</v>
      </c>
      <c r="BI259" s="41" t="str">
        <f t="shared" si="255"/>
        <v>3,47651603785111+12,8735619656511i</v>
      </c>
      <c r="BJ259" s="20">
        <f t="shared" si="251"/>
        <v>22.499678114595923</v>
      </c>
      <c r="BK259" s="43">
        <f t="shared" si="256"/>
        <v>74.88771068448564</v>
      </c>
      <c r="BL259">
        <f t="shared" si="252"/>
        <v>12.108789973099922</v>
      </c>
      <c r="BM259" s="43">
        <f t="shared" si="253"/>
        <v>73.099664461794731</v>
      </c>
    </row>
    <row r="260" spans="14:65" x14ac:dyDescent="0.25">
      <c r="N260" s="9">
        <v>42</v>
      </c>
      <c r="O260" s="34">
        <f t="shared" si="254"/>
        <v>2630.2679918953822</v>
      </c>
      <c r="P260" s="33" t="str">
        <f t="shared" si="206"/>
        <v>66,7780509511648</v>
      </c>
      <c r="Q260" s="4" t="str">
        <f t="shared" si="207"/>
        <v>1+64,4103932107855i</v>
      </c>
      <c r="R260" s="4">
        <f t="shared" si="219"/>
        <v>64.418155465427631</v>
      </c>
      <c r="S260" s="4">
        <f t="shared" si="220"/>
        <v>1.5552721292967122</v>
      </c>
      <c r="T260" s="4" t="str">
        <f t="shared" si="208"/>
        <v>1+0,0165264612006218i</v>
      </c>
      <c r="U260" s="4">
        <f t="shared" si="221"/>
        <v>1.0001365526365966</v>
      </c>
      <c r="V260" s="4">
        <f t="shared" si="222"/>
        <v>1.6524956856516258E-2</v>
      </c>
      <c r="W260" t="str">
        <f t="shared" si="209"/>
        <v>1-0,0359511993159311i</v>
      </c>
      <c r="X260" s="4">
        <f t="shared" si="223"/>
        <v>1.0006460356850737</v>
      </c>
      <c r="Y260" s="4">
        <f t="shared" si="224"/>
        <v>-3.5935722476334912E-2</v>
      </c>
      <c r="Z260" t="str">
        <f t="shared" si="210"/>
        <v>0,999993081690291+0,00706622056007895i</v>
      </c>
      <c r="AA260" s="4">
        <f t="shared" si="225"/>
        <v>1.0000180472878721</v>
      </c>
      <c r="AB260" s="4">
        <f t="shared" si="226"/>
        <v>7.0661518388681881E-3</v>
      </c>
      <c r="AC260" s="47" t="str">
        <f t="shared" si="227"/>
        <v>-0,011362416271021-1,03736441316417i</v>
      </c>
      <c r="AD260" s="20">
        <f t="shared" si="228"/>
        <v>0.31914790748938804</v>
      </c>
      <c r="AE260" s="43">
        <f t="shared" si="229"/>
        <v>-90.627544627925488</v>
      </c>
      <c r="AF260" t="str">
        <f t="shared" si="211"/>
        <v>223,849857273222</v>
      </c>
      <c r="AG260" t="str">
        <f t="shared" si="212"/>
        <v>1+65,2379186717253i</v>
      </c>
      <c r="AH260">
        <f t="shared" si="230"/>
        <v>65.24558247589367</v>
      </c>
      <c r="AI260">
        <f t="shared" si="231"/>
        <v>1.5554690185309372</v>
      </c>
      <c r="AJ260" t="str">
        <f t="shared" si="213"/>
        <v>1+0,0165264612006218i</v>
      </c>
      <c r="AK260">
        <f t="shared" si="232"/>
        <v>1.0001365526365966</v>
      </c>
      <c r="AL260">
        <f t="shared" si="233"/>
        <v>1.6524956856516258E-2</v>
      </c>
      <c r="AM260" t="str">
        <f t="shared" si="214"/>
        <v>1-0,0108626104149876i</v>
      </c>
      <c r="AN260">
        <f t="shared" si="234"/>
        <v>1.0000589964122255</v>
      </c>
      <c r="AO260">
        <f t="shared" si="235"/>
        <v>-1.0862183195936046E-2</v>
      </c>
      <c r="AP260" s="41" t="str">
        <f t="shared" si="236"/>
        <v>0,0720232762386617-3,43079644774797i</v>
      </c>
      <c r="AQ260">
        <f t="shared" si="237"/>
        <v>10.709812605252875</v>
      </c>
      <c r="AR260" s="43">
        <f t="shared" si="238"/>
        <v>-88.797356894090044</v>
      </c>
      <c r="AS260" t="str">
        <f t="shared" si="215"/>
        <v>-0,0000166666666666667</v>
      </c>
      <c r="AT260" t="str">
        <f t="shared" si="216"/>
        <v>0,0000165760405842237i</v>
      </c>
      <c r="AU260">
        <f t="shared" si="239"/>
        <v>1.6576040584223701E-5</v>
      </c>
      <c r="AV260">
        <f t="shared" si="240"/>
        <v>1.5707963267948966</v>
      </c>
      <c r="AW260" t="str">
        <f t="shared" si="217"/>
        <v>1+0,010874839872792i</v>
      </c>
      <c r="AX260">
        <f t="shared" si="241"/>
        <v>1.000059129322991</v>
      </c>
      <c r="AY260">
        <f t="shared" si="242"/>
        <v>1.087441120925503E-2</v>
      </c>
      <c r="AZ260" t="str">
        <f t="shared" si="218"/>
        <v>1+3,63582146413679i</v>
      </c>
      <c r="BA260">
        <f t="shared" si="243"/>
        <v>3.7708351487538927</v>
      </c>
      <c r="BB260">
        <f t="shared" si="244"/>
        <v>1.3023919915809186</v>
      </c>
      <c r="BC260" s="41" t="str">
        <f t="shared" si="245"/>
        <v>-3,64433428536664+1,04509884550751i</v>
      </c>
      <c r="BD260">
        <f t="shared" si="246"/>
        <v>11.575596320750048</v>
      </c>
      <c r="BE260" s="43">
        <f t="shared" si="247"/>
        <v>163.99850652224433</v>
      </c>
      <c r="BF260" s="41" t="str">
        <f t="shared" si="248"/>
        <v>1,12555679374954+3,76862784918641i</v>
      </c>
      <c r="BG260" s="20">
        <f t="shared" si="249"/>
        <v>11.894744228239437</v>
      </c>
      <c r="BH260" s="43">
        <f t="shared" si="250"/>
        <v>73.370961894318853</v>
      </c>
      <c r="BI260" s="41" t="str">
        <f t="shared" si="255"/>
        <v>3,32304451177168+12,5782405634887i</v>
      </c>
      <c r="BJ260" s="20">
        <f t="shared" si="251"/>
        <v>22.285408926002926</v>
      </c>
      <c r="BK260" s="43">
        <f t="shared" si="256"/>
        <v>75.201149628154312</v>
      </c>
      <c r="BL260">
        <f t="shared" si="252"/>
        <v>11.894744228239437</v>
      </c>
      <c r="BM260" s="43">
        <f t="shared" si="253"/>
        <v>73.370961894318853</v>
      </c>
    </row>
    <row r="261" spans="14:65" x14ac:dyDescent="0.25">
      <c r="N261" s="9">
        <v>43</v>
      </c>
      <c r="O261" s="34">
        <f t="shared" si="254"/>
        <v>2691.5348039269184</v>
      </c>
      <c r="P261" s="33" t="str">
        <f t="shared" si="206"/>
        <v>66,7780509511648</v>
      </c>
      <c r="Q261" s="4" t="str">
        <f t="shared" si="207"/>
        <v>1+65,9107040026448i</v>
      </c>
      <c r="R261" s="4">
        <f t="shared" si="219"/>
        <v>65.918289587369131</v>
      </c>
      <c r="S261" s="4">
        <f t="shared" si="220"/>
        <v>1.5556254483247645</v>
      </c>
      <c r="T261" s="4" t="str">
        <f t="shared" si="208"/>
        <v>1+0,0169114119337961i</v>
      </c>
      <c r="U261" s="4">
        <f t="shared" si="221"/>
        <v>1.0001429877040555</v>
      </c>
      <c r="V261" s="4">
        <f t="shared" si="222"/>
        <v>1.6909800012491583E-2</v>
      </c>
      <c r="W261" t="str">
        <f t="shared" si="209"/>
        <v>1-0,036788610324081i</v>
      </c>
      <c r="X261" s="4">
        <f t="shared" si="223"/>
        <v>1.0006764721175256</v>
      </c>
      <c r="Y261" s="4">
        <f t="shared" si="224"/>
        <v>-3.6772027197095075E-2</v>
      </c>
      <c r="Z261" t="str">
        <f t="shared" si="210"/>
        <v>0,999992755640399+0,00723081398103899i</v>
      </c>
      <c r="AA261" s="4">
        <f t="shared" si="225"/>
        <v>1.0000188978234896</v>
      </c>
      <c r="AB261" s="4">
        <f t="shared" si="226"/>
        <v>7.2307403450067214E-3</v>
      </c>
      <c r="AC261" s="47" t="str">
        <f t="shared" si="227"/>
        <v>-0,0120869704031417-1,01378186927135i</v>
      </c>
      <c r="AD261" s="20">
        <f t="shared" si="228"/>
        <v>0.11950770284267824</v>
      </c>
      <c r="AE261" s="43">
        <f t="shared" si="229"/>
        <v>-90.683085386087185</v>
      </c>
      <c r="AF261" t="str">
        <f t="shared" si="211"/>
        <v>223,849857273222</v>
      </c>
      <c r="AG261" t="str">
        <f t="shared" si="212"/>
        <v>1+66,7575050077584i</v>
      </c>
      <c r="AH261">
        <f t="shared" si="230"/>
        <v>66.764994382242605</v>
      </c>
      <c r="AI261">
        <f t="shared" si="231"/>
        <v>1.5558178578733655</v>
      </c>
      <c r="AJ261" t="str">
        <f t="shared" si="213"/>
        <v>1+0,0169114119337961i</v>
      </c>
      <c r="AK261">
        <f t="shared" si="232"/>
        <v>1.0001429877040555</v>
      </c>
      <c r="AL261">
        <f t="shared" si="233"/>
        <v>1.6909800012491583E-2</v>
      </c>
      <c r="AM261" t="str">
        <f t="shared" si="214"/>
        <v>1-0,0111156331155328i</v>
      </c>
      <c r="AN261">
        <f t="shared" si="234"/>
        <v>1.0000617767415967</v>
      </c>
      <c r="AO261">
        <f t="shared" si="235"/>
        <v>-1.1115175343598745E-2</v>
      </c>
      <c r="AP261" s="41" t="str">
        <f t="shared" si="236"/>
        <v>0,0696573375154569-3,35276579675983i</v>
      </c>
      <c r="AQ261">
        <f t="shared" si="237"/>
        <v>10.509938556367832</v>
      </c>
      <c r="AR261" s="43">
        <f t="shared" si="238"/>
        <v>-88.809789409838444</v>
      </c>
      <c r="AS261" t="str">
        <f t="shared" si="215"/>
        <v>-0,0000166666666666667</v>
      </c>
      <c r="AT261" t="str">
        <f t="shared" si="216"/>
        <v>0,0000169621461695975i</v>
      </c>
      <c r="AU261">
        <f t="shared" si="239"/>
        <v>1.6962146169597501E-5</v>
      </c>
      <c r="AV261">
        <f t="shared" si="240"/>
        <v>1.5707963267948966</v>
      </c>
      <c r="AW261" t="str">
        <f t="shared" si="217"/>
        <v>1+0,0111281474340034i</v>
      </c>
      <c r="AX261">
        <f t="shared" si="241"/>
        <v>1.0000619159158661</v>
      </c>
      <c r="AY261">
        <f t="shared" si="242"/>
        <v>1.1127688114283952E-2</v>
      </c>
      <c r="AZ261" t="str">
        <f t="shared" si="218"/>
        <v>1+3,72051062543514i</v>
      </c>
      <c r="BA261">
        <f t="shared" si="243"/>
        <v>3.8525575030070316</v>
      </c>
      <c r="BB261">
        <f t="shared" si="244"/>
        <v>1.308221656805399</v>
      </c>
      <c r="BC261" s="41" t="str">
        <f t="shared" si="245"/>
        <v>-3,64431397610051+1,02313452709015i</v>
      </c>
      <c r="BD261">
        <f t="shared" si="246"/>
        <v>11.561803780357893</v>
      </c>
      <c r="BE261" s="43">
        <f t="shared" si="247"/>
        <v>164.31801003787513</v>
      </c>
      <c r="BF261" s="41" t="str">
        <f t="shared" si="248"/>
        <v>1,08128394855839+3,68217283815551i</v>
      </c>
      <c r="BG261" s="20">
        <f t="shared" si="249"/>
        <v>11.681311483200567</v>
      </c>
      <c r="BH261" s="43">
        <f t="shared" si="250"/>
        <v>73.634924651787983</v>
      </c>
      <c r="BI261" s="41" t="str">
        <f t="shared" si="255"/>
        <v>3,17647723926637+12,2898000788008i</v>
      </c>
      <c r="BJ261" s="20">
        <f t="shared" si="251"/>
        <v>22.071742336725695</v>
      </c>
      <c r="BK261" s="43">
        <f t="shared" si="256"/>
        <v>75.508220628036625</v>
      </c>
      <c r="BL261">
        <f t="shared" si="252"/>
        <v>11.681311483200567</v>
      </c>
      <c r="BM261" s="43">
        <f t="shared" si="253"/>
        <v>73.634924651787983</v>
      </c>
    </row>
    <row r="262" spans="14:65" x14ac:dyDescent="0.25">
      <c r="N262" s="9">
        <v>44</v>
      </c>
      <c r="O262" s="34">
        <f t="shared" si="254"/>
        <v>2754.228703338169</v>
      </c>
      <c r="P262" s="33" t="str">
        <f t="shared" si="206"/>
        <v>66,7780509511648</v>
      </c>
      <c r="Q262" s="4" t="str">
        <f t="shared" si="207"/>
        <v>1+67,4459615221976i</v>
      </c>
      <c r="R262" s="4">
        <f t="shared" si="219"/>
        <v>67.453374457129726</v>
      </c>
      <c r="S262" s="4">
        <f t="shared" si="220"/>
        <v>1.5559707284901618</v>
      </c>
      <c r="T262" s="4" t="str">
        <f t="shared" si="208"/>
        <v>1+0,0173053293214267i</v>
      </c>
      <c r="U262" s="4">
        <f t="shared" si="221"/>
        <v>1.0001497260025236</v>
      </c>
      <c r="V262" s="4">
        <f t="shared" si="222"/>
        <v>1.7303602130595088E-2</v>
      </c>
      <c r="W262" t="str">
        <f t="shared" si="209"/>
        <v>1-0,0376455271403796i</v>
      </c>
      <c r="X262" s="4">
        <f t="shared" si="223"/>
        <v>1.0007083419826563</v>
      </c>
      <c r="Y262" s="4">
        <f t="shared" si="224"/>
        <v>-3.7627758678911084E-2</v>
      </c>
      <c r="Z262" t="str">
        <f t="shared" si="210"/>
        <v>0,99999241422425+0,00739924127528291i</v>
      </c>
      <c r="AA262" s="4">
        <f t="shared" si="225"/>
        <v>1.0000197884429556</v>
      </c>
      <c r="AB262" s="4">
        <f t="shared" si="226"/>
        <v>7.3991623729332623E-3</v>
      </c>
      <c r="AC262" s="47" t="str">
        <f t="shared" si="227"/>
        <v>-0,0127789428870765-0,990735856487233i</v>
      </c>
      <c r="AD262" s="20">
        <f t="shared" si="228"/>
        <v>-8.0119902613415728E-2</v>
      </c>
      <c r="AE262" s="43">
        <f t="shared" si="229"/>
        <v>-90.738984956665163</v>
      </c>
      <c r="AF262" t="str">
        <f t="shared" si="211"/>
        <v>223,849857273222</v>
      </c>
      <c r="AG262" t="str">
        <f t="shared" si="212"/>
        <v>1+68,3124870565866i</v>
      </c>
      <c r="AH262">
        <f t="shared" si="230"/>
        <v>68.319805970569845</v>
      </c>
      <c r="AI262">
        <f t="shared" si="231"/>
        <v>1.5561587601857427</v>
      </c>
      <c r="AJ262" t="str">
        <f t="shared" si="213"/>
        <v>1+0,0173053293214267i</v>
      </c>
      <c r="AK262">
        <f t="shared" si="232"/>
        <v>1.0001497260025236</v>
      </c>
      <c r="AL262">
        <f t="shared" si="233"/>
        <v>1.7303602130595088E-2</v>
      </c>
      <c r="AM262" t="str">
        <f t="shared" si="214"/>
        <v>1-0,0113745494718886i</v>
      </c>
      <c r="AN262">
        <f t="shared" si="234"/>
        <v>1.0000646880955695</v>
      </c>
      <c r="AO262">
        <f t="shared" si="235"/>
        <v>-1.1374058962137452E-2</v>
      </c>
      <c r="AP262" s="41" t="str">
        <f t="shared" si="236"/>
        <v>0,0673978368733923-3,27650963621755i</v>
      </c>
      <c r="AQ262">
        <f t="shared" si="237"/>
        <v>10.310066212356856</v>
      </c>
      <c r="AR262" s="43">
        <f t="shared" si="238"/>
        <v>-88.821591412960615</v>
      </c>
      <c r="AS262" t="str">
        <f t="shared" si="215"/>
        <v>-0,0000166666666666667</v>
      </c>
      <c r="AT262" t="str">
        <f t="shared" si="216"/>
        <v>0,000017357245309391i</v>
      </c>
      <c r="AU262">
        <f t="shared" si="239"/>
        <v>1.7357245309390998E-5</v>
      </c>
      <c r="AV262">
        <f t="shared" si="240"/>
        <v>1.5707963267948966</v>
      </c>
      <c r="AW262" t="str">
        <f t="shared" si="217"/>
        <v>1+0,0113873552862828i</v>
      </c>
      <c r="AX262">
        <f t="shared" si="241"/>
        <v>1.0000648338284954</v>
      </c>
      <c r="AY262">
        <f t="shared" si="242"/>
        <v>1.1386863118059391E-2</v>
      </c>
      <c r="AZ262" t="str">
        <f t="shared" si="218"/>
        <v>1+3,80717245071387i</v>
      </c>
      <c r="BA262">
        <f t="shared" si="243"/>
        <v>3.9363132585548444</v>
      </c>
      <c r="BB262">
        <f t="shared" si="244"/>
        <v>1.3139363301794407</v>
      </c>
      <c r="BC262" s="41" t="str">
        <f t="shared" si="245"/>
        <v>-3,64429270993074+1,00171266683644i</v>
      </c>
      <c r="BD262">
        <f t="shared" si="246"/>
        <v>11.548588904206824</v>
      </c>
      <c r="BE262" s="43">
        <f t="shared" si="247"/>
        <v>164.63058706963176</v>
      </c>
      <c r="BF262" s="41" t="str">
        <f t="shared" si="248"/>
        <v>1,0390028653363+3,59773063030465i</v>
      </c>
      <c r="BG262" s="20">
        <f t="shared" si="249"/>
        <v>11.468469001593412</v>
      </c>
      <c r="BH262" s="43">
        <f t="shared" si="250"/>
        <v>73.89160211296668</v>
      </c>
      <c r="BI262" s="41" t="str">
        <f t="shared" si="255"/>
        <v>3,03650376002797+12,0080734481989i</v>
      </c>
      <c r="BJ262" s="20">
        <f t="shared" si="251"/>
        <v>21.858655116563686</v>
      </c>
      <c r="BK262" s="43">
        <f t="shared" si="256"/>
        <v>75.808995656671158</v>
      </c>
      <c r="BL262">
        <f t="shared" si="252"/>
        <v>11.468469001593412</v>
      </c>
      <c r="BM262" s="43">
        <f t="shared" si="253"/>
        <v>73.89160211296668</v>
      </c>
    </row>
    <row r="263" spans="14:65" x14ac:dyDescent="0.25">
      <c r="N263" s="9">
        <v>45</v>
      </c>
      <c r="O263" s="34">
        <f t="shared" si="254"/>
        <v>2818.3829312644561</v>
      </c>
      <c r="P263" s="33" t="str">
        <f t="shared" si="206"/>
        <v>66,7780509511648</v>
      </c>
      <c r="Q263" s="4" t="str">
        <f t="shared" si="207"/>
        <v>1+69,0169797833022i</v>
      </c>
      <c r="R263" s="4">
        <f t="shared" si="219"/>
        <v>69.02422399715006</v>
      </c>
      <c r="S263" s="4">
        <f t="shared" si="220"/>
        <v>1.5563081525355196</v>
      </c>
      <c r="T263" s="4" t="str">
        <f t="shared" si="208"/>
        <v>1+0,0177084222237266i</v>
      </c>
      <c r="U263" s="4">
        <f t="shared" si="221"/>
        <v>1.0001567818185575</v>
      </c>
      <c r="V263" s="4">
        <f t="shared" si="222"/>
        <v>1.7706571521075052E-2</v>
      </c>
      <c r="W263" t="str">
        <f t="shared" si="209"/>
        <v>1-0,0385224041134654i</v>
      </c>
      <c r="X263" s="4">
        <f t="shared" si="223"/>
        <v>1.0007417127404459</v>
      </c>
      <c r="Y263" s="4">
        <f t="shared" si="224"/>
        <v>-3.8503365626024223E-2</v>
      </c>
      <c r="Z263" t="str">
        <f t="shared" si="210"/>
        <v>0,999992056717653+0,00757159174519152i</v>
      </c>
      <c r="AA263" s="4">
        <f t="shared" si="225"/>
        <v>1.0000207210352983</v>
      </c>
      <c r="AB263" s="4">
        <f t="shared" si="226"/>
        <v>7.5715071998909587E-3</v>
      </c>
      <c r="AC263" s="47" t="str">
        <f t="shared" si="227"/>
        <v>-0,0134397995075283-0,968214221511669i</v>
      </c>
      <c r="AD263" s="20">
        <f t="shared" si="228"/>
        <v>-0.27973412158632133</v>
      </c>
      <c r="AE263" s="43">
        <f t="shared" si="229"/>
        <v>-90.795272698810408</v>
      </c>
      <c r="AF263" t="str">
        <f t="shared" si="211"/>
        <v>223,849857273222</v>
      </c>
      <c r="AG263" t="str">
        <f t="shared" si="212"/>
        <v>1+69,9036892902748i</v>
      </c>
      <c r="AH263">
        <f t="shared" si="230"/>
        <v>69.910841622678817</v>
      </c>
      <c r="AI263">
        <f t="shared" si="231"/>
        <v>1.5564919059018636</v>
      </c>
      <c r="AJ263" t="str">
        <f t="shared" si="213"/>
        <v>1+0,0177084222237266i</v>
      </c>
      <c r="AK263">
        <f t="shared" si="232"/>
        <v>1.0001567818185575</v>
      </c>
      <c r="AL263">
        <f t="shared" si="233"/>
        <v>1.7706571521075052E-2</v>
      </c>
      <c r="AM263" t="str">
        <f t="shared" si="214"/>
        <v>1-0,0116394967649344i</v>
      </c>
      <c r="AN263">
        <f t="shared" si="234"/>
        <v>1.0000677366483437</v>
      </c>
      <c r="AO263">
        <f t="shared" si="235"/>
        <v>-1.1638971176189299E-2</v>
      </c>
      <c r="AP263" s="41" t="str">
        <f t="shared" si="236"/>
        <v>0,0652399879177022-3,20198774694788i</v>
      </c>
      <c r="AQ263">
        <f t="shared" si="237"/>
        <v>10.110195843804725</v>
      </c>
      <c r="AR263" s="43">
        <f t="shared" si="238"/>
        <v>-88.832769162916392</v>
      </c>
      <c r="AS263" t="str">
        <f t="shared" si="215"/>
        <v>-0,0000166666666666667</v>
      </c>
      <c r="AT263" t="str">
        <f t="shared" si="216"/>
        <v>0,0000177615474903977i</v>
      </c>
      <c r="AU263">
        <f t="shared" si="239"/>
        <v>1.7761547490397702E-5</v>
      </c>
      <c r="AV263">
        <f t="shared" si="240"/>
        <v>1.5707963267948966</v>
      </c>
      <c r="AW263" t="str">
        <f t="shared" si="217"/>
        <v>1+0,0116526008650644i</v>
      </c>
      <c r="AX263">
        <f t="shared" si="241"/>
        <v>1.0000678892489852</v>
      </c>
      <c r="AY263">
        <f t="shared" si="242"/>
        <v>1.1652073499245101E-2</v>
      </c>
      <c r="AZ263" t="str">
        <f t="shared" si="218"/>
        <v>1+3,89585288921985i</v>
      </c>
      <c r="BA263">
        <f t="shared" si="243"/>
        <v>4.0221474033708233</v>
      </c>
      <c r="BB263">
        <f t="shared" si="244"/>
        <v>1.3195375480695544</v>
      </c>
      <c r="BC263" s="41" t="str">
        <f t="shared" si="245"/>
        <v>-3,64427044178332+0,98082190506916i</v>
      </c>
      <c r="BD263">
        <f t="shared" si="246"/>
        <v>11.535928957158411</v>
      </c>
      <c r="BE263" s="43">
        <f t="shared" si="247"/>
        <v>164.93631777934348</v>
      </c>
      <c r="BF263" s="41" t="str">
        <f t="shared" si="248"/>
        <v>0,998623981346908+3,5152524190125i</v>
      </c>
      <c r="BG263" s="20">
        <f t="shared" si="249"/>
        <v>11.256194835572089</v>
      </c>
      <c r="BH263" s="43">
        <f t="shared" si="250"/>
        <v>74.141045080533061</v>
      </c>
      <c r="BI263" s="41" t="str">
        <f t="shared" si="255"/>
        <v>2,90282756237874+11,7328981103907i</v>
      </c>
      <c r="BJ263" s="20">
        <f t="shared" si="251"/>
        <v>21.646124800963165</v>
      </c>
      <c r="BK263" s="43">
        <f t="shared" si="256"/>
        <v>76.103548616427162</v>
      </c>
      <c r="BL263">
        <f t="shared" si="252"/>
        <v>11.256194835572089</v>
      </c>
      <c r="BM263" s="43">
        <f t="shared" si="253"/>
        <v>74.141045080533061</v>
      </c>
    </row>
    <row r="264" spans="14:65" x14ac:dyDescent="0.25">
      <c r="N264" s="9">
        <v>46</v>
      </c>
      <c r="O264" s="34">
        <f t="shared" si="254"/>
        <v>2884.0315031266077</v>
      </c>
      <c r="P264" s="33" t="str">
        <f t="shared" si="206"/>
        <v>66,7780509511648</v>
      </c>
      <c r="Q264" s="4" t="str">
        <f t="shared" si="207"/>
        <v>1+70,6245917606356i</v>
      </c>
      <c r="R264" s="4">
        <f t="shared" si="219"/>
        <v>70.631671092764307</v>
      </c>
      <c r="S264" s="4">
        <f t="shared" si="220"/>
        <v>1.5566378990600167</v>
      </c>
      <c r="T264" s="4" t="str">
        <f t="shared" si="208"/>
        <v>1+0,0181209043658882i</v>
      </c>
      <c r="U264" s="4">
        <f t="shared" si="221"/>
        <v>1.000164170111606</v>
      </c>
      <c r="V264" s="4">
        <f t="shared" si="222"/>
        <v>1.8118921319848623E-2</v>
      </c>
      <c r="W264" t="str">
        <f t="shared" si="209"/>
        <v>1-0,0394197061751164i</v>
      </c>
      <c r="X264" s="4">
        <f t="shared" si="223"/>
        <v>1.0007766550209554</v>
      </c>
      <c r="Y264" s="4">
        <f t="shared" si="224"/>
        <v>-3.9399306923227732E-2</v>
      </c>
      <c r="Z264" t="str">
        <f t="shared" si="210"/>
        <v>0,999991682362289+0,00774795677326528i</v>
      </c>
      <c r="AA264" s="4">
        <f t="shared" si="225"/>
        <v>1.0000216975785683</v>
      </c>
      <c r="AB264" s="4">
        <f t="shared" si="226"/>
        <v>7.7478661814448973E-3</v>
      </c>
      <c r="AC264" s="47" t="str">
        <f t="shared" si="227"/>
        <v>-0,0140709402225628-0,946205084673502i</v>
      </c>
      <c r="AD264" s="20">
        <f t="shared" si="228"/>
        <v>-0.47933413862821322</v>
      </c>
      <c r="AE264" s="43">
        <f t="shared" si="229"/>
        <v>-90.851978160163924</v>
      </c>
      <c r="AF264" t="str">
        <f t="shared" si="211"/>
        <v>223,849857273222</v>
      </c>
      <c r="AG264" t="str">
        <f t="shared" si="212"/>
        <v>1+71,5319553853094i</v>
      </c>
      <c r="AH264">
        <f t="shared" si="230"/>
        <v>71.538944926843129</v>
      </c>
      <c r="AI264">
        <f t="shared" si="231"/>
        <v>1.5568174713640308</v>
      </c>
      <c r="AJ264" t="str">
        <f t="shared" si="213"/>
        <v>1+0,0181209043658882i</v>
      </c>
      <c r="AK264">
        <f t="shared" si="232"/>
        <v>1.000164170111606</v>
      </c>
      <c r="AL264">
        <f t="shared" si="233"/>
        <v>1.8118921319848623E-2</v>
      </c>
      <c r="AM264" t="str">
        <f t="shared" si="214"/>
        <v>1-0,0119106154732319i</v>
      </c>
      <c r="AN264">
        <f t="shared" si="234"/>
        <v>1.0000709288650238</v>
      </c>
      <c r="AO264">
        <f t="shared" si="235"/>
        <v>-1.1910052296902151E-2</v>
      </c>
      <c r="AP264" s="41" t="str">
        <f t="shared" si="236"/>
        <v>0,0631792193155779-3,12916081511401i</v>
      </c>
      <c r="AQ264">
        <f t="shared" si="237"/>
        <v>9.9103277254794033</v>
      </c>
      <c r="AR264" s="43">
        <f t="shared" si="238"/>
        <v>-88.843328590823518</v>
      </c>
      <c r="AS264" t="str">
        <f t="shared" si="215"/>
        <v>-0,0000166666666666667</v>
      </c>
      <c r="AT264" t="str">
        <f t="shared" si="216"/>
        <v>0,0000181752670789858i</v>
      </c>
      <c r="AU264">
        <f t="shared" si="239"/>
        <v>1.81752670789858E-5</v>
      </c>
      <c r="AV264">
        <f t="shared" si="240"/>
        <v>1.5707963267948966</v>
      </c>
      <c r="AW264" t="str">
        <f t="shared" si="217"/>
        <v>1+0,011924024807065i</v>
      </c>
      <c r="AX264">
        <f t="shared" si="241"/>
        <v>1.0000710886570012</v>
      </c>
      <c r="AY264">
        <f t="shared" si="242"/>
        <v>1.1923459726578111E-2</v>
      </c>
      <c r="AZ264" t="str">
        <f t="shared" si="218"/>
        <v>1+3,9865989604954i</v>
      </c>
      <c r="BA264">
        <f t="shared" si="243"/>
        <v>4.1101059927723282</v>
      </c>
      <c r="BB264">
        <f t="shared" si="244"/>
        <v>1.325026873883814</v>
      </c>
      <c r="BC264" s="41" t="str">
        <f t="shared" si="245"/>
        <v>-3,64424712446207+0,960451163597645i</v>
      </c>
      <c r="BD264">
        <f t="shared" si="246"/>
        <v>11.523801953477273</v>
      </c>
      <c r="BE264" s="43">
        <f t="shared" si="247"/>
        <v>165.23528369542856</v>
      </c>
      <c r="BF264" s="41" t="str">
        <f t="shared" si="248"/>
        <v>0,960061758021225+3,43469070806313i</v>
      </c>
      <c r="BG264" s="20">
        <f t="shared" si="249"/>
        <v>11.044467814849071</v>
      </c>
      <c r="BH264" s="43">
        <f t="shared" si="250"/>
        <v>74.383305535264654</v>
      </c>
      <c r="BI264" s="41" t="str">
        <f t="shared" si="255"/>
        <v>2,77516545764385+11,4641158571655i</v>
      </c>
      <c r="BJ264" s="20">
        <f t="shared" si="251"/>
        <v>21.434129678956708</v>
      </c>
      <c r="BK264" s="43">
        <f t="shared" si="256"/>
        <v>76.391955104605117</v>
      </c>
      <c r="BL264">
        <f t="shared" si="252"/>
        <v>11.044467814849071</v>
      </c>
      <c r="BM264" s="43">
        <f t="shared" si="253"/>
        <v>74.383305535264654</v>
      </c>
    </row>
    <row r="265" spans="14:65" x14ac:dyDescent="0.25">
      <c r="N265" s="9">
        <v>47</v>
      </c>
      <c r="O265" s="34">
        <f t="shared" si="254"/>
        <v>2951.2092266663876</v>
      </c>
      <c r="P265" s="33" t="str">
        <f t="shared" si="206"/>
        <v>66,7780509511648</v>
      </c>
      <c r="Q265" s="4" t="str">
        <f t="shared" si="207"/>
        <v>1+72,2696498313474i</v>
      </c>
      <c r="R265" s="4">
        <f t="shared" si="219"/>
        <v>72.276568033807266</v>
      </c>
      <c r="S265" s="4">
        <f t="shared" si="220"/>
        <v>1.5569601426126272</v>
      </c>
      <c r="T265" s="4" t="str">
        <f t="shared" si="208"/>
        <v>1+0,0185429944514031i</v>
      </c>
      <c r="U265" s="4">
        <f t="shared" si="221"/>
        <v>1.0001719065456822</v>
      </c>
      <c r="V265" s="4">
        <f t="shared" si="222"/>
        <v>1.8540869599012969E-2</v>
      </c>
      <c r="W265" t="str">
        <f t="shared" si="209"/>
        <v>1-0,040337909086763i</v>
      </c>
      <c r="X265" s="4">
        <f t="shared" si="223"/>
        <v>1.0008132427728422</v>
      </c>
      <c r="Y265" s="4">
        <f t="shared" si="224"/>
        <v>-4.0316051853720329E-2</v>
      </c>
      <c r="Z265" t="str">
        <f t="shared" si="210"/>
        <v>0,9999912903641+0,00792842987057656i</v>
      </c>
      <c r="AA265" s="4">
        <f t="shared" si="225"/>
        <v>1.0000227201440326</v>
      </c>
      <c r="AB265" s="4">
        <f t="shared" si="226"/>
        <v>7.9283327998058255E-3</v>
      </c>
      <c r="AC265" s="47" t="str">
        <f t="shared" si="227"/>
        <v>-0,0146737021177807-0,924696833925317i</v>
      </c>
      <c r="AD265" s="20">
        <f t="shared" si="228"/>
        <v>-0.67891910843014736</v>
      </c>
      <c r="AE265" s="43">
        <f t="shared" si="229"/>
        <v>-90.909131091117189</v>
      </c>
      <c r="AF265" t="str">
        <f t="shared" si="211"/>
        <v>223,849857273222</v>
      </c>
      <c r="AG265" t="str">
        <f t="shared" si="212"/>
        <v>1+73,1981486699266i</v>
      </c>
      <c r="AH265">
        <f t="shared" si="230"/>
        <v>73.204979125088727</v>
      </c>
      <c r="AI265">
        <f t="shared" si="231"/>
        <v>1.5571356289151419</v>
      </c>
      <c r="AJ265" t="str">
        <f t="shared" si="213"/>
        <v>1+0,0185429944514031i</v>
      </c>
      <c r="AK265">
        <f t="shared" si="232"/>
        <v>1.0001719065456822</v>
      </c>
      <c r="AL265">
        <f t="shared" si="233"/>
        <v>1.8540869599012969E-2</v>
      </c>
      <c r="AM265" t="str">
        <f t="shared" si="214"/>
        <v>1-0,0121880493475089i</v>
      </c>
      <c r="AN265">
        <f t="shared" si="234"/>
        <v>1.0000742715153197</v>
      </c>
      <c r="AO265">
        <f t="shared" si="235"/>
        <v>-1.2187445895619766E-2</v>
      </c>
      <c r="AP265" s="41" t="str">
        <f t="shared" si="236"/>
        <v>0,0612111651485534-3,05799041231736i</v>
      </c>
      <c r="AQ265">
        <f t="shared" si="237"/>
        <v>9.7104621369131348</v>
      </c>
      <c r="AR265" s="43">
        <f t="shared" si="238"/>
        <v>-88.853275302623928</v>
      </c>
      <c r="AS265" t="str">
        <f t="shared" si="215"/>
        <v>-0,0000166666666666667</v>
      </c>
      <c r="AT265" t="str">
        <f t="shared" si="216"/>
        <v>0,0000185986234347573i</v>
      </c>
      <c r="AU265">
        <f t="shared" si="239"/>
        <v>1.85986234347573E-5</v>
      </c>
      <c r="AV265">
        <f t="shared" si="240"/>
        <v>1.5707963267948966</v>
      </c>
      <c r="AW265" t="str">
        <f t="shared" si="217"/>
        <v>1+0,0122017710248515i</v>
      </c>
      <c r="AX265">
        <f t="shared" si="241"/>
        <v>1.0000744388375011</v>
      </c>
      <c r="AY265">
        <f t="shared" si="242"/>
        <v>1.2201165532634884E-2</v>
      </c>
      <c r="AZ265" t="str">
        <f t="shared" si="218"/>
        <v>1+4,07945877930868i</v>
      </c>
      <c r="BA265">
        <f t="shared" si="243"/>
        <v>4.2002361757499616</v>
      </c>
      <c r="BB265">
        <f t="shared" si="244"/>
        <v>1.3304058943091579</v>
      </c>
      <c r="BC265" s="41" t="str">
        <f t="shared" si="245"/>
        <v>-3,64422270854916+0,9405896398362i</v>
      </c>
      <c r="BD265">
        <f t="shared" si="246"/>
        <v>11.51218664325658</v>
      </c>
      <c r="BE265" s="43">
        <f t="shared" si="247"/>
        <v>165.52756749308216</v>
      </c>
      <c r="BF265" s="41" t="str">
        <f t="shared" si="248"/>
        <v>0,923234500455591+3,35599926852412i</v>
      </c>
      <c r="BG265" s="20">
        <f t="shared" si="249"/>
        <v>10.833267534826426</v>
      </c>
      <c r="BH265" s="43">
        <f t="shared" si="250"/>
        <v>74.618436401964956</v>
      </c>
      <c r="BI265" s="41" t="str">
        <f t="shared" si="255"/>
        <v>2,65324698249303+11,2015726908736i</v>
      </c>
      <c r="BJ265" s="20">
        <f t="shared" si="251"/>
        <v>21.222648780169745</v>
      </c>
      <c r="BK265" s="43">
        <f t="shared" si="256"/>
        <v>76.674292190458274</v>
      </c>
      <c r="BL265">
        <f t="shared" si="252"/>
        <v>10.833267534826426</v>
      </c>
      <c r="BM265" s="43">
        <f t="shared" si="253"/>
        <v>74.618436401964956</v>
      </c>
    </row>
    <row r="266" spans="14:65" x14ac:dyDescent="0.25">
      <c r="N266" s="9">
        <v>48</v>
      </c>
      <c r="O266" s="34">
        <f t="shared" si="254"/>
        <v>3019.9517204020176</v>
      </c>
      <c r="P266" s="33" t="str">
        <f t="shared" si="206"/>
        <v>66,7780509511648</v>
      </c>
      <c r="Q266" s="4" t="str">
        <f t="shared" si="207"/>
        <v>1+73,9530262270018i</v>
      </c>
      <c r="R266" s="4">
        <f t="shared" si="219"/>
        <v>73.959786966510507</v>
      </c>
      <c r="S266" s="4">
        <f t="shared" si="220"/>
        <v>1.5572750537832973</v>
      </c>
      <c r="T266" s="4" t="str">
        <f t="shared" si="208"/>
        <v>1+0,0189749162780217i</v>
      </c>
      <c r="U266" s="4">
        <f t="shared" si="221"/>
        <v>1.0001800075225249</v>
      </c>
      <c r="V266" s="4">
        <f t="shared" si="222"/>
        <v>1.8972639479795592E-2</v>
      </c>
      <c r="W266" t="str">
        <f t="shared" si="209"/>
        <v>1-0,0412774996917427i</v>
      </c>
      <c r="X266" s="4">
        <f t="shared" si="223"/>
        <v>1.0008515534187883</v>
      </c>
      <c r="Y266" s="4">
        <f t="shared" si="224"/>
        <v>-4.1254080320668025E-2</v>
      </c>
      <c r="Z266" t="str">
        <f t="shared" si="210"/>
        <v>0,999990879891606+0,0081131067263504i</v>
      </c>
      <c r="AA266" s="4">
        <f t="shared" si="225"/>
        <v>1.0000237909005671</v>
      </c>
      <c r="AB266" s="4">
        <f t="shared" si="226"/>
        <v>8.1130027132731552E-3</v>
      </c>
      <c r="AC266" s="47" t="str">
        <f t="shared" si="227"/>
        <v>-0,0152493622284755-0,903678118960494i</v>
      </c>
      <c r="AD266" s="20">
        <f t="shared" si="228"/>
        <v>-0.87848815405540359</v>
      </c>
      <c r="AE266" s="43">
        <f t="shared" si="229"/>
        <v>-90.966761459092353</v>
      </c>
      <c r="AF266" t="str">
        <f t="shared" si="211"/>
        <v>223,849857273222</v>
      </c>
      <c r="AG266" t="str">
        <f t="shared" si="212"/>
        <v>1+74,9031525818607i</v>
      </c>
      <c r="AH266">
        <f t="shared" si="230"/>
        <v>74.909827570896894</v>
      </c>
      <c r="AI266">
        <f t="shared" si="231"/>
        <v>1.557446546988752</v>
      </c>
      <c r="AJ266" t="str">
        <f t="shared" si="213"/>
        <v>1+0,0189749162780217i</v>
      </c>
      <c r="AK266">
        <f t="shared" si="232"/>
        <v>1.0001800075225249</v>
      </c>
      <c r="AL266">
        <f t="shared" si="233"/>
        <v>1.8972639479795592E-2</v>
      </c>
      <c r="AM266" t="str">
        <f t="shared" si="214"/>
        <v>1-0,0124719454868779i</v>
      </c>
      <c r="AN266">
        <f t="shared" si="234"/>
        <v>1.0000777716878961</v>
      </c>
      <c r="AO266">
        <f t="shared" si="235"/>
        <v>-1.2471298879244667E-2</v>
      </c>
      <c r="AP266" s="41" t="str">
        <f t="shared" si="236"/>
        <v>0,0593316556963119-2,98843897610581i</v>
      </c>
      <c r="AQ266">
        <f t="shared" si="237"/>
        <v>9.5105993629936201</v>
      </c>
      <c r="AR266" s="43">
        <f t="shared" si="238"/>
        <v>-88.86261458209033</v>
      </c>
      <c r="AS266" t="str">
        <f t="shared" si="215"/>
        <v>-0,0000166666666666667</v>
      </c>
      <c r="AT266" t="str">
        <f t="shared" si="216"/>
        <v>0,0000190318410268557i</v>
      </c>
      <c r="AU266">
        <f t="shared" si="239"/>
        <v>1.90318410268557E-5</v>
      </c>
      <c r="AV266">
        <f t="shared" si="240"/>
        <v>1.5707963267948966</v>
      </c>
      <c r="AW266" t="str">
        <f t="shared" si="217"/>
        <v>1+0,0124859867831449i</v>
      </c>
      <c r="AX266">
        <f t="shared" si="241"/>
        <v>1.0000779468951151</v>
      </c>
      <c r="AY266">
        <f t="shared" si="242"/>
        <v>1.2485337989276701E-2</v>
      </c>
      <c r="AZ266" t="str">
        <f t="shared" si="218"/>
        <v>1+4,17448158116477i</v>
      </c>
      <c r="BA266">
        <f t="shared" si="243"/>
        <v>4.2925862217879693</v>
      </c>
      <c r="BB266">
        <f t="shared" si="244"/>
        <v>1.3356762157517528</v>
      </c>
      <c r="BC266" s="41" t="str">
        <f t="shared" si="245"/>
        <v>-3,64419714230037+0,921226801068085i</v>
      </c>
      <c r="BD266">
        <f t="shared" si="246"/>
        <v>11.501062498026952</v>
      </c>
      <c r="BE266" s="43">
        <f t="shared" si="247"/>
        <v>165.81325278600065</v>
      </c>
      <c r="BF266" s="41" t="str">
        <f t="shared" si="248"/>
        <v>0,888064184980114+3,27913309749114i</v>
      </c>
      <c r="BG266" s="20">
        <f t="shared" si="249"/>
        <v>10.622574343971554</v>
      </c>
      <c r="BH266" s="43">
        <f t="shared" si="250"/>
        <v>74.846491326908307</v>
      </c>
      <c r="BI266" s="41" t="str">
        <f t="shared" si="255"/>
        <v>2,53681382800869+10,945118688043i</v>
      </c>
      <c r="BJ266" s="20">
        <f t="shared" si="251"/>
        <v>21.011661861020556</v>
      </c>
      <c r="BK266" s="43">
        <f t="shared" si="256"/>
        <v>76.950638203910316</v>
      </c>
      <c r="BL266">
        <f t="shared" si="252"/>
        <v>10.622574343971554</v>
      </c>
      <c r="BM266" s="43">
        <f t="shared" si="253"/>
        <v>74.846491326908307</v>
      </c>
    </row>
    <row r="267" spans="14:65" x14ac:dyDescent="0.25">
      <c r="N267" s="9">
        <v>49</v>
      </c>
      <c r="O267" s="34">
        <f t="shared" si="254"/>
        <v>3090.295432513592</v>
      </c>
      <c r="P267" s="33" t="str">
        <f t="shared" si="206"/>
        <v>66,7780509511648</v>
      </c>
      <c r="Q267" s="4" t="str">
        <f t="shared" si="207"/>
        <v>1+75,6756134960457i</v>
      </c>
      <c r="R267" s="4">
        <f t="shared" si="219"/>
        <v>75.682220355925693</v>
      </c>
      <c r="S267" s="4">
        <f t="shared" si="220"/>
        <v>1.5575827992921194</v>
      </c>
      <c r="T267" s="4" t="str">
        <f t="shared" si="208"/>
        <v>1+0,0194168988564136i</v>
      </c>
      <c r="U267" s="4">
        <f t="shared" si="221"/>
        <v>1.0001884902163194</v>
      </c>
      <c r="V267" s="4">
        <f t="shared" si="222"/>
        <v>1.9414459247990658E-2</v>
      </c>
      <c r="W267" t="str">
        <f t="shared" si="209"/>
        <v>1-0,0422389761734313i</v>
      </c>
      <c r="X267" s="4">
        <f t="shared" si="223"/>
        <v>1.0008916680181625</v>
      </c>
      <c r="Y267" s="4">
        <f t="shared" si="224"/>
        <v>-4.2213883072465513E-2</v>
      </c>
      <c r="Z267" t="str">
        <f t="shared" si="210"/>
        <v>0,99999045007414+0,00830208525870021i</v>
      </c>
      <c r="AA267" s="4">
        <f t="shared" si="225"/>
        <v>1.000024912119255</v>
      </c>
      <c r="AB267" s="4">
        <f t="shared" si="226"/>
        <v>8.3019738068230726E-3</v>
      </c>
      <c r="AC267" s="47" t="str">
        <f t="shared" si="227"/>
        <v>-0,0157991402356465-0,883137845450803i</v>
      </c>
      <c r="AD267" s="20">
        <f t="shared" si="228"/>
        <v>-1.0780403651080099</v>
      </c>
      <c r="AE267" s="43">
        <f t="shared" si="229"/>
        <v>-91.02489946284237</v>
      </c>
      <c r="AF267" t="str">
        <f t="shared" si="211"/>
        <v>223,849857273222</v>
      </c>
      <c r="AG267" t="str">
        <f t="shared" si="212"/>
        <v>1+76,6478711367541i</v>
      </c>
      <c r="AH267">
        <f t="shared" si="230"/>
        <v>76.654394197570056</v>
      </c>
      <c r="AI267">
        <f t="shared" si="231"/>
        <v>1.5577503901971497</v>
      </c>
      <c r="AJ267" t="str">
        <f t="shared" si="213"/>
        <v>1+0,0194168988564136i</v>
      </c>
      <c r="AK267">
        <f t="shared" si="232"/>
        <v>1.0001884902163194</v>
      </c>
      <c r="AL267">
        <f t="shared" si="233"/>
        <v>1.9414459247990658E-2</v>
      </c>
      <c r="AM267" t="str">
        <f t="shared" si="214"/>
        <v>1-0,0127624544168297i</v>
      </c>
      <c r="AN267">
        <f t="shared" si="234"/>
        <v>1.0000814368053941</v>
      </c>
      <c r="AO267">
        <f t="shared" si="235"/>
        <v>-1.2761761567314874E-2</v>
      </c>
      <c r="AP267" s="41" t="str">
        <f t="shared" si="236"/>
        <v>0,057536708632745-2,92046979088216i</v>
      </c>
      <c r="AQ267">
        <f t="shared" si="237"/>
        <v>9.3107396945663403</v>
      </c>
      <c r="AR267" s="43">
        <f t="shared" si="238"/>
        <v>-88.871351393674644</v>
      </c>
      <c r="AS267" t="str">
        <f t="shared" si="215"/>
        <v>-0,0000166666666666667</v>
      </c>
      <c r="AT267" t="str">
        <f t="shared" si="216"/>
        <v>0,0000194751495529828i</v>
      </c>
      <c r="AU267">
        <f t="shared" si="239"/>
        <v>1.94751495529828E-5</v>
      </c>
      <c r="AV267">
        <f t="shared" si="240"/>
        <v>1.5707963267948966</v>
      </c>
      <c r="AW267" t="str">
        <f t="shared" si="217"/>
        <v>1+0,0127768227769023i</v>
      </c>
      <c r="AX267">
        <f t="shared" si="241"/>
        <v>1.000081620269202</v>
      </c>
      <c r="AY267">
        <f t="shared" si="242"/>
        <v>1.2776127584811692E-2</v>
      </c>
      <c r="AZ267" t="str">
        <f t="shared" si="218"/>
        <v>1+4,27171774841099i</v>
      </c>
      <c r="BA267">
        <f t="shared" si="243"/>
        <v>4.387205548192318</v>
      </c>
      <c r="BB267">
        <f t="shared" si="244"/>
        <v>1.3408394609760179</v>
      </c>
      <c r="BC267" s="41" t="str">
        <f t="shared" si="245"/>
        <v>-3,64417037153589+0,902352378851972i</v>
      </c>
      <c r="BD267">
        <f t="shared" si="246"/>
        <v>11.490409695669587</v>
      </c>
      <c r="BE267" s="43">
        <f t="shared" si="247"/>
        <v>166.09242392939171</v>
      </c>
      <c r="BF267" s="41" t="str">
        <f t="shared" si="248"/>
        <v>0,854476294439221+3,20404837859841i</v>
      </c>
      <c r="BG267" s="20">
        <f t="shared" si="249"/>
        <v>10.412369330561589</v>
      </c>
      <c r="BH267" s="43">
        <f t="shared" si="250"/>
        <v>75.067524466549344</v>
      </c>
      <c r="BI267" s="41" t="str">
        <f t="shared" si="255"/>
        <v>2,4256192942927+10,6946078688045i</v>
      </c>
      <c r="BJ267" s="20">
        <f t="shared" si="251"/>
        <v>20.801149390235967</v>
      </c>
      <c r="BK267" s="43">
        <f t="shared" si="256"/>
        <v>77.221072535717099</v>
      </c>
      <c r="BL267">
        <f t="shared" si="252"/>
        <v>10.412369330561589</v>
      </c>
      <c r="BM267" s="43">
        <f t="shared" si="253"/>
        <v>75.067524466549344</v>
      </c>
    </row>
    <row r="268" spans="14:65" x14ac:dyDescent="0.25">
      <c r="N268" s="9">
        <v>50</v>
      </c>
      <c r="O268" s="34">
        <f t="shared" si="254"/>
        <v>3162.2776601683804</v>
      </c>
      <c r="P268" s="33" t="str">
        <f t="shared" si="206"/>
        <v>66,7780509511648</v>
      </c>
      <c r="Q268" s="4" t="str">
        <f t="shared" si="207"/>
        <v>1+77,4383249770503i</v>
      </c>
      <c r="R268" s="4">
        <f t="shared" si="219"/>
        <v>77.444781459122552</v>
      </c>
      <c r="S268" s="4">
        <f t="shared" si="220"/>
        <v>1.557883542076536</v>
      </c>
      <c r="T268" s="4" t="str">
        <f t="shared" si="208"/>
        <v>1+0,0198691765315922i</v>
      </c>
      <c r="U268" s="4">
        <f t="shared" si="221"/>
        <v>1.0001973726100482</v>
      </c>
      <c r="V268" s="4">
        <f t="shared" si="222"/>
        <v>1.986656247192934E-2</v>
      </c>
      <c r="W268" t="str">
        <f t="shared" si="209"/>
        <v>1-0,0432228483193859i</v>
      </c>
      <c r="X268" s="4">
        <f t="shared" si="223"/>
        <v>1.0009336714372441</v>
      </c>
      <c r="Y268" s="4">
        <f t="shared" si="224"/>
        <v>-4.3195961931678906E-2</v>
      </c>
      <c r="Z268" t="str">
        <f t="shared" si="210"/>
        <v>0,99999+0,00849546566654526i</v>
      </c>
      <c r="AA268" s="4">
        <f t="shared" si="225"/>
        <v>1.0000260861782013</v>
      </c>
      <c r="AB268" s="4">
        <f t="shared" si="226"/>
        <v>8.4953462438679076E-3</v>
      </c>
      <c r="AC268" s="47" t="str">
        <f t="shared" si="227"/>
        <v>-0,016324201041475-0,863065169402668i</v>
      </c>
      <c r="AD268" s="20">
        <f t="shared" si="228"/>
        <v>-1.277574795833091</v>
      </c>
      <c r="AE268" s="43">
        <f t="shared" si="229"/>
        <v>-91.083575546771286</v>
      </c>
      <c r="AF268" t="str">
        <f t="shared" si="211"/>
        <v>223,849857273222</v>
      </c>
      <c r="AG268" t="str">
        <f t="shared" si="212"/>
        <v>1+78,4332294074786i</v>
      </c>
      <c r="AH268">
        <f t="shared" si="230"/>
        <v>78.439603997509877</v>
      </c>
      <c r="AI268">
        <f t="shared" si="231"/>
        <v>1.5580473194174886</v>
      </c>
      <c r="AJ268" t="str">
        <f t="shared" si="213"/>
        <v>1+0,0198691765315922i</v>
      </c>
      <c r="AK268">
        <f t="shared" si="232"/>
        <v>1.0001973726100482</v>
      </c>
      <c r="AL268">
        <f t="shared" si="233"/>
        <v>1.986656247192934E-2</v>
      </c>
      <c r="AM268" t="str">
        <f t="shared" si="214"/>
        <v>1-0,0130597301690444i</v>
      </c>
      <c r="AN268">
        <f t="shared" si="234"/>
        <v>1.0000852746401621</v>
      </c>
      <c r="AO268">
        <f t="shared" si="235"/>
        <v>-1.3058987770832501E-2</v>
      </c>
      <c r="AP268" s="41" t="str">
        <f t="shared" si="236"/>
        <v>0,0558225206159279-2,85404696920679i</v>
      </c>
      <c r="AQ268">
        <f t="shared" si="237"/>
        <v>9.1108834290498262</v>
      </c>
      <c r="AR268" s="43">
        <f t="shared" si="238"/>
        <v>-88.879490385200484</v>
      </c>
      <c r="AS268" t="str">
        <f t="shared" si="215"/>
        <v>-0,0000166666666666667</v>
      </c>
      <c r="AT268" t="str">
        <f t="shared" si="216"/>
        <v>0,000019928784061187i</v>
      </c>
      <c r="AU268">
        <f t="shared" si="239"/>
        <v>1.9928784061187001E-5</v>
      </c>
      <c r="AV268">
        <f t="shared" si="240"/>
        <v>1.5707963267948966</v>
      </c>
      <c r="AW268" t="str">
        <f t="shared" si="217"/>
        <v>1+0,0130744332112172i</v>
      </c>
      <c r="AX268">
        <f t="shared" si="241"/>
        <v>1.0000854667496146</v>
      </c>
      <c r="AY268">
        <f t="shared" si="242"/>
        <v>1.3073688302909415E-2</v>
      </c>
      <c r="AZ268" t="str">
        <f t="shared" si="218"/>
        <v>1+4,37121883695028i</v>
      </c>
      <c r="BA268">
        <f t="shared" si="243"/>
        <v>4.4841447479434651</v>
      </c>
      <c r="BB268">
        <f t="shared" si="244"/>
        <v>1.3458972659373649</v>
      </c>
      <c r="BC268" s="41" t="str">
        <f t="shared" si="245"/>
        <v>-3,64414233952567+0,883956363567935i</v>
      </c>
      <c r="BD268">
        <f t="shared" si="246"/>
        <v>11.480209104742427</v>
      </c>
      <c r="BE268" s="43">
        <f t="shared" si="247"/>
        <v>166.36516583398131</v>
      </c>
      <c r="BF268" s="41" t="str">
        <f t="shared" si="248"/>
        <v>0,822399660841494+3,13070244419938i</v>
      </c>
      <c r="BG268" s="20">
        <f t="shared" si="249"/>
        <v>10.202634308909326</v>
      </c>
      <c r="BH268" s="43">
        <f t="shared" si="250"/>
        <v>75.281590287210008</v>
      </c>
      <c r="BI268" s="41" t="str">
        <f t="shared" si="255"/>
        <v>2,31942776947657+10,4498980718102i</v>
      </c>
      <c r="BJ268" s="20">
        <f t="shared" si="251"/>
        <v>20.591092533792228</v>
      </c>
      <c r="BK268" s="43">
        <f t="shared" si="256"/>
        <v>77.485675448780796</v>
      </c>
      <c r="BL268">
        <f t="shared" si="252"/>
        <v>10.202634308909326</v>
      </c>
      <c r="BM268" s="43">
        <f t="shared" si="253"/>
        <v>75.281590287210008</v>
      </c>
    </row>
    <row r="269" spans="14:65" x14ac:dyDescent="0.25">
      <c r="N269" s="9">
        <v>51</v>
      </c>
      <c r="O269" s="34">
        <f t="shared" si="254"/>
        <v>3235.9365692962833</v>
      </c>
      <c r="P269" s="33" t="str">
        <f t="shared" si="206"/>
        <v>66,7780509511648</v>
      </c>
      <c r="Q269" s="4" t="str">
        <f t="shared" si="207"/>
        <v>1+79,2420952829752i</v>
      </c>
      <c r="R269" s="4">
        <f t="shared" si="219"/>
        <v>79.248404809410019</v>
      </c>
      <c r="S269" s="4">
        <f t="shared" si="220"/>
        <v>1.5581774413766187</v>
      </c>
      <c r="T269" s="4" t="str">
        <f t="shared" si="208"/>
        <v>1+0,0203319891071675i</v>
      </c>
      <c r="U269" s="4">
        <f t="shared" si="221"/>
        <v>1.0002066735335522</v>
      </c>
      <c r="V269" s="4">
        <f t="shared" si="222"/>
        <v>2.0329188123031812E-2</v>
      </c>
      <c r="W269" t="str">
        <f t="shared" si="209"/>
        <v>1-0,0442296377916415i</v>
      </c>
      <c r="X269" s="4">
        <f t="shared" si="223"/>
        <v>1.0009776525273577</v>
      </c>
      <c r="Y269" s="4">
        <f t="shared" si="224"/>
        <v>-4.4200830027647506E-2</v>
      </c>
      <c r="Z269" t="str">
        <f t="shared" si="210"/>
        <v>0,99998952871452+0,00869335048273751i</v>
      </c>
      <c r="AA269" s="4">
        <f t="shared" si="225"/>
        <v>1.0000273155675816</v>
      </c>
      <c r="AB269" s="4">
        <f t="shared" si="226"/>
        <v>8.6932225192134366E-3</v>
      </c>
      <c r="AC269" s="47" t="str">
        <f t="shared" si="227"/>
        <v>-0,0168256572296311-0,843449491630256i</v>
      </c>
      <c r="AD269" s="20">
        <f t="shared" si="228"/>
        <v>-1.4770904631451605</v>
      </c>
      <c r="AE269" s="43">
        <f t="shared" si="229"/>
        <v>-91.142820415274628</v>
      </c>
      <c r="AF269" t="str">
        <f t="shared" si="211"/>
        <v>223,849857273222</v>
      </c>
      <c r="AG269" t="str">
        <f t="shared" si="212"/>
        <v>1+80,2601740146216i</v>
      </c>
      <c r="AH269">
        <f t="shared" si="230"/>
        <v>80.266403512661142</v>
      </c>
      <c r="AI269">
        <f t="shared" si="231"/>
        <v>1.5583374918760169</v>
      </c>
      <c r="AJ269" t="str">
        <f t="shared" si="213"/>
        <v>1+0,0203319891071675i</v>
      </c>
      <c r="AK269">
        <f t="shared" si="232"/>
        <v>1.0002066735335522</v>
      </c>
      <c r="AL269">
        <f t="shared" si="233"/>
        <v>2.0329188123031812E-2</v>
      </c>
      <c r="AM269" t="str">
        <f t="shared" si="214"/>
        <v>1-0,0133639303630606i</v>
      </c>
      <c r="AN269">
        <f t="shared" si="234"/>
        <v>1.0000892933307248</v>
      </c>
      <c r="AO269">
        <f t="shared" si="235"/>
        <v>-1.3363134872880362E-2</v>
      </c>
      <c r="AP269" s="41" t="str">
        <f t="shared" si="236"/>
        <v>0,0541854592544912-2,78913543348789i</v>
      </c>
      <c r="AQ269">
        <f t="shared" si="237"/>
        <v>8.9110308710640123</v>
      </c>
      <c r="AR269" s="43">
        <f t="shared" si="238"/>
        <v>-88.887035890400909</v>
      </c>
      <c r="AS269" t="str">
        <f t="shared" si="215"/>
        <v>-0,0000166666666666667</v>
      </c>
      <c r="AT269" t="str">
        <f t="shared" si="216"/>
        <v>0,000020392985074489i</v>
      </c>
      <c r="AU269">
        <f t="shared" si="239"/>
        <v>2.0392985074489001E-5</v>
      </c>
      <c r="AV269">
        <f t="shared" si="240"/>
        <v>1.5707963267948966</v>
      </c>
      <c r="AW269" t="str">
        <f t="shared" si="217"/>
        <v>1+0,0133789758830813i</v>
      </c>
      <c r="AX269">
        <f t="shared" si="241"/>
        <v>1.0000894944932079</v>
      </c>
      <c r="AY269">
        <f t="shared" si="242"/>
        <v>1.33781777033065E-2</v>
      </c>
      <c r="AZ269" t="str">
        <f t="shared" si="218"/>
        <v>1+4,47303760357685i</v>
      </c>
      <c r="BA269">
        <f t="shared" si="243"/>
        <v>4.5834556180912811</v>
      </c>
      <c r="BB269">
        <f t="shared" si="244"/>
        <v>1.350851276803283</v>
      </c>
      <c r="BC269" s="41" t="str">
        <f t="shared" si="245"/>
        <v>-3,64411298686977+0,866028999099964i</v>
      </c>
      <c r="BD269">
        <f t="shared" si="246"/>
        <v>11.470442268323266</v>
      </c>
      <c r="BE269" s="43">
        <f t="shared" si="247"/>
        <v>166.63156379071111</v>
      </c>
      <c r="BF269" s="41" t="str">
        <f t="shared" si="248"/>
        <v>0,791766315051042+3,05905373912874i</v>
      </c>
      <c r="BG269" s="20">
        <f t="shared" si="249"/>
        <v>9.9933518051780919</v>
      </c>
      <c r="BH269" s="43">
        <f t="shared" si="250"/>
        <v>75.488743375436471</v>
      </c>
      <c r="BI269" s="41" t="str">
        <f t="shared" si="255"/>
        <v>2,21801423204897+10,2108508343558i</v>
      </c>
      <c r="BJ269" s="20">
        <f t="shared" si="251"/>
        <v>20.381473139387275</v>
      </c>
      <c r="BK269" s="43">
        <f t="shared" si="256"/>
        <v>77.744527900310189</v>
      </c>
      <c r="BL269">
        <f t="shared" si="252"/>
        <v>9.9933518051780919</v>
      </c>
      <c r="BM269" s="43">
        <f t="shared" si="253"/>
        <v>75.488743375436471</v>
      </c>
    </row>
    <row r="270" spans="14:65" x14ac:dyDescent="0.25">
      <c r="N270" s="9">
        <v>52</v>
      </c>
      <c r="O270" s="34">
        <f t="shared" si="254"/>
        <v>3311.3112148259115</v>
      </c>
      <c r="P270" s="33" t="str">
        <f t="shared" si="206"/>
        <v>66,7780509511648</v>
      </c>
      <c r="Q270" s="4" t="str">
        <f t="shared" si="207"/>
        <v>1+81,0878807967126i</v>
      </c>
      <c r="R270" s="4">
        <f t="shared" si="219"/>
        <v>81.094046711838672</v>
      </c>
      <c r="S270" s="4">
        <f t="shared" si="220"/>
        <v>1.5584646528184618</v>
      </c>
      <c r="T270" s="4" t="str">
        <f t="shared" si="208"/>
        <v>1+0,0208055819724932i</v>
      </c>
      <c r="U270" s="4">
        <f t="shared" si="221"/>
        <v>1.0002164127033779</v>
      </c>
      <c r="V270" s="4">
        <f t="shared" si="222"/>
        <v>2.0802580698989374E-2</v>
      </c>
      <c r="W270" t="str">
        <f t="shared" si="209"/>
        <v>1-0,0452598784033029i</v>
      </c>
      <c r="X270" s="4">
        <f t="shared" si="223"/>
        <v>1.0010237043112824</v>
      </c>
      <c r="Y270" s="4">
        <f t="shared" si="224"/>
        <v>-4.5229012032710535E-2</v>
      </c>
      <c r="Z270" t="str">
        <f t="shared" si="210"/>
        <v>0,999989035218039+0,00889584462842583i</v>
      </c>
      <c r="AA270" s="4">
        <f t="shared" si="225"/>
        <v>1.0000286028949161</v>
      </c>
      <c r="AB270" s="4">
        <f t="shared" si="226"/>
        <v>8.8957075132416047E-3</v>
      </c>
      <c r="AC270" s="47" t="str">
        <f>(IMDIV(IMPRODUCT(P270,T270,W270),IMPRODUCT(Q270,Z270)))</f>
        <v>-0,0173045714155379-0,824280452343527i</v>
      </c>
      <c r="AD270" s="20">
        <f t="shared" si="228"/>
        <v>-1.6765863445803633</v>
      </c>
      <c r="AE270" s="43">
        <f t="shared" si="229"/>
        <v>-91.202665047098861</v>
      </c>
      <c r="AF270" t="str">
        <f t="shared" si="211"/>
        <v>223,849857273222</v>
      </c>
      <c r="AG270" t="str">
        <f t="shared" si="212"/>
        <v>1+82,1296736283964i</v>
      </c>
      <c r="AH270">
        <f t="shared" si="230"/>
        <v>82.135761336380824</v>
      </c>
      <c r="AI270">
        <f t="shared" si="231"/>
        <v>1.5586210612304408</v>
      </c>
      <c r="AJ270" t="str">
        <f t="shared" si="213"/>
        <v>1+0,0208055819724932i</v>
      </c>
      <c r="AK270">
        <f t="shared" si="232"/>
        <v>1.0002164127033779</v>
      </c>
      <c r="AL270">
        <f t="shared" si="233"/>
        <v>2.0802580698989374E-2</v>
      </c>
      <c r="AM270" t="str">
        <f t="shared" si="214"/>
        <v>1-0,013675216289848i</v>
      </c>
      <c r="AN270">
        <f t="shared" si="234"/>
        <v>1.0000935013990313</v>
      </c>
      <c r="AO270">
        <f t="shared" si="235"/>
        <v>-1.3674363911066741E-2</v>
      </c>
      <c r="AP270" s="41" t="str">
        <f t="shared" si="236"/>
        <v>0,0526220554336311-2,72570089805349i</v>
      </c>
      <c r="AQ270">
        <f t="shared" si="237"/>
        <v>8.7111823330745786</v>
      </c>
      <c r="AR270" s="43">
        <f t="shared" si="238"/>
        <v>-88.893991931303447</v>
      </c>
      <c r="AS270" t="str">
        <f t="shared" si="215"/>
        <v>-0,0000166666666666667</v>
      </c>
      <c r="AT270" t="str">
        <f t="shared" si="216"/>
        <v>0,0000208679987184106i</v>
      </c>
      <c r="AU270">
        <f t="shared" si="239"/>
        <v>2.08679987184106E-5</v>
      </c>
      <c r="AV270">
        <f t="shared" si="240"/>
        <v>1.5707963267948966</v>
      </c>
      <c r="AW270" t="str">
        <f t="shared" si="217"/>
        <v>1+0,0136906122650504i</v>
      </c>
      <c r="AX270">
        <f t="shared" si="241"/>
        <v>1.0000937120411226</v>
      </c>
      <c r="AY270">
        <f t="shared" si="242"/>
        <v>1.3689757004340926E-2</v>
      </c>
      <c r="AZ270" t="str">
        <f t="shared" si="218"/>
        <v>1+4,5772280339485i</v>
      </c>
      <c r="BA270">
        <f t="shared" si="243"/>
        <v>4.685191188709811</v>
      </c>
      <c r="BB270">
        <f t="shared" si="244"/>
        <v>1.3557031471570222</v>
      </c>
      <c r="BC270" s="41" t="str">
        <f t="shared" si="245"/>
        <v>-3,64408225137262+0,848560777652128i</v>
      </c>
      <c r="BD270">
        <f t="shared" si="246"/>
        <v>11.461091387462615</v>
      </c>
      <c r="BE270" s="43">
        <f t="shared" si="247"/>
        <v>166.89170330579211</v>
      </c>
      <c r="BF270" s="41" t="str">
        <f t="shared" si="248"/>
        <v>0,762511343207043+2,98906178596114i</v>
      </c>
      <c r="BG270" s="20">
        <f t="shared" si="249"/>
        <v>9.7845050428822624</v>
      </c>
      <c r="BH270" s="43">
        <f t="shared" si="250"/>
        <v>75.689038258693259</v>
      </c>
      <c r="BI270" s="41" t="str">
        <f t="shared" si="255"/>
        <v>2,12116377546293+9,97733127742755i</v>
      </c>
      <c r="BJ270" s="20">
        <f t="shared" si="251"/>
        <v>20.172273720537191</v>
      </c>
      <c r="BK270" s="43">
        <f t="shared" si="256"/>
        <v>77.997711374488688</v>
      </c>
      <c r="BL270">
        <f t="shared" si="252"/>
        <v>9.7845050428822624</v>
      </c>
      <c r="BM270" s="43">
        <f t="shared" si="253"/>
        <v>75.689038258693259</v>
      </c>
    </row>
    <row r="271" spans="14:65" x14ac:dyDescent="0.25">
      <c r="N271" s="9">
        <v>53</v>
      </c>
      <c r="O271" s="34">
        <f t="shared" si="254"/>
        <v>3388.4415613920314</v>
      </c>
      <c r="P271" s="33" t="str">
        <f t="shared" si="206"/>
        <v>66,7780509511648</v>
      </c>
      <c r="Q271" s="4" t="str">
        <f t="shared" si="207"/>
        <v>1+82,9766601781732i</v>
      </c>
      <c r="R271" s="4">
        <f t="shared" si="219"/>
        <v>82.982685750245722</v>
      </c>
      <c r="S271" s="4">
        <f t="shared" si="220"/>
        <v>1.5587453284957267</v>
      </c>
      <c r="T271" s="4" t="str">
        <f t="shared" si="208"/>
        <v>1+0,0212902062327751i</v>
      </c>
      <c r="U271" s="4">
        <f t="shared" si="221"/>
        <v>1.0002266107644977</v>
      </c>
      <c r="V271" s="4">
        <f t="shared" si="222"/>
        <v>2.128699034962489E-2</v>
      </c>
      <c r="W271" t="str">
        <f t="shared" si="209"/>
        <v>1-0,046314116401579i</v>
      </c>
      <c r="X271" s="4">
        <f t="shared" si="223"/>
        <v>1.0010719241783075</v>
      </c>
      <c r="Y271" s="4">
        <f t="shared" si="224"/>
        <v>-4.6281044402018176E-2</v>
      </c>
      <c r="Z271" t="str">
        <f t="shared" si="210"/>
        <v>0,999988518463785+0,00910305546868655i</v>
      </c>
      <c r="AA271" s="4">
        <f t="shared" si="225"/>
        <v>1.000029950890603</v>
      </c>
      <c r="AB271" s="4">
        <f t="shared" si="226"/>
        <v>9.1029085473464683E-3</v>
      </c>
      <c r="AC271" s="47" t="str">
        <f t="shared" si="227"/>
        <v>-0,0177619584914956-0,805547925849358i</v>
      </c>
      <c r="AD271" s="20">
        <f t="shared" si="228"/>
        <v>-1.8760613761686953</v>
      </c>
      <c r="AE271" s="43">
        <f t="shared" si="229"/>
        <v>-91.263140709718726</v>
      </c>
      <c r="AF271" t="str">
        <f t="shared" si="211"/>
        <v>223,849857273222</v>
      </c>
      <c r="AG271" t="str">
        <f t="shared" si="212"/>
        <v>1+84,0427194822436i</v>
      </c>
      <c r="AH271">
        <f t="shared" si="230"/>
        <v>84.048668626999003</v>
      </c>
      <c r="AI271">
        <f t="shared" si="231"/>
        <v>1.558898177650462</v>
      </c>
      <c r="AJ271" t="str">
        <f t="shared" si="213"/>
        <v>1+0,0212902062327751i</v>
      </c>
      <c r="AK271">
        <f t="shared" si="232"/>
        <v>1.0002266107644977</v>
      </c>
      <c r="AL271">
        <f t="shared" si="233"/>
        <v>2.128699034962489E-2</v>
      </c>
      <c r="AM271" t="str">
        <f t="shared" si="214"/>
        <v>1-0,0139937529973251i</v>
      </c>
      <c r="AN271">
        <f t="shared" si="234"/>
        <v>1.0000979077685095</v>
      </c>
      <c r="AO271">
        <f t="shared" si="235"/>
        <v>-1.3992839661834707E-2</v>
      </c>
      <c r="AP271" s="41" t="str">
        <f t="shared" si="236"/>
        <v>0,0511289959847457-2,66370985159852i</v>
      </c>
      <c r="AQ271">
        <f t="shared" si="237"/>
        <v>8.5113381360532845</v>
      </c>
      <c r="AR271" s="43">
        <f t="shared" si="238"/>
        <v>-88.90036222046389</v>
      </c>
      <c r="AS271" t="str">
        <f t="shared" si="215"/>
        <v>-0,0000166666666666667</v>
      </c>
      <c r="AT271" t="str">
        <f t="shared" si="216"/>
        <v>0,0000213540768514734i</v>
      </c>
      <c r="AU271">
        <f t="shared" si="239"/>
        <v>2.1354076851473399E-5</v>
      </c>
      <c r="AV271">
        <f t="shared" si="240"/>
        <v>1.5707963267948966</v>
      </c>
      <c r="AW271" t="str">
        <f t="shared" si="217"/>
        <v>1+0,014009507590859i</v>
      </c>
      <c r="AX271">
        <f t="shared" si="241"/>
        <v>1.0000981283368839</v>
      </c>
      <c r="AY271">
        <f t="shared" si="242"/>
        <v>1.400859116735413E-2</v>
      </c>
      <c r="AZ271" t="str">
        <f t="shared" si="218"/>
        <v>1+4,68384537121052i</v>
      </c>
      <c r="BA271">
        <f t="shared" si="243"/>
        <v>4.7894057524300671</v>
      </c>
      <c r="BB271">
        <f t="shared" si="244"/>
        <v>1.3604545353778659</v>
      </c>
      <c r="BC271" s="41" t="str">
        <f t="shared" si="245"/>
        <v>-3,64405006791179+0,831542434695665i</v>
      </c>
      <c r="BD271">
        <f t="shared" si="246"/>
        <v>11.452139304335418</v>
      </c>
      <c r="BE271" s="43">
        <f t="shared" si="247"/>
        <v>167.14566994576938</v>
      </c>
      <c r="BF271" s="41" t="str">
        <f t="shared" si="248"/>
        <v>0,734572749571999+2,92068715168857i</v>
      </c>
      <c r="BG271" s="20">
        <f t="shared" si="249"/>
        <v>9.5760779281667148</v>
      </c>
      <c r="BH271" s="43">
        <f t="shared" si="250"/>
        <v>75.882529236050672</v>
      </c>
      <c r="BI271" s="41" t="str">
        <f t="shared" si="255"/>
        <v>2,02867115403059+9,74920799541959i</v>
      </c>
      <c r="BJ271" s="20">
        <f t="shared" si="251"/>
        <v>19.963477440388704</v>
      </c>
      <c r="BK271" s="43">
        <f t="shared" si="256"/>
        <v>78.245307725305508</v>
      </c>
      <c r="BL271">
        <f t="shared" si="252"/>
        <v>9.5760779281667148</v>
      </c>
      <c r="BM271" s="43">
        <f t="shared" si="253"/>
        <v>75.882529236050672</v>
      </c>
    </row>
    <row r="272" spans="14:65" x14ac:dyDescent="0.25">
      <c r="N272" s="9">
        <v>54</v>
      </c>
      <c r="O272" s="34">
        <f t="shared" si="254"/>
        <v>3467.3685045253224</v>
      </c>
      <c r="P272" s="33" t="str">
        <f t="shared" si="206"/>
        <v>66,7780509511648</v>
      </c>
      <c r="Q272" s="4" t="str">
        <f t="shared" si="207"/>
        <v>1+84,9094348831862i</v>
      </c>
      <c r="R272" s="4">
        <f t="shared" si="219"/>
        <v>84.915323306114999</v>
      </c>
      <c r="S272" s="4">
        <f t="shared" si="220"/>
        <v>1.5590196170493806</v>
      </c>
      <c r="T272" s="4" t="str">
        <f t="shared" si="208"/>
        <v>1+0,0217861188422108i</v>
      </c>
      <c r="U272" s="4">
        <f t="shared" si="221"/>
        <v>1.0002372893339895</v>
      </c>
      <c r="V272" s="4">
        <f t="shared" si="222"/>
        <v>2.1782673005481448E-2</v>
      </c>
      <c r="W272" t="str">
        <f t="shared" si="209"/>
        <v>1-0,0473929107574109i</v>
      </c>
      <c r="X272" s="4">
        <f t="shared" si="223"/>
        <v>1.001122414088337</v>
      </c>
      <c r="Y272" s="4">
        <f t="shared" si="224"/>
        <v>-4.7357475616877379E-2</v>
      </c>
      <c r="Z272" t="str">
        <f t="shared" si="210"/>
        <v>0,999987977355654+0,00931509286944995i</v>
      </c>
      <c r="AA272" s="4">
        <f t="shared" si="225"/>
        <v>1.0000313624137089</v>
      </c>
      <c r="AB272" s="4">
        <f t="shared" si="226"/>
        <v>9.3149354406522299E-3</v>
      </c>
      <c r="AC272" s="47" t="str">
        <f t="shared" si="227"/>
        <v>-0,0181987877713562-0,78724201536382i</v>
      </c>
      <c r="AD272" s="20">
        <f t="shared" si="228"/>
        <v>-2.0755144502223883</v>
      </c>
      <c r="AE272" s="43">
        <f t="shared" si="229"/>
        <v>-91.324278973730699</v>
      </c>
      <c r="AF272" t="str">
        <f t="shared" si="211"/>
        <v>223,849857273222</v>
      </c>
      <c r="AG272" t="str">
        <f t="shared" si="212"/>
        <v>1+86,0003258983971i</v>
      </c>
      <c r="AH272">
        <f t="shared" si="230"/>
        <v>86.006139633345427</v>
      </c>
      <c r="AI272">
        <f t="shared" si="231"/>
        <v>1.5591689878965311</v>
      </c>
      <c r="AJ272" t="str">
        <f t="shared" si="213"/>
        <v>1+0,0217861188422108i</v>
      </c>
      <c r="AK272">
        <f t="shared" si="232"/>
        <v>1.0002372893339895</v>
      </c>
      <c r="AL272">
        <f t="shared" si="233"/>
        <v>2.1782673005481448E-2</v>
      </c>
      <c r="AM272" t="str">
        <f t="shared" si="214"/>
        <v>1-0,0143197093778705i</v>
      </c>
      <c r="AN272">
        <f t="shared" si="234"/>
        <v>1.0001025217829753</v>
      </c>
      <c r="AO272">
        <f t="shared" si="235"/>
        <v>-1.4318730726678658E-2</v>
      </c>
      <c r="AP272" s="41" t="str">
        <f t="shared" si="236"/>
        <v>0,0497031166833795-2,60312954000069i</v>
      </c>
      <c r="AQ272">
        <f t="shared" si="237"/>
        <v>8.3114986101560113</v>
      </c>
      <c r="AR272" s="43">
        <f t="shared" si="238"/>
        <v>-88.906150163050711</v>
      </c>
      <c r="AS272" t="str">
        <f t="shared" si="215"/>
        <v>-0,0000166666666666667</v>
      </c>
      <c r="AT272" t="str">
        <f t="shared" si="216"/>
        <v>0,0000218514771987374i</v>
      </c>
      <c r="AU272">
        <f t="shared" si="239"/>
        <v>2.1851477198737399E-5</v>
      </c>
      <c r="AV272">
        <f t="shared" si="240"/>
        <v>1.5707963267948966</v>
      </c>
      <c r="AW272" t="str">
        <f t="shared" si="217"/>
        <v>1+0,01433583094303i</v>
      </c>
      <c r="AX272">
        <f t="shared" si="241"/>
        <v>1.0001027527453503</v>
      </c>
      <c r="AY272">
        <f t="shared" si="242"/>
        <v>1.4334848983001596E-2</v>
      </c>
      <c r="AZ272" t="str">
        <f t="shared" si="218"/>
        <v>1+4,79294614528637i</v>
      </c>
      <c r="BA272">
        <f t="shared" si="243"/>
        <v>4.8961548945693565</v>
      </c>
      <c r="BB272">
        <f t="shared" si="244"/>
        <v>1.3651071021917458</v>
      </c>
      <c r="BC272" s="41" t="str">
        <f t="shared" si="245"/>
        <v>-3,64401636830047+0,8149649440442i</v>
      </c>
      <c r="BD272">
        <f t="shared" si="246"/>
        <v>11.443569485170359</v>
      </c>
      <c r="BE272" s="43">
        <f t="shared" si="247"/>
        <v>167.3935491922376</v>
      </c>
      <c r="BF272" s="41" t="str">
        <f t="shared" si="248"/>
        <v>0,707891325522267+2,85389141574185i</v>
      </c>
      <c r="BG272" s="20">
        <f t="shared" si="249"/>
        <v>9.3680550349479592</v>
      </c>
      <c r="BH272" s="43">
        <f t="shared" si="250"/>
        <v>76.069270218506887</v>
      </c>
      <c r="BI272" s="41" t="str">
        <f t="shared" si="255"/>
        <v>1,94034034915668+9,52635295027568i</v>
      </c>
      <c r="BJ272" s="20">
        <f t="shared" si="251"/>
        <v>19.755068095326369</v>
      </c>
      <c r="BK272" s="43">
        <f t="shared" si="256"/>
        <v>78.487399029186903</v>
      </c>
      <c r="BL272">
        <f t="shared" si="252"/>
        <v>9.3680550349479592</v>
      </c>
      <c r="BM272" s="43">
        <f t="shared" si="253"/>
        <v>76.069270218506887</v>
      </c>
    </row>
    <row r="273" spans="14:65" x14ac:dyDescent="0.25">
      <c r="N273" s="9">
        <v>55</v>
      </c>
      <c r="O273" s="34">
        <f t="shared" si="254"/>
        <v>3548.1338923357539</v>
      </c>
      <c r="P273" s="33" t="str">
        <f t="shared" si="206"/>
        <v>66,7780509511648</v>
      </c>
      <c r="Q273" s="4" t="str">
        <f t="shared" si="207"/>
        <v>1+86,887229694483i</v>
      </c>
      <c r="R273" s="4">
        <f t="shared" si="219"/>
        <v>86.892984089521576</v>
      </c>
      <c r="S273" s="4">
        <f t="shared" si="220"/>
        <v>1.5592876637456639</v>
      </c>
      <c r="T273" s="4" t="str">
        <f t="shared" si="208"/>
        <v>1+0,0222935827402299i</v>
      </c>
      <c r="U273" s="4">
        <f t="shared" si="221"/>
        <v>1.0002484710467672</v>
      </c>
      <c r="V273" s="4">
        <f t="shared" si="222"/>
        <v>2.2289890509186686E-2</v>
      </c>
      <c r="W273" t="str">
        <f t="shared" si="209"/>
        <v>1-0,0484968334618455i</v>
      </c>
      <c r="X273" s="4">
        <f t="shared" si="223"/>
        <v>1.0011752807854508</v>
      </c>
      <c r="Y273" s="4">
        <f t="shared" si="224"/>
        <v>-4.8458866431569214E-2</v>
      </c>
      <c r="Z273" t="str">
        <f t="shared" si="210"/>
        <v>0,999987410745882+0,00953206925575251i</v>
      </c>
      <c r="AA273" s="4">
        <f t="shared" si="225"/>
        <v>1.000032840458027</v>
      </c>
      <c r="AB273" s="4">
        <f t="shared" si="226"/>
        <v>9.531900568042144E-3</v>
      </c>
      <c r="AC273" s="47" t="str">
        <f t="shared" si="227"/>
        <v>-0,0186159850392261-0,769353047933795i</v>
      </c>
      <c r="AD273" s="20">
        <f t="shared" si="228"/>
        <v>-2.2749444130353358</v>
      </c>
      <c r="AE273" s="43">
        <f t="shared" si="229"/>
        <v>-91.386111727259959</v>
      </c>
      <c r="AF273" t="str">
        <f t="shared" si="211"/>
        <v>223,849857273222</v>
      </c>
      <c r="AG273" t="str">
        <f t="shared" si="212"/>
        <v>1+88,0035308256904i</v>
      </c>
      <c r="AH273">
        <f t="shared" si="230"/>
        <v>88.009212232517129</v>
      </c>
      <c r="AI273">
        <f t="shared" si="231"/>
        <v>1.5594336353968483</v>
      </c>
      <c r="AJ273" t="str">
        <f t="shared" si="213"/>
        <v>1+0,0222935827402299i</v>
      </c>
      <c r="AK273">
        <f t="shared" si="232"/>
        <v>1.0002484710467672</v>
      </c>
      <c r="AL273">
        <f t="shared" si="233"/>
        <v>2.2289890509186686E-2</v>
      </c>
      <c r="AM273" t="str">
        <f t="shared" si="214"/>
        <v>1-0,0146532582578719i</v>
      </c>
      <c r="AN273">
        <f t="shared" si="234"/>
        <v>1.0001073532264284</v>
      </c>
      <c r="AO273">
        <f t="shared" si="235"/>
        <v>-1.4652209620306065E-2</v>
      </c>
      <c r="AP273" s="41" t="str">
        <f t="shared" si="236"/>
        <v>0,0483413955608486-2,5439279494991i</v>
      </c>
      <c r="AQ273">
        <f t="shared" si="237"/>
        <v>8.1116640954206751</v>
      </c>
      <c r="AR273" s="43">
        <f t="shared" si="238"/>
        <v>-88.911358858781639</v>
      </c>
      <c r="AS273" t="str">
        <f t="shared" si="215"/>
        <v>-0,0000166666666666667</v>
      </c>
      <c r="AT273" t="str">
        <f t="shared" si="216"/>
        <v>0,0000223604634884506i</v>
      </c>
      <c r="AU273">
        <f t="shared" si="239"/>
        <v>2.2360463488450601E-5</v>
      </c>
      <c r="AV273">
        <f t="shared" si="240"/>
        <v>1.5707963267948966</v>
      </c>
      <c r="AW273" t="str">
        <f t="shared" si="217"/>
        <v>1+0,0146697553425242i</v>
      </c>
      <c r="AX273">
        <f t="shared" si="241"/>
        <v>1.0001075950725549</v>
      </c>
      <c r="AY273">
        <f t="shared" si="242"/>
        <v>1.4668703159510405E-2</v>
      </c>
      <c r="AZ273" t="str">
        <f t="shared" si="218"/>
        <v>1+4,90458820285057i</v>
      </c>
      <c r="BA273">
        <f t="shared" si="243"/>
        <v>5.0054955238758305</v>
      </c>
      <c r="BB273">
        <f t="shared" si="244"/>
        <v>1.3696625083858149</v>
      </c>
      <c r="BC273" s="41" t="str">
        <f t="shared" si="245"/>
        <v>-3,64398108114344+0,798819513054405i</v>
      </c>
      <c r="BD273">
        <f t="shared" si="246"/>
        <v>11.435366003029957</v>
      </c>
      <c r="BE273" s="43">
        <f t="shared" si="247"/>
        <v>167.63542630583876</v>
      </c>
      <c r="BF273" s="41" t="str">
        <f t="shared" si="248"/>
        <v>0,682410524407186+2,78863713928673i</v>
      </c>
      <c r="BG273" s="20">
        <f t="shared" si="249"/>
        <v>9.1604215899946269</v>
      </c>
      <c r="BH273" s="43">
        <f t="shared" si="250"/>
        <v>76.249314578578819</v>
      </c>
      <c r="BI273" s="41" t="str">
        <f t="shared" si="255"/>
        <v>1,85598415500456+9,30864136982903i</v>
      </c>
      <c r="BJ273" s="20">
        <f t="shared" si="251"/>
        <v>19.547030098450627</v>
      </c>
      <c r="BK273" s="43">
        <f t="shared" si="256"/>
        <v>78.724067447057109</v>
      </c>
      <c r="BL273">
        <f t="shared" si="252"/>
        <v>9.1604215899946269</v>
      </c>
      <c r="BM273" s="43">
        <f t="shared" si="253"/>
        <v>76.249314578578819</v>
      </c>
    </row>
    <row r="274" spans="14:65" x14ac:dyDescent="0.25">
      <c r="N274" s="9">
        <v>56</v>
      </c>
      <c r="O274" s="34">
        <f t="shared" si="254"/>
        <v>3630.7805477010188</v>
      </c>
      <c r="P274" s="33" t="str">
        <f t="shared" si="206"/>
        <v>66,7780509511648</v>
      </c>
      <c r="Q274" s="4" t="str">
        <f t="shared" si="207"/>
        <v>1+88,911093265053i</v>
      </c>
      <c r="R274" s="4">
        <f t="shared" si="219"/>
        <v>88.916716682449277</v>
      </c>
      <c r="S274" s="4">
        <f t="shared" si="220"/>
        <v>1.559549610552323</v>
      </c>
      <c r="T274" s="4" t="str">
        <f t="shared" si="208"/>
        <v>1+0,0228128669909085i</v>
      </c>
      <c r="U274" s="4">
        <f t="shared" si="221"/>
        <v>1.0002601796034594</v>
      </c>
      <c r="V274" s="4">
        <f t="shared" si="222"/>
        <v>2.2808910749643651E-2</v>
      </c>
      <c r="W274" t="str">
        <f t="shared" si="209"/>
        <v>1-0,0496264698293135i</v>
      </c>
      <c r="X274" s="4">
        <f t="shared" si="223"/>
        <v>1.0012306360213514</v>
      </c>
      <c r="Y274" s="4">
        <f t="shared" si="224"/>
        <v>-4.9585790123566904E-2</v>
      </c>
      <c r="Z274" t="str">
        <f t="shared" si="210"/>
        <v>0,999986817432614+0,00975409967134639i</v>
      </c>
      <c r="AA274" s="4">
        <f t="shared" si="225"/>
        <v>1.0000343881584306</v>
      </c>
      <c r="AB274" s="4">
        <f t="shared" si="226"/>
        <v>9.7539189195286168E-3</v>
      </c>
      <c r="AC274" s="47" t="str">
        <f t="shared" si="227"/>
        <v>-0,0190144345064833-0,75187156946594i</v>
      </c>
      <c r="AD274" s="20">
        <f t="shared" si="228"/>
        <v>-2.474350062490239</v>
      </c>
      <c r="AE274" s="43">
        <f t="shared" si="229"/>
        <v>-91.448671190377809</v>
      </c>
      <c r="AF274" t="str">
        <f t="shared" si="211"/>
        <v>223,849857273222</v>
      </c>
      <c r="AG274" t="str">
        <f t="shared" si="212"/>
        <v>1+90,0533963898926i</v>
      </c>
      <c r="AH274">
        <f t="shared" si="230"/>
        <v>90.05894848017671</v>
      </c>
      <c r="AI274">
        <f t="shared" si="231"/>
        <v>1.5596922603226522</v>
      </c>
      <c r="AJ274" t="str">
        <f t="shared" si="213"/>
        <v>1+0,0228128669909085i</v>
      </c>
      <c r="AK274">
        <f t="shared" si="232"/>
        <v>1.0002601796034594</v>
      </c>
      <c r="AL274">
        <f t="shared" si="233"/>
        <v>2.2808910749643651E-2</v>
      </c>
      <c r="AM274" t="str">
        <f t="shared" si="214"/>
        <v>1-0,0149945764893604i</v>
      </c>
      <c r="AN274">
        <f t="shared" si="234"/>
        <v>1.0001124123437801</v>
      </c>
      <c r="AO274">
        <f t="shared" si="235"/>
        <v>-1.4993452860785421E-2</v>
      </c>
      <c r="AP274" s="41" t="str">
        <f t="shared" si="236"/>
        <v>0,0470409465155541-2,4860737902288i</v>
      </c>
      <c r="AQ274">
        <f t="shared" si="237"/>
        <v>7.91183494248508</v>
      </c>
      <c r="AR274" s="43">
        <f t="shared" si="238"/>
        <v>-88.915991103713878</v>
      </c>
      <c r="AS274" t="str">
        <f t="shared" si="215"/>
        <v>-0,0000166666666666667</v>
      </c>
      <c r="AT274" t="str">
        <f t="shared" si="216"/>
        <v>0,0000228813055918812i</v>
      </c>
      <c r="AU274">
        <f t="shared" si="239"/>
        <v>2.28813055918812E-5</v>
      </c>
      <c r="AV274">
        <f t="shared" si="240"/>
        <v>1.5707963267948966</v>
      </c>
      <c r="AW274" t="str">
        <f t="shared" si="217"/>
        <v>1+0,0150114578404782i</v>
      </c>
      <c r="AX274">
        <f t="shared" si="241"/>
        <v>1.0001126655864812</v>
      </c>
      <c r="AY274">
        <f t="shared" si="242"/>
        <v>1.5010330412925764E-2</v>
      </c>
      <c r="AZ274" t="str">
        <f t="shared" si="218"/>
        <v>1+5,01883073799987i</v>
      </c>
      <c r="BA274">
        <f t="shared" si="243"/>
        <v>5.1174859039075349</v>
      </c>
      <c r="BB274">
        <f t="shared" si="244"/>
        <v>1.3741224126804834</v>
      </c>
      <c r="BC274" s="41" t="str">
        <f t="shared" si="245"/>
        <v>-3,64394413168642+0,783097577949557i</v>
      </c>
      <c r="BD274">
        <f t="shared" si="246"/>
        <v>11.427513520508398</v>
      </c>
      <c r="BE274" s="43">
        <f t="shared" si="247"/>
        <v>167.87138619916817</v>
      </c>
      <c r="BF274" s="41" t="str">
        <f t="shared" si="248"/>
        <v>0,658076342015145+2,72488783572916i</v>
      </c>
      <c r="BG274" s="20">
        <f t="shared" si="249"/>
        <v>8.9531634580181496</v>
      </c>
      <c r="BH274" s="43">
        <f t="shared" si="250"/>
        <v>76.422715008790362</v>
      </c>
      <c r="BI274" s="41" t="str">
        <f t="shared" si="255"/>
        <v>1,77542378272772+9,09595165012444i</v>
      </c>
      <c r="BJ274" s="20">
        <f t="shared" si="251"/>
        <v>19.339348462993485</v>
      </c>
      <c r="BK274" s="43">
        <f t="shared" si="256"/>
        <v>78.955395095454321</v>
      </c>
      <c r="BL274">
        <f t="shared" si="252"/>
        <v>8.9531634580181496</v>
      </c>
      <c r="BM274" s="43">
        <f t="shared" si="253"/>
        <v>76.422715008790362</v>
      </c>
    </row>
    <row r="275" spans="14:65" x14ac:dyDescent="0.25">
      <c r="N275" s="9">
        <v>57</v>
      </c>
      <c r="O275" s="34">
        <f t="shared" si="254"/>
        <v>3715.352290971724</v>
      </c>
      <c r="P275" s="33" t="str">
        <f t="shared" ref="P275:P338" si="257">COMPLEX(Adc,0)</f>
        <v>66,7780509511648</v>
      </c>
      <c r="Q275" s="4" t="str">
        <f t="shared" ref="Q275:Q338" si="258">IMSUM(COMPLEX(1,0),IMDIV(COMPLEX(0,2*PI()*O275),COMPLEX(wp_lf,0)))</f>
        <v>1+90,9820986741493i</v>
      </c>
      <c r="R275" s="4">
        <f t="shared" si="219"/>
        <v>90.987594094759089</v>
      </c>
      <c r="S275" s="4">
        <f t="shared" si="220"/>
        <v>1.5598055962131496</v>
      </c>
      <c r="T275" s="4" t="str">
        <f t="shared" ref="T275:T338" si="259">IMSUM(COMPLEX(1,0),IMDIV(COMPLEX(0,2*PI()*O275),COMPLEX(wz_esr,0)))</f>
        <v>1+0,0233442469256296i</v>
      </c>
      <c r="U275" s="4">
        <f t="shared" si="221"/>
        <v>1.0002724398205345</v>
      </c>
      <c r="V275" s="4">
        <f t="shared" si="222"/>
        <v>2.3340007799094818E-2</v>
      </c>
      <c r="W275" t="str">
        <f t="shared" ref="W275:W338" si="260">IMSUB(COMPLEX(1,0),IMDIV(COMPLEX(0,2*PI()*O275),COMPLEX(wz_rhp,0)))</f>
        <v>1-0,0507824188079687i</v>
      </c>
      <c r="X275" s="4">
        <f t="shared" si="223"/>
        <v>1.0012885967891516</v>
      </c>
      <c r="Y275" s="4">
        <f t="shared" si="224"/>
        <v>-5.0738832747065914E-2</v>
      </c>
      <c r="Z275" t="str">
        <f t="shared" ref="Z275:Z338" si="261">IMSUM(COMPLEX(1,0),IMDIV(COMPLEX(0,2*PI()*O275),COMPLEX(Q*(wsl/2),0)),IMDIV(IMPOWER(COMPLEX(0,2*PI()*O275),2),IMPOWER(COMPLEX(wsl/2,0),2)))</f>
        <v>0,999986196157354+0,00998130183969677i</v>
      </c>
      <c r="AA275" s="4">
        <f t="shared" si="225"/>
        <v>1.0000360087975178</v>
      </c>
      <c r="AB275" s="4">
        <f t="shared" si="226"/>
        <v>9.9811081609940955E-3</v>
      </c>
      <c r="AC275" s="47" t="str">
        <f t="shared" si="227"/>
        <v>-0,0193949806811983-0,734788339861249i</v>
      </c>
      <c r="AD275" s="20">
        <f t="shared" si="228"/>
        <v>-2.6737301455672826</v>
      </c>
      <c r="AE275" s="43">
        <f t="shared" si="229"/>
        <v>-91.511989929525569</v>
      </c>
      <c r="AF275" t="str">
        <f t="shared" ref="AF275:AF338" si="262">COMPLEX($B$72,0)</f>
        <v>223,849857273222</v>
      </c>
      <c r="AG275" t="str">
        <f t="shared" ref="AG275:AG338" si="263">IMSUM(COMPLEX(1,0),IMDIV(COMPLEX(0,2*PI()*O275),COMPLEX(wp_lf_DCM,0)))</f>
        <v>1+92,151009456858i</v>
      </c>
      <c r="AH275">
        <f t="shared" si="230"/>
        <v>92.156435173665074</v>
      </c>
      <c r="AI275">
        <f t="shared" si="231"/>
        <v>1.5599449996618335</v>
      </c>
      <c r="AJ275" t="str">
        <f t="shared" ref="AJ275:AJ338" si="264">IMSUM(COMPLEX(1,0),IMDIV(COMPLEX(0,2*PI()*O275),COMPLEX(wz1_dcm,0)))</f>
        <v>1+0,0233442469256296i</v>
      </c>
      <c r="AK275">
        <f t="shared" si="232"/>
        <v>1.0002724398205345</v>
      </c>
      <c r="AL275">
        <f t="shared" si="233"/>
        <v>2.3340007799094818E-2</v>
      </c>
      <c r="AM275" t="str">
        <f t="shared" ref="AM275:AM338" si="265">IMSUB(COMPLEX(1,0),IMDIV(COMPLEX(0,2*PI()*O275),COMPLEX(wz2_dcm,0)))</f>
        <v>1-0,0153438450437803i</v>
      </c>
      <c r="AN275">
        <f t="shared" si="234"/>
        <v>1.000117709862558</v>
      </c>
      <c r="AO275">
        <f t="shared" si="235"/>
        <v>-1.5342641061723481E-2</v>
      </c>
      <c r="AP275" s="41" t="str">
        <f t="shared" si="236"/>
        <v>0,0457990132106128-2,42953648010556i</v>
      </c>
      <c r="AQ275">
        <f t="shared" si="237"/>
        <v>7.7120115133280258</v>
      </c>
      <c r="AR275" s="43">
        <f t="shared" si="238"/>
        <v>-88.920049391890004</v>
      </c>
      <c r="AS275" t="str">
        <f t="shared" ref="AS275:AS338" si="266">COMPLEX(Adc_ea,0)</f>
        <v>-0,0000166666666666667</v>
      </c>
      <c r="AT275" t="str">
        <f t="shared" ref="AT275:AT338" si="267">COMPLEX(0,2*PI()*O275*wp0_ea)</f>
        <v>0,0000234142796664064i</v>
      </c>
      <c r="AU275">
        <f t="shared" si="239"/>
        <v>2.34142796664064E-5</v>
      </c>
      <c r="AV275">
        <f t="shared" si="240"/>
        <v>1.5707963267948966</v>
      </c>
      <c r="AW275" t="str">
        <f t="shared" ref="AW275:AW338" si="268">IMSUM(COMPLEX(1,0),IMDIV(COMPLEX(0,2*PI()*O275),COMPLEX(wp1_ea,0)))</f>
        <v>1+0,0153611196120793i</v>
      </c>
      <c r="AX275">
        <f t="shared" si="241"/>
        <v>1.0001179750388134</v>
      </c>
      <c r="AY275">
        <f t="shared" si="242"/>
        <v>1.5359911559387967E-2</v>
      </c>
      <c r="AZ275" t="str">
        <f t="shared" ref="AZ275:AZ338" si="269">IMSUM(COMPLEX(1,0),IMDIV(COMPLEX(0,2*PI()*O275),COMPLEX(wz_ea,0)))</f>
        <v>1+5,13573432363851i</v>
      </c>
      <c r="BA275">
        <f t="shared" si="243"/>
        <v>5.2321856850649624</v>
      </c>
      <c r="BB275">
        <f t="shared" si="244"/>
        <v>1.3784884697523632</v>
      </c>
      <c r="BC275" s="41" t="str">
        <f t="shared" si="245"/>
        <v>-3,64390544165826+0,767790799263405i</v>
      </c>
      <c r="BD275">
        <f t="shared" si="246"/>
        <v>11.419997272406796</v>
      </c>
      <c r="BE275" s="43">
        <f t="shared" si="247"/>
        <v>168.10151331821049</v>
      </c>
      <c r="BF275" s="41" t="str">
        <f t="shared" si="248"/>
        <v>0,634837202396574+2,66260794236853i</v>
      </c>
      <c r="BG275" s="20">
        <f t="shared" si="249"/>
        <v>8.746267126839518</v>
      </c>
      <c r="BH275" s="43">
        <f t="shared" si="250"/>
        <v>76.589523388684952</v>
      </c>
      <c r="BI275" s="41" t="str">
        <f t="shared" si="255"/>
        <v>1,69848848243912+8,88816526152236i</v>
      </c>
      <c r="BJ275" s="20">
        <f t="shared" si="251"/>
        <v>19.132008785734829</v>
      </c>
      <c r="BK275" s="43">
        <f t="shared" si="256"/>
        <v>79.181463926320504</v>
      </c>
      <c r="BL275">
        <f t="shared" si="252"/>
        <v>8.746267126839518</v>
      </c>
      <c r="BM275" s="43">
        <f t="shared" si="253"/>
        <v>76.589523388684952</v>
      </c>
    </row>
    <row r="276" spans="14:65" x14ac:dyDescent="0.25">
      <c r="N276" s="9">
        <v>58</v>
      </c>
      <c r="O276" s="34">
        <f t="shared" si="254"/>
        <v>3801.8939632056172</v>
      </c>
      <c r="P276" s="33" t="str">
        <f t="shared" si="257"/>
        <v>66,7780509511648</v>
      </c>
      <c r="Q276" s="4" t="str">
        <f t="shared" si="258"/>
        <v>1+93,101343996253i</v>
      </c>
      <c r="R276" s="4">
        <f t="shared" ref="R276:R339" si="270">IMABS(Q276)</f>
        <v>93.106714333116884</v>
      </c>
      <c r="S276" s="4">
        <f t="shared" ref="S276:S339" si="271">IMARGUMENT(Q276)</f>
        <v>1.560055756320857</v>
      </c>
      <c r="T276" s="4" t="str">
        <f t="shared" si="259"/>
        <v>1+0,0238880042890683i</v>
      </c>
      <c r="U276" s="4">
        <f t="shared" ref="U276:U339" si="272">IMABS(T276)</f>
        <v>1.0002852776827791</v>
      </c>
      <c r="V276" s="4">
        <f t="shared" ref="V276:V339" si="273">IMARGUMENT(T276)</f>
        <v>2.3883462053111773E-2</v>
      </c>
      <c r="W276" t="str">
        <f t="shared" si="260"/>
        <v>1-0,0519652932972608i</v>
      </c>
      <c r="X276" s="4">
        <f t="shared" ref="X276:X339" si="274">IMABS(W276)</f>
        <v>1.0013492855679633</v>
      </c>
      <c r="Y276" s="4">
        <f t="shared" ref="Y276:Y339" si="275">IMARGUMENT(W276)</f>
        <v>-5.1918593389735333E-2</v>
      </c>
      <c r="Z276" t="str">
        <f t="shared" si="261"/>
        <v>0,999985545602293+0,0102137962264007i</v>
      </c>
      <c r="AA276" s="4">
        <f t="shared" ref="AA276:AA339" si="276">IMABS(Z276)</f>
        <v>1.0000377058125709</v>
      </c>
      <c r="AB276" s="4">
        <f t="shared" ref="AB276:AB339" si="277">IMARGUMENT(Z276)</f>
        <v>1.0213588696335164E-2</v>
      </c>
      <c r="AC276" s="47" t="str">
        <f t="shared" ref="AC276:AC339" si="278">(IMDIV(IMPRODUCT(P276,T276,W276),IMPRODUCT(Q276,Z276)))</f>
        <v>-0,0197584301538807-0,718094328253174i</v>
      </c>
      <c r="AD276" s="20">
        <f t="shared" ref="AD276:AD339" si="279">20*LOG(IMABS(AC276))</f>
        <v>-2.8730833557513966</v>
      </c>
      <c r="AE276" s="43">
        <f t="shared" ref="AE276:AE339" si="280">(180/PI())*IMARGUMENT(AC276)</f>
        <v>-91.576100871940724</v>
      </c>
      <c r="AF276" t="str">
        <f t="shared" si="262"/>
        <v>223,849857273222</v>
      </c>
      <c r="AG276" t="str">
        <f t="shared" si="263"/>
        <v>1+94,2974822088003i</v>
      </c>
      <c r="AH276">
        <f t="shared" ref="AH276:AH339" si="281">IMABS(AG276)</f>
        <v>94.302784428239505</v>
      </c>
      <c r="AI276">
        <f t="shared" ref="AI276:AI339" si="282">IMARGUMENT(AG276)</f>
        <v>1.5601919872909069</v>
      </c>
      <c r="AJ276" t="str">
        <f t="shared" si="264"/>
        <v>1+0,0238880042890683i</v>
      </c>
      <c r="AK276">
        <f t="shared" ref="AK276:AK339" si="283">IMABS(AJ276)</f>
        <v>1.0002852776827791</v>
      </c>
      <c r="AL276">
        <f t="shared" ref="AL276:AL339" si="284">IMARGUMENT(AJ276)</f>
        <v>2.3883462053111773E-2</v>
      </c>
      <c r="AM276" t="str">
        <f t="shared" si="265"/>
        <v>1-0,0157012491079421i</v>
      </c>
      <c r="AN276">
        <f t="shared" ref="AN276:AN339" si="285">IMABS(AM276)</f>
        <v>1.0001232570156289</v>
      </c>
      <c r="AO276">
        <f t="shared" ref="AO276:AO339" si="286">IMARGUMENT(AM276)</f>
        <v>-1.5699959026511941E-2</v>
      </c>
      <c r="AP276" s="41" t="str">
        <f t="shared" ref="AP276:AP339" si="287">(IMDIV(IMPRODUCT(AF276,AJ276,AM276),IMPRODUCT(AG276)))</f>
        <v>0,0446129632450281-2,37428612905399i</v>
      </c>
      <c r="AQ276">
        <f t="shared" ref="AQ276:AQ339" si="288">20*LOG(IMABS(AP276))</f>
        <v>7.5121941820333173</v>
      </c>
      <c r="AR276" s="43">
        <f t="shared" ref="AR276:AR339" si="289">(180/PI())*IMARGUMENT(AP276)</f>
        <v>-88.923535916840834</v>
      </c>
      <c r="AS276" t="str">
        <f t="shared" si="266"/>
        <v>-0,0000166666666666667</v>
      </c>
      <c r="AT276" t="str">
        <f t="shared" si="267"/>
        <v>0,0000239596683019355i</v>
      </c>
      <c r="AU276">
        <f t="shared" ref="AU276:AU339" si="290">IMABS(AT276)</f>
        <v>2.3959668301935498E-5</v>
      </c>
      <c r="AV276">
        <f t="shared" ref="AV276:AV339" si="291">IMARGUMENT(AT276)</f>
        <v>1.5707963267948966</v>
      </c>
      <c r="AW276" t="str">
        <f t="shared" si="268"/>
        <v>1+0,0157189260526272i</v>
      </c>
      <c r="AX276">
        <f t="shared" ref="AX276:AX339" si="292">IMABS(AW276)</f>
        <v>1.0001235346877144</v>
      </c>
      <c r="AY276">
        <f t="shared" ref="AY276:AY339" si="293">IMARGUMENT(AW276)</f>
        <v>1.5717631609482016E-2</v>
      </c>
      <c r="AZ276" t="str">
        <f t="shared" si="269"/>
        <v>1+5,25536094359502i</v>
      </c>
      <c r="BA276">
        <f t="shared" ref="BA276:BA339" si="294">IMABS(AZ276)</f>
        <v>5.3496559372976451</v>
      </c>
      <c r="BB276">
        <f t="shared" ref="BB276:BB339" si="295">IMARGUMENT(AZ276)</f>
        <v>1.3827623284015944</v>
      </c>
      <c r="BC276" s="41" t="str">
        <f t="shared" ref="BC276:BC339" si="296">IMPRODUCT(AS276,IMDIV(AZ276,IMPRODUCT(AT276,AW276)))</f>
        <v>-3,64386492910579+0,752891057401842i</v>
      </c>
      <c r="BD276">
        <f t="shared" ref="BD276:BD339" si="297">20*LOG(IMABS(BC276))</f>
        <v>11.412803048440566</v>
      </c>
      <c r="BE276" s="43">
        <f t="shared" ref="BE276:BE339" si="298">(180/PI())*IMARGUMENT(BC276)</f>
        <v>168.32589153192933</v>
      </c>
      <c r="BF276" s="41" t="str">
        <f t="shared" ref="BF276:BF339" si="299">IMPRODUCT(AC276,BC276)</f>
        <v>0,61264384880471+2,60176279314037i</v>
      </c>
      <c r="BG276" s="20">
        <f t="shared" ref="BG276:BG339" si="300">20*LOG(IMABS(BF276))</f>
        <v>8.5397196926891787</v>
      </c>
      <c r="BH276" s="43">
        <f t="shared" ref="BH276:BH339" si="301">(180/PI())*IMARGUMENT(BF276)</f>
        <v>76.749790659988619</v>
      </c>
      <c r="BI276" s="41" t="str">
        <f t="shared" si="255"/>
        <v>1,62501518212594+8,68516665839356i</v>
      </c>
      <c r="BJ276" s="20">
        <f t="shared" ref="BJ276:BJ339" si="302">20*LOG(IMABS(BI276))</f>
        <v>18.924997230473888</v>
      </c>
      <c r="BK276" s="43">
        <f t="shared" si="256"/>
        <v>79.402355615088496</v>
      </c>
      <c r="BL276">
        <f t="shared" ref="BL276:BL339" si="303">IF($B$31=0,BJ276,BG276)</f>
        <v>8.5397196926891787</v>
      </c>
      <c r="BM276" s="43">
        <f t="shared" ref="BM276:BM339" si="304">IF($B$31=0,BK276,BH276)</f>
        <v>76.749790659988619</v>
      </c>
    </row>
    <row r="277" spans="14:65" x14ac:dyDescent="0.25">
      <c r="N277" s="9">
        <v>59</v>
      </c>
      <c r="O277" s="34">
        <f t="shared" si="254"/>
        <v>3890.451449942811</v>
      </c>
      <c r="P277" s="33" t="str">
        <f t="shared" si="257"/>
        <v>66,7780509511648</v>
      </c>
      <c r="Q277" s="4" t="str">
        <f t="shared" si="258"/>
        <v>1+95,2699528832856i</v>
      </c>
      <c r="R277" s="4">
        <f t="shared" si="270"/>
        <v>95.275200983170109</v>
      </c>
      <c r="S277" s="4">
        <f t="shared" si="271"/>
        <v>1.5603002233883334</v>
      </c>
      <c r="T277" s="4" t="str">
        <f t="shared" si="259"/>
        <v>1+0,0244444273885762i</v>
      </c>
      <c r="U277" s="4">
        <f t="shared" si="272"/>
        <v>1.0002987203982394</v>
      </c>
      <c r="V277" s="4">
        <f t="shared" si="273"/>
        <v>2.4439560373556487E-2</v>
      </c>
      <c r="W277" t="str">
        <f t="shared" si="260"/>
        <v>1-0,053175720472901i</v>
      </c>
      <c r="X277" s="4">
        <f t="shared" si="274"/>
        <v>1.0014128305787839</v>
      </c>
      <c r="Y277" s="4">
        <f t="shared" si="275"/>
        <v>-5.3125684432569487E-2</v>
      </c>
      <c r="Z277" t="str">
        <f t="shared" si="261"/>
        <v>0,999984864387516+0,0104517061030595i</v>
      </c>
      <c r="AA277" s="4">
        <f t="shared" si="276"/>
        <v>1.000039482802846</v>
      </c>
      <c r="AB277" s="4">
        <f t="shared" si="277"/>
        <v>1.0451483731040484E-2</v>
      </c>
      <c r="AC277" s="47" t="str">
        <f t="shared" si="278"/>
        <v>-0,0201055533032827-0,701780708347563i</v>
      </c>
      <c r="AD277" s="20">
        <f t="shared" si="279"/>
        <v>-3.072408330331649</v>
      </c>
      <c r="AE277" s="43">
        <f t="shared" si="280"/>
        <v>-91.641037320079434</v>
      </c>
      <c r="AF277" t="str">
        <f t="shared" si="262"/>
        <v>223,849857273222</v>
      </c>
      <c r="AG277" t="str">
        <f t="shared" si="263"/>
        <v>1+96,4939527339845i</v>
      </c>
      <c r="AH277">
        <f t="shared" si="281"/>
        <v>96.499134266730266</v>
      </c>
      <c r="AI277">
        <f t="shared" si="282"/>
        <v>1.5604333540453779</v>
      </c>
      <c r="AJ277" t="str">
        <f t="shared" si="264"/>
        <v>1+0,0244444273885762i</v>
      </c>
      <c r="AK277">
        <f t="shared" si="283"/>
        <v>1.0002987203982394</v>
      </c>
      <c r="AL277">
        <f t="shared" si="284"/>
        <v>2.4439560373556487E-2</v>
      </c>
      <c r="AM277" t="str">
        <f t="shared" si="265"/>
        <v>1-0,0160669781822116i</v>
      </c>
      <c r="AN277">
        <f t="shared" si="285"/>
        <v>1.0001290655649937</v>
      </c>
      <c r="AO277">
        <f t="shared" si="286"/>
        <v>-1.6065595844688342E-2</v>
      </c>
      <c r="AP277" s="41" t="str">
        <f t="shared" si="287"/>
        <v>0,0434802825861833-2,32029352357308i</v>
      </c>
      <c r="AQ277">
        <f t="shared" si="288"/>
        <v>7.3123833355793257</v>
      </c>
      <c r="AR277" s="43">
        <f t="shared" si="289"/>
        <v>-88.926452572947085</v>
      </c>
      <c r="AS277" t="str">
        <f t="shared" si="266"/>
        <v>-0,0000166666666666667</v>
      </c>
      <c r="AT277" t="str">
        <f t="shared" si="267"/>
        <v>0,0000245177606707419i</v>
      </c>
      <c r="AU277">
        <f t="shared" si="290"/>
        <v>2.4517760670741899E-5</v>
      </c>
      <c r="AV277">
        <f t="shared" si="291"/>
        <v>1.5707963267948966</v>
      </c>
      <c r="AW277" t="str">
        <f t="shared" si="268"/>
        <v>1+0,0160850668758328i</v>
      </c>
      <c r="AX277">
        <f t="shared" si="292"/>
        <v>1.0001293563216711</v>
      </c>
      <c r="AY277">
        <f t="shared" si="293"/>
        <v>1.6083679864702039E-2</v>
      </c>
      <c r="AZ277" t="str">
        <f t="shared" si="269"/>
        <v>1+5,37777402548676i</v>
      </c>
      <c r="BA277">
        <f t="shared" si="294"/>
        <v>5.4699591835040291</v>
      </c>
      <c r="BB277">
        <f t="shared" si="295"/>
        <v>1.3869456298570033</v>
      </c>
      <c r="BC277" s="41" t="str">
        <f t="shared" si="296"/>
        <v>-3,64382250822109+0,738390448320005i</v>
      </c>
      <c r="BD277">
        <f t="shared" si="297"/>
        <v>11.405917176027936</v>
      </c>
      <c r="BE277" s="43">
        <f t="shared" si="298"/>
        <v>168.54460402963298</v>
      </c>
      <c r="BF277" s="41" t="str">
        <f t="shared" si="299"/>
        <v>0,591449239525828+2,54231859239486i</v>
      </c>
      <c r="BG277" s="20">
        <f t="shared" si="300"/>
        <v>8.3335088456962954</v>
      </c>
      <c r="BH277" s="43">
        <f t="shared" si="301"/>
        <v>76.903566709553559</v>
      </c>
      <c r="BI277" s="41" t="str">
        <f t="shared" si="255"/>
        <v>1,55484814275378+8,4868431922271i</v>
      </c>
      <c r="BJ277" s="20">
        <f t="shared" si="302"/>
        <v>18.718300511607261</v>
      </c>
      <c r="BK277" s="43">
        <f t="shared" si="256"/>
        <v>79.618151456685908</v>
      </c>
      <c r="BL277">
        <f t="shared" si="303"/>
        <v>8.3335088456962954</v>
      </c>
      <c r="BM277" s="43">
        <f t="shared" si="304"/>
        <v>76.903566709553559</v>
      </c>
    </row>
    <row r="278" spans="14:65" x14ac:dyDescent="0.25">
      <c r="N278" s="9">
        <v>60</v>
      </c>
      <c r="O278" s="34">
        <f t="shared" si="254"/>
        <v>3981.0717055349769</v>
      </c>
      <c r="P278" s="33" t="str">
        <f t="shared" si="257"/>
        <v>66,7780509511648</v>
      </c>
      <c r="Q278" s="4" t="str">
        <f t="shared" si="258"/>
        <v>1+97,4890751603836i</v>
      </c>
      <c r="R278" s="4">
        <f t="shared" si="270"/>
        <v>97.494203805287441</v>
      </c>
      <c r="S278" s="4">
        <f t="shared" si="271"/>
        <v>1.5605391269183038</v>
      </c>
      <c r="T278" s="4" t="str">
        <f t="shared" si="259"/>
        <v>1+0,0250138112470457i</v>
      </c>
      <c r="U278" s="4">
        <f t="shared" si="272"/>
        <v>1.0003127964557401</v>
      </c>
      <c r="V278" s="4">
        <f t="shared" si="273"/>
        <v>2.5008596234564421E-2</v>
      </c>
      <c r="W278" t="str">
        <f t="shared" si="260"/>
        <v>1-0,0544143421193997i</v>
      </c>
      <c r="X278" s="4">
        <f t="shared" si="274"/>
        <v>1.0014793660521852</v>
      </c>
      <c r="Y278" s="4">
        <f t="shared" si="275"/>
        <v>-5.4360731812718617E-2</v>
      </c>
      <c r="Z278" t="str">
        <f t="shared" si="261"/>
        <v>0,999984151068075+0,0106951576126387i</v>
      </c>
      <c r="AA278" s="4">
        <f t="shared" si="276"/>
        <v>1.0000413435372049</v>
      </c>
      <c r="AB278" s="4">
        <f t="shared" si="277"/>
        <v>1.0694919337235233E-2</v>
      </c>
      <c r="AC278" s="47" t="str">
        <f t="shared" si="278"/>
        <v>-0,0204370859258416-0,685838853862498i</v>
      </c>
      <c r="AD278" s="20">
        <f t="shared" si="279"/>
        <v>-3.2717036475883043</v>
      </c>
      <c r="AE278" s="43">
        <f t="shared" si="280"/>
        <v>-91.706832966029566</v>
      </c>
      <c r="AF278" t="str">
        <f t="shared" si="262"/>
        <v>223,849857273222</v>
      </c>
      <c r="AG278" t="str">
        <f t="shared" si="263"/>
        <v>1+98,7415856301564i</v>
      </c>
      <c r="AH278">
        <f t="shared" si="281"/>
        <v>98.746649222935702</v>
      </c>
      <c r="AI278">
        <f t="shared" si="282"/>
        <v>1.5606692277885372</v>
      </c>
      <c r="AJ278" t="str">
        <f t="shared" si="264"/>
        <v>1+0,0250138112470457i</v>
      </c>
      <c r="AK278">
        <f t="shared" si="283"/>
        <v>1.0003127964557401</v>
      </c>
      <c r="AL278">
        <f t="shared" si="284"/>
        <v>2.5008596234564421E-2</v>
      </c>
      <c r="AM278" t="str">
        <f t="shared" si="265"/>
        <v>1-0,0164412261809849i</v>
      </c>
      <c r="AN278">
        <f t="shared" si="285"/>
        <v>1.0001351478266995</v>
      </c>
      <c r="AO278">
        <f t="shared" si="286"/>
        <v>-1.6439744990452261E-2</v>
      </c>
      <c r="AP278" s="41" t="str">
        <f t="shared" si="287"/>
        <v>0,0423985702519917-2,26753011163298i</v>
      </c>
      <c r="AQ278">
        <f t="shared" si="288"/>
        <v>7.1125793746559109</v>
      </c>
      <c r="AR278" s="43">
        <f t="shared" si="289"/>
        <v>-88.928800956661433</v>
      </c>
      <c r="AS278" t="str">
        <f t="shared" si="266"/>
        <v>-0,0000166666666666667</v>
      </c>
      <c r="AT278" t="str">
        <f t="shared" si="267"/>
        <v>0,0000250888526807869i</v>
      </c>
      <c r="AU278">
        <f t="shared" si="290"/>
        <v>2.50888526807869E-5</v>
      </c>
      <c r="AV278">
        <f t="shared" si="291"/>
        <v>1.5707963267948966</v>
      </c>
      <c r="AW278" t="str">
        <f t="shared" si="268"/>
        <v>1+0,0164597362144069i</v>
      </c>
      <c r="AX278">
        <f t="shared" si="292"/>
        <v>1.0001354522844632</v>
      </c>
      <c r="AY278">
        <f t="shared" si="293"/>
        <v>1.6458250016074573E-2</v>
      </c>
      <c r="AZ278" t="str">
        <f t="shared" si="269"/>
        <v>1+5,50303847435005i</v>
      </c>
      <c r="BA278">
        <f t="shared" si="294"/>
        <v>5.5931594336454351</v>
      </c>
      <c r="BB278">
        <f t="shared" si="295"/>
        <v>1.3910400062126433</v>
      </c>
      <c r="BC278" s="41" t="str">
        <f t="shared" si="296"/>
        <v>-3,64377808916026+0,724281279312343i</v>
      </c>
      <c r="BD278">
        <f t="shared" si="297"/>
        <v>11.399326503201923</v>
      </c>
      <c r="BE278" s="43">
        <f t="shared" si="298"/>
        <v>168.75773322574406</v>
      </c>
      <c r="BF278" s="41" t="str">
        <f t="shared" si="299"/>
        <v>0,571208448380508+2,48424238965917i</v>
      </c>
      <c r="BG278" s="20">
        <f t="shared" si="300"/>
        <v>8.1276228556136161</v>
      </c>
      <c r="BH278" s="43">
        <f t="shared" si="301"/>
        <v>77.05090025971451</v>
      </c>
      <c r="BI278" s="41" t="str">
        <f t="shared" si="255"/>
        <v>1,48783862883687+8,2930850279825i</v>
      </c>
      <c r="BJ278" s="20">
        <f t="shared" si="302"/>
        <v>18.511905877857838</v>
      </c>
      <c r="BK278" s="43">
        <f t="shared" si="256"/>
        <v>79.828932269082614</v>
      </c>
      <c r="BL278">
        <f t="shared" si="303"/>
        <v>8.1276228556136161</v>
      </c>
      <c r="BM278" s="43">
        <f t="shared" si="304"/>
        <v>77.05090025971451</v>
      </c>
    </row>
    <row r="279" spans="14:65" x14ac:dyDescent="0.25">
      <c r="N279" s="9">
        <v>61</v>
      </c>
      <c r="O279" s="34">
        <f t="shared" si="254"/>
        <v>4073.8027780411317</v>
      </c>
      <c r="P279" s="33" t="str">
        <f t="shared" si="257"/>
        <v>66,7780509511648</v>
      </c>
      <c r="Q279" s="4" t="str">
        <f t="shared" si="258"/>
        <v>1+99,7598874355524i</v>
      </c>
      <c r="R279" s="4">
        <f t="shared" si="270"/>
        <v>99.764899344178588</v>
      </c>
      <c r="S279" s="4">
        <f t="shared" si="271"/>
        <v>1.560772593471436</v>
      </c>
      <c r="T279" s="4" t="str">
        <f t="shared" si="259"/>
        <v>1+0,0255964577593354i</v>
      </c>
      <c r="U279" s="4">
        <f t="shared" si="272"/>
        <v>1.0003275356851002</v>
      </c>
      <c r="V279" s="4">
        <f t="shared" si="273"/>
        <v>2.5590869871598129E-2</v>
      </c>
      <c r="W279" t="str">
        <f t="shared" si="260"/>
        <v>1-0,0556818149703492i</v>
      </c>
      <c r="X279" s="4">
        <f t="shared" si="274"/>
        <v>1.0015490325083403</v>
      </c>
      <c r="Y279" s="4">
        <f t="shared" si="275"/>
        <v>-5.5624375289150978E-2</v>
      </c>
      <c r="Z279" t="str">
        <f t="shared" si="261"/>
        <v>0,999983404130926+0,0109442798363514i</v>
      </c>
      <c r="AA279" s="4">
        <f t="shared" si="276"/>
        <v>1.0000432919621087</v>
      </c>
      <c r="AB279" s="4">
        <f t="shared" si="277"/>
        <v>1.0944024520226425E-2</v>
      </c>
      <c r="AC279" s="47" t="str">
        <f t="shared" si="278"/>
        <v>-0,0207537307921748-0,670260334066181i</v>
      </c>
      <c r="AD279" s="20">
        <f t="shared" si="279"/>
        <v>-3.4709678238622259</v>
      </c>
      <c r="AE279" s="43">
        <f t="shared" si="280"/>
        <v>-91.773521905906804</v>
      </c>
      <c r="AF279" t="str">
        <f t="shared" si="262"/>
        <v>223,849857273222</v>
      </c>
      <c r="AG279" t="str">
        <f t="shared" si="263"/>
        <v>1+101,041572622029i</v>
      </c>
      <c r="AH279">
        <f t="shared" si="281"/>
        <v>101.04652095907488</v>
      </c>
      <c r="AI279">
        <f t="shared" si="282"/>
        <v>1.5608997334787207</v>
      </c>
      <c r="AJ279" t="str">
        <f t="shared" si="264"/>
        <v>1+0,0255964577593354i</v>
      </c>
      <c r="AK279">
        <f t="shared" si="283"/>
        <v>1.0003275356851002</v>
      </c>
      <c r="AL279">
        <f t="shared" si="284"/>
        <v>2.5590869871598129E-2</v>
      </c>
      <c r="AM279" t="str">
        <f t="shared" si="265"/>
        <v>1-0,0168241915355047i</v>
      </c>
      <c r="AN279">
        <f t="shared" si="285"/>
        <v>1.0001415166969239</v>
      </c>
      <c r="AO279">
        <f t="shared" si="286"/>
        <v>-1.682260442338292E-2</v>
      </c>
      <c r="AP279" s="41" t="str">
        <f t="shared" si="287"/>
        <v>0,0413655332315431-2,21596798789671i</v>
      </c>
      <c r="AQ279">
        <f t="shared" si="288"/>
        <v>6.9127827145098948</v>
      </c>
      <c r="AR279" s="43">
        <f t="shared" si="289"/>
        <v>-88.930582367592635</v>
      </c>
      <c r="AS279" t="str">
        <f t="shared" si="266"/>
        <v>-0,0000166666666666667</v>
      </c>
      <c r="AT279" t="str">
        <f t="shared" si="267"/>
        <v>0,0000256732471326134i</v>
      </c>
      <c r="AU279">
        <f t="shared" si="290"/>
        <v>2.5673247132613401E-5</v>
      </c>
      <c r="AV279">
        <f t="shared" si="291"/>
        <v>1.5707963267948966</v>
      </c>
      <c r="AW279" t="str">
        <f t="shared" si="268"/>
        <v>1+0,0168431327229924i</v>
      </c>
      <c r="AX279">
        <f t="shared" si="292"/>
        <v>1.0001418355013074</v>
      </c>
      <c r="AY279">
        <f t="shared" si="293"/>
        <v>1.6841540244984993E-2</v>
      </c>
      <c r="AZ279" t="str">
        <f t="shared" si="269"/>
        <v>1+5,63122070705378i</v>
      </c>
      <c r="BA279">
        <f t="shared" si="294"/>
        <v>5.7193222195948428</v>
      </c>
      <c r="BB279">
        <f t="shared" si="295"/>
        <v>1.3950470789893512</v>
      </c>
      <c r="BC279" s="41" t="str">
        <f t="shared" si="296"/>
        <v>-3,64373157785432+0,710556064913436i</v>
      </c>
      <c r="BD279">
        <f t="shared" si="297"/>
        <v>11.393018381686691</v>
      </c>
      <c r="BE279" s="43">
        <f t="shared" si="298"/>
        <v>168.96536067160605</v>
      </c>
      <c r="BF279" s="41" t="str">
        <f t="shared" si="299"/>
        <v>0,551878569687365+2,42750205533617i</v>
      </c>
      <c r="BG279" s="20">
        <f t="shared" si="300"/>
        <v>7.9220505578244671</v>
      </c>
      <c r="BH279" s="43">
        <f t="shared" si="301"/>
        <v>77.191838765699273</v>
      </c>
      <c r="BI279" s="41" t="str">
        <f t="shared" si="255"/>
        <v>1,42384459378347+8,10378506352959i</v>
      </c>
      <c r="BJ279" s="20">
        <f t="shared" si="302"/>
        <v>18.305801096196582</v>
      </c>
      <c r="BK279" s="43">
        <f t="shared" si="256"/>
        <v>80.034778304013471</v>
      </c>
      <c r="BL279">
        <f t="shared" si="303"/>
        <v>7.9220505578244671</v>
      </c>
      <c r="BM279" s="43">
        <f t="shared" si="304"/>
        <v>77.191838765699273</v>
      </c>
    </row>
    <row r="280" spans="14:65" x14ac:dyDescent="0.25">
      <c r="N280" s="9">
        <v>62</v>
      </c>
      <c r="O280" s="34">
        <f t="shared" si="254"/>
        <v>4168.6938347033583</v>
      </c>
      <c r="P280" s="33" t="str">
        <f t="shared" si="257"/>
        <v>66,7780509511648</v>
      </c>
      <c r="Q280" s="4" t="str">
        <f t="shared" si="258"/>
        <v>1+102,083593723518i</v>
      </c>
      <c r="R280" s="4">
        <f t="shared" si="270"/>
        <v>102.08849155271268</v>
      </c>
      <c r="S280" s="4">
        <f t="shared" si="271"/>
        <v>1.5610007467329252</v>
      </c>
      <c r="T280" s="4" t="str">
        <f t="shared" si="259"/>
        <v>1+0,0261926758523383i</v>
      </c>
      <c r="U280" s="4">
        <f t="shared" si="272"/>
        <v>1.0003429693201755</v>
      </c>
      <c r="V280" s="4">
        <f t="shared" si="273"/>
        <v>2.6186688433618079E-2</v>
      </c>
      <c r="W280" t="str">
        <f t="shared" si="260"/>
        <v>1-0,0569788110566321i</v>
      </c>
      <c r="X280" s="4">
        <f t="shared" si="274"/>
        <v>1.0016219770499384</v>
      </c>
      <c r="Y280" s="4">
        <f t="shared" si="275"/>
        <v>-5.6917268710984355E-2</v>
      </c>
      <c r="Z280" t="str">
        <f t="shared" si="261"/>
        <v>0,999982621991713+0,0111992048620979i</v>
      </c>
      <c r="AA280" s="4">
        <f t="shared" si="276"/>
        <v>1.0000453322099776</v>
      </c>
      <c r="AB280" s="4">
        <f t="shared" si="277"/>
        <v>1.119893128658038E-2</v>
      </c>
      <c r="AC280" s="47" t="str">
        <f t="shared" si="278"/>
        <v>-0,0210561591338943-0,655036909411061i</v>
      </c>
      <c r="AD280" s="20">
        <f t="shared" si="279"/>
        <v>-3.6701993105008395</v>
      </c>
      <c r="AE280" s="43">
        <f t="shared" si="280"/>
        <v>-91.841138654225674</v>
      </c>
      <c r="AF280" t="str">
        <f t="shared" si="262"/>
        <v>223,849857273222</v>
      </c>
      <c r="AG280" t="str">
        <f t="shared" si="263"/>
        <v>1+103,39513319315i</v>
      </c>
      <c r="AH280">
        <f t="shared" si="281"/>
        <v>103.39996889762217</v>
      </c>
      <c r="AI280">
        <f t="shared" si="282"/>
        <v>1.5611249932350604</v>
      </c>
      <c r="AJ280" t="str">
        <f t="shared" si="264"/>
        <v>1+0,0261926758523383i</v>
      </c>
      <c r="AK280">
        <f t="shared" si="283"/>
        <v>1.0003429693201755</v>
      </c>
      <c r="AL280">
        <f t="shared" si="284"/>
        <v>2.6186688433618079E-2</v>
      </c>
      <c r="AM280" t="str">
        <f t="shared" si="265"/>
        <v>1-0,0172160772990712i</v>
      </c>
      <c r="AN280">
        <f t="shared" si="285"/>
        <v>1.000148185679286</v>
      </c>
      <c r="AO280">
        <f t="shared" si="286"/>
        <v>-1.7214376691401485E-2</v>
      </c>
      <c r="AP280" s="41" t="str">
        <f t="shared" si="287"/>
        <v>0,0403789816335869-2,16557987926063i</v>
      </c>
      <c r="AQ280">
        <f t="shared" si="288"/>
        <v>6.7129937858206539</v>
      </c>
      <c r="AR280" s="43">
        <f t="shared" si="289"/>
        <v>-88.931797809453485</v>
      </c>
      <c r="AS280" t="str">
        <f t="shared" si="266"/>
        <v>-0,0000166666666666667</v>
      </c>
      <c r="AT280" t="str">
        <f t="shared" si="267"/>
        <v>0,0000262712538798953i</v>
      </c>
      <c r="AU280">
        <f t="shared" si="290"/>
        <v>2.62712538798953E-5</v>
      </c>
      <c r="AV280">
        <f t="shared" si="291"/>
        <v>1.5707963267948966</v>
      </c>
      <c r="AW280" t="str">
        <f t="shared" si="268"/>
        <v>1+0,0172354596834928i</v>
      </c>
      <c r="AX280">
        <f t="shared" si="292"/>
        <v>1.0001485195062287</v>
      </c>
      <c r="AY280">
        <f t="shared" si="293"/>
        <v>1.7233753326249806E-2</v>
      </c>
      <c r="AZ280" t="str">
        <f t="shared" si="269"/>
        <v>1+5,76238868751442i</v>
      </c>
      <c r="BA280">
        <f t="shared" si="294"/>
        <v>5.8485146307412252</v>
      </c>
      <c r="BB280">
        <f t="shared" si="295"/>
        <v>1.3989684578150521</v>
      </c>
      <c r="BC280" s="41" t="str">
        <f t="shared" si="296"/>
        <v>-3,64368287581069+0,697207522907183i</v>
      </c>
      <c r="BD280">
        <f t="shared" si="297"/>
        <v>11.386980650169779</v>
      </c>
      <c r="BE280" s="43">
        <f t="shared" si="298"/>
        <v>169.16756697396437</v>
      </c>
      <c r="BF280" s="41" t="str">
        <f t="shared" si="299"/>
        <v>0,533418627489778+2,37206625729336i</v>
      </c>
      <c r="BG280" s="20">
        <f t="shared" si="300"/>
        <v>7.716781339668942</v>
      </c>
      <c r="BH280" s="43">
        <f t="shared" si="301"/>
        <v>77.326428319738724</v>
      </c>
      <c r="BI280" s="41" t="str">
        <f t="shared" si="255"/>
        <v>1,36273037935597+7,91883885202441i</v>
      </c>
      <c r="BJ280" s="20">
        <f t="shared" si="302"/>
        <v>18.099974435990436</v>
      </c>
      <c r="BK280" s="43">
        <f t="shared" si="256"/>
        <v>80.235769164510884</v>
      </c>
      <c r="BL280">
        <f t="shared" si="303"/>
        <v>7.716781339668942</v>
      </c>
      <c r="BM280" s="43">
        <f t="shared" si="304"/>
        <v>77.326428319738724</v>
      </c>
    </row>
    <row r="281" spans="14:65" x14ac:dyDescent="0.25">
      <c r="N281" s="9">
        <v>63</v>
      </c>
      <c r="O281" s="34">
        <f t="shared" si="254"/>
        <v>4265.7951880159299</v>
      </c>
      <c r="P281" s="33" t="str">
        <f t="shared" si="257"/>
        <v>66,7780509511648</v>
      </c>
      <c r="Q281" s="4" t="str">
        <f t="shared" si="258"/>
        <v>1+104,461426084111i</v>
      </c>
      <c r="R281" s="4">
        <f t="shared" si="270"/>
        <v>104.46621243026945</v>
      </c>
      <c r="S281" s="4">
        <f t="shared" si="271"/>
        <v>1.5612237075775852</v>
      </c>
      <c r="T281" s="4" t="str">
        <f t="shared" si="259"/>
        <v>1+0,0268027816487791i</v>
      </c>
      <c r="U281" s="4">
        <f t="shared" si="272"/>
        <v>1.0003591300648542</v>
      </c>
      <c r="V281" s="4">
        <f t="shared" si="273"/>
        <v>2.6796366138419667E-2</v>
      </c>
      <c r="W281" t="str">
        <f t="shared" si="260"/>
        <v>1-0,0583060180627407i</v>
      </c>
      <c r="X281" s="4">
        <f t="shared" si="274"/>
        <v>1.0016983536685746</v>
      </c>
      <c r="Y281" s="4">
        <f t="shared" si="275"/>
        <v>-5.8240080288305879E-2</v>
      </c>
      <c r="Z281" t="str">
        <f t="shared" si="261"/>
        <v>0,999981802991414+0,0114600678545013i</v>
      </c>
      <c r="AA281" s="4">
        <f t="shared" si="276"/>
        <v>1.0000474686079601</v>
      </c>
      <c r="AB281" s="4">
        <f t="shared" si="277"/>
        <v>1.1459774713770179E-2</v>
      </c>
      <c r="AC281" s="47" t="str">
        <f t="shared" si="278"/>
        <v>-0,0213450120638605-0,640160527262361i</v>
      </c>
      <c r="AD281" s="20">
        <f t="shared" si="279"/>
        <v>-3.8693964906751708</v>
      </c>
      <c r="AE281" s="43">
        <f t="shared" si="280"/>
        <v>-91.909718158236274</v>
      </c>
      <c r="AF281" t="str">
        <f t="shared" si="262"/>
        <v>223,849857273222</v>
      </c>
      <c r="AG281" t="str">
        <f t="shared" si="263"/>
        <v>1+105,803515232485i</v>
      </c>
      <c r="AH281">
        <f t="shared" si="281"/>
        <v>105.80824086785813</v>
      </c>
      <c r="AI281">
        <f t="shared" si="282"/>
        <v>1.5613451264017673</v>
      </c>
      <c r="AJ281" t="str">
        <f t="shared" si="264"/>
        <v>1+0,0268027816487791i</v>
      </c>
      <c r="AK281">
        <f t="shared" si="283"/>
        <v>1.0003591300648542</v>
      </c>
      <c r="AL281">
        <f t="shared" si="284"/>
        <v>2.6796366138419667E-2</v>
      </c>
      <c r="AM281" t="str">
        <f t="shared" si="265"/>
        <v>1-0,0176170912547033i</v>
      </c>
      <c r="AN281">
        <f t="shared" si="285"/>
        <v>1.0001551689134425</v>
      </c>
      <c r="AO281">
        <f t="shared" si="286"/>
        <v>-1.7615269036023083E-2</v>
      </c>
      <c r="AP281" s="41" t="str">
        <f t="shared" si="287"/>
        <v>0,0394368240526728-2,11633913070793i</v>
      </c>
      <c r="AQ281">
        <f t="shared" si="288"/>
        <v>6.5132130356088496</v>
      </c>
      <c r="AR281" s="43">
        <f t="shared" si="289"/>
        <v>-88.932447990874195</v>
      </c>
      <c r="AS281" t="str">
        <f t="shared" si="266"/>
        <v>-0,0000166666666666667</v>
      </c>
      <c r="AT281" t="str">
        <f t="shared" si="267"/>
        <v>0,0000268831899937254i</v>
      </c>
      <c r="AU281">
        <f t="shared" si="290"/>
        <v>2.68831899937254E-5</v>
      </c>
      <c r="AV281">
        <f t="shared" si="291"/>
        <v>1.5707963267948966</v>
      </c>
      <c r="AW281" t="str">
        <f t="shared" si="268"/>
        <v>1+0,0176369251128556i</v>
      </c>
      <c r="AX281">
        <f t="shared" si="292"/>
        <v>1.0001555184707209</v>
      </c>
      <c r="AY281">
        <f t="shared" si="293"/>
        <v>1.763509673348275E-2</v>
      </c>
      <c r="AZ281" t="str">
        <f t="shared" si="269"/>
        <v>1+5,8966119627314i</v>
      </c>
      <c r="BA281">
        <f t="shared" si="294"/>
        <v>5.9808053503710568</v>
      </c>
      <c r="BB281">
        <f t="shared" si="295"/>
        <v>1.4028057392177011</v>
      </c>
      <c r="BC281" s="41" t="str">
        <f t="shared" si="296"/>
        <v>-3,64363187990582+0,68422857044224i</v>
      </c>
      <c r="BD281">
        <f t="shared" si="297"/>
        <v>11.38120161780239</v>
      </c>
      <c r="BE281" s="43">
        <f t="shared" si="298"/>
        <v>169.36443171977035</v>
      </c>
      <c r="BF281" s="41" t="str">
        <f t="shared" si="299"/>
        <v>0,515789488855132+2,31790443829993i</v>
      </c>
      <c r="BG281" s="20">
        <f t="shared" si="300"/>
        <v>7.5118051271272188</v>
      </c>
      <c r="BH281" s="43">
        <f t="shared" si="301"/>
        <v>77.454713561534078</v>
      </c>
      <c r="BI281" s="41" t="str">
        <f t="shared" si="255"/>
        <v>1,3043664286147+7,73814452708393i</v>
      </c>
      <c r="BJ281" s="20">
        <f t="shared" si="302"/>
        <v>17.894414653411243</v>
      </c>
      <c r="BK281" s="43">
        <f t="shared" si="256"/>
        <v>80.431983728896185</v>
      </c>
      <c r="BL281">
        <f t="shared" si="303"/>
        <v>7.5118051271272188</v>
      </c>
      <c r="BM281" s="43">
        <f t="shared" si="304"/>
        <v>77.454713561534078</v>
      </c>
    </row>
    <row r="282" spans="14:65" x14ac:dyDescent="0.25">
      <c r="N282" s="9">
        <v>64</v>
      </c>
      <c r="O282" s="34">
        <f t="shared" si="254"/>
        <v>4365.1583224016631</v>
      </c>
      <c r="P282" s="33" t="str">
        <f t="shared" si="257"/>
        <v>66,7780509511648</v>
      </c>
      <c r="Q282" s="4" t="str">
        <f t="shared" si="258"/>
        <v>1+106,894645275525i</v>
      </c>
      <c r="R282" s="4">
        <f t="shared" si="270"/>
        <v>106.89932267596608</v>
      </c>
      <c r="S282" s="4">
        <f t="shared" si="271"/>
        <v>1.5614415941334869</v>
      </c>
      <c r="T282" s="4" t="str">
        <f t="shared" si="259"/>
        <v>1+0,0274270986348268i</v>
      </c>
      <c r="U282" s="4">
        <f t="shared" si="272"/>
        <v>1.0003760521621479</v>
      </c>
      <c r="V282" s="4">
        <f t="shared" si="273"/>
        <v>2.7420224431182551E-2</v>
      </c>
      <c r="W282" t="str">
        <f t="shared" si="260"/>
        <v>1-0,0596641396913975i</v>
      </c>
      <c r="X282" s="4">
        <f t="shared" si="274"/>
        <v>1.001778323565206</v>
      </c>
      <c r="Y282" s="4">
        <f t="shared" si="275"/>
        <v>-5.959349286527927E-2</v>
      </c>
      <c r="Z282" t="str">
        <f t="shared" si="261"/>
        <v>0,99998094539282+0,0117270071265731i</v>
      </c>
      <c r="AA282" s="4">
        <f t="shared" si="276"/>
        <v>1.0000497056871047</v>
      </c>
      <c r="AB282" s="4">
        <f t="shared" si="277"/>
        <v>1.1726693021425422E-2</v>
      </c>
      <c r="AC282" s="47" t="str">
        <f t="shared" si="278"/>
        <v>-0,0216209019328604-0,6256233177192i</v>
      </c>
      <c r="AD282" s="20">
        <f t="shared" si="279"/>
        <v>-4.0685576760621549</v>
      </c>
      <c r="AE282" s="43">
        <f t="shared" si="280"/>
        <v>-91.979295812216449</v>
      </c>
      <c r="AF282" t="str">
        <f t="shared" si="262"/>
        <v>223,849857273222</v>
      </c>
      <c r="AG282" t="str">
        <f t="shared" si="263"/>
        <v>1+108,267995696072i</v>
      </c>
      <c r="AH282">
        <f t="shared" si="281"/>
        <v>108.27261376749279</v>
      </c>
      <c r="AI282">
        <f t="shared" si="282"/>
        <v>1.5615602496109724</v>
      </c>
      <c r="AJ282" t="str">
        <f t="shared" si="264"/>
        <v>1+0,0274270986348268i</v>
      </c>
      <c r="AK282">
        <f t="shared" si="283"/>
        <v>1.0003760521621479</v>
      </c>
      <c r="AL282">
        <f t="shared" si="284"/>
        <v>2.7420224431182551E-2</v>
      </c>
      <c r="AM282" t="str">
        <f t="shared" si="265"/>
        <v>1-0,0180274460253084i</v>
      </c>
      <c r="AN282">
        <f t="shared" si="285"/>
        <v>1.0001624812050267</v>
      </c>
      <c r="AO282">
        <f t="shared" si="286"/>
        <v>-1.8025493499945391E-2</v>
      </c>
      <c r="AP282" s="41" t="str">
        <f t="shared" si="287"/>
        <v>0,0385370631431989-2,06821969146855i</v>
      </c>
      <c r="AQ282">
        <f t="shared" si="288"/>
        <v>6.3134409281779682</v>
      </c>
      <c r="AR282" s="43">
        <f t="shared" si="289"/>
        <v>-88.932533326083174</v>
      </c>
      <c r="AS282" t="str">
        <f t="shared" si="266"/>
        <v>-0,0000166666666666667</v>
      </c>
      <c r="AT282" t="str">
        <f t="shared" si="267"/>
        <v>0,0000275093799307313i</v>
      </c>
      <c r="AU282">
        <f t="shared" si="290"/>
        <v>2.7509379930731299E-5</v>
      </c>
      <c r="AV282">
        <f t="shared" si="291"/>
        <v>1.5707963267948966</v>
      </c>
      <c r="AW282" t="str">
        <f t="shared" si="268"/>
        <v>1+0,0180477418733656i</v>
      </c>
      <c r="AX282">
        <f t="shared" si="292"/>
        <v>1.0001628472337529</v>
      </c>
      <c r="AY282">
        <f t="shared" si="293"/>
        <v>1.8045782746798134E-2</v>
      </c>
      <c r="AZ282" t="str">
        <f t="shared" si="269"/>
        <v>1+6,03396169966189i</v>
      </c>
      <c r="BA282">
        <f t="shared" si="294"/>
        <v>6.1162646928486195</v>
      </c>
      <c r="BB282">
        <f t="shared" si="295"/>
        <v>1.4065605055248935</v>
      </c>
      <c r="BC282" s="41" t="str">
        <f t="shared" si="296"/>
        <v>-3,64357848216791+0,671612320251451i</v>
      </c>
      <c r="BD282">
        <f t="shared" si="297"/>
        <v>11.375670047952092</v>
      </c>
      <c r="BE282" s="43">
        <f t="shared" si="298"/>
        <v>169.55603340696237</v>
      </c>
      <c r="BF282" s="41" t="str">
        <f t="shared" si="299"/>
        <v>0,498953781064435+2,26498679427112i</v>
      </c>
      <c r="BG282" s="20">
        <f t="shared" si="300"/>
        <v>7.3071123718899464</v>
      </c>
      <c r="BH282" s="43">
        <f t="shared" si="301"/>
        <v>77.576737594745978</v>
      </c>
      <c r="BI282" s="41" t="str">
        <f t="shared" si="255"/>
        <v>1,24862901174243+7,56160273062404i</v>
      </c>
      <c r="BJ282" s="20">
        <f t="shared" si="302"/>
        <v>17.68911097613006</v>
      </c>
      <c r="BK282" s="43">
        <f t="shared" si="256"/>
        <v>80.623500080879197</v>
      </c>
      <c r="BL282">
        <f t="shared" si="303"/>
        <v>7.3071123718899464</v>
      </c>
      <c r="BM282" s="43">
        <f t="shared" si="304"/>
        <v>77.576737594745978</v>
      </c>
    </row>
    <row r="283" spans="14:65" x14ac:dyDescent="0.25">
      <c r="N283" s="9">
        <v>65</v>
      </c>
      <c r="O283" s="34">
        <f t="shared" si="254"/>
        <v>4466.8359215096343</v>
      </c>
      <c r="P283" s="33" t="str">
        <f t="shared" si="257"/>
        <v>66,7780509511648</v>
      </c>
      <c r="Q283" s="4" t="str">
        <f t="shared" si="258"/>
        <v>1+109,384541422782i</v>
      </c>
      <c r="R283" s="4">
        <f t="shared" si="270"/>
        <v>109.38911235709115</v>
      </c>
      <c r="S283" s="4">
        <f t="shared" si="271"/>
        <v>1.5616545218441658</v>
      </c>
      <c r="T283" s="4" t="str">
        <f t="shared" si="259"/>
        <v>1+0,0280659578316113i</v>
      </c>
      <c r="U283" s="4">
        <f t="shared" si="272"/>
        <v>1.000393771466519</v>
      </c>
      <c r="V283" s="4">
        <f t="shared" si="273"/>
        <v>2.8058592146278198E-2</v>
      </c>
      <c r="W283" t="str">
        <f t="shared" si="260"/>
        <v>1-0,0610538960366671i</v>
      </c>
      <c r="X283" s="4">
        <f t="shared" si="274"/>
        <v>1.001862055485313</v>
      </c>
      <c r="Y283" s="4">
        <f t="shared" si="275"/>
        <v>-6.097820419531174E-2</v>
      </c>
      <c r="Z283" t="str">
        <f t="shared" si="261"/>
        <v>0,99998004737685+0,0120001642130488i</v>
      </c>
      <c r="AA283" s="4">
        <f t="shared" si="276"/>
        <v>1.0000520481919666</v>
      </c>
      <c r="AB283" s="4">
        <f t="shared" si="277"/>
        <v>1.1999827644222251E-2</v>
      </c>
      <c r="AC283" s="47" t="str">
        <f t="shared" si="278"/>
        <v>-0,0218844136255581-0,611417589526553i</v>
      </c>
      <c r="AD283" s="20">
        <f t="shared" si="279"/>
        <v>-4.2676811033857209</v>
      </c>
      <c r="AE283" s="43">
        <f t="shared" si="280"/>
        <v>-92.0499074717073</v>
      </c>
      <c r="AF283" t="str">
        <f t="shared" si="262"/>
        <v>223,849857273222</v>
      </c>
      <c r="AG283" t="str">
        <f t="shared" si="263"/>
        <v>1+110,789881284073i</v>
      </c>
      <c r="AH283">
        <f t="shared" si="281"/>
        <v>110.79439423968611</v>
      </c>
      <c r="AI283">
        <f t="shared" si="282"/>
        <v>1.5617704768441592</v>
      </c>
      <c r="AJ283" t="str">
        <f t="shared" si="264"/>
        <v>1+0,0280659578316113i</v>
      </c>
      <c r="AK283">
        <f t="shared" si="283"/>
        <v>1.000393771466519</v>
      </c>
      <c r="AL283">
        <f t="shared" si="284"/>
        <v>2.8058592146278198E-2</v>
      </c>
      <c r="AM283" t="str">
        <f t="shared" si="265"/>
        <v>1-0,0184473591864176i</v>
      </c>
      <c r="AN283">
        <f t="shared" si="285"/>
        <v>1.0001701380569972</v>
      </c>
      <c r="AO283">
        <f t="shared" si="286"/>
        <v>-1.8445267037018289E-2</v>
      </c>
      <c r="AP283" s="41" t="str">
        <f t="shared" si="287"/>
        <v>0,0376777913920869-2,02119610148036i</v>
      </c>
      <c r="AQ283">
        <f t="shared" si="288"/>
        <v>6.1136779460936141</v>
      </c>
      <c r="AR283" s="43">
        <f t="shared" si="289"/>
        <v>-88.932053935456636</v>
      </c>
      <c r="AS283" t="str">
        <f t="shared" si="266"/>
        <v>-0,0000166666666666667</v>
      </c>
      <c r="AT283" t="str">
        <f t="shared" si="267"/>
        <v>0,0000281501557051062i</v>
      </c>
      <c r="AU283">
        <f t="shared" si="290"/>
        <v>2.8150155705106201E-5</v>
      </c>
      <c r="AV283">
        <f t="shared" si="291"/>
        <v>1.5707963267948966</v>
      </c>
      <c r="AW283" t="str">
        <f t="shared" si="268"/>
        <v>1+0,0184681277855069i</v>
      </c>
      <c r="AX283">
        <f t="shared" si="292"/>
        <v>1.0001705213331884</v>
      </c>
      <c r="AY283">
        <f t="shared" si="293"/>
        <v>1.8466028562897998E-2</v>
      </c>
      <c r="AZ283" t="str">
        <f t="shared" si="269"/>
        <v>1+6,17451072295448i</v>
      </c>
      <c r="BA283">
        <f t="shared" si="294"/>
        <v>6.2549646416170779</v>
      </c>
      <c r="BB283">
        <f t="shared" si="295"/>
        <v>1.4102343238643367</v>
      </c>
      <c r="BC283" s="41" t="str">
        <f t="shared" si="296"/>
        <v>-3,64352256954959+0,659352076973225i</v>
      </c>
      <c r="BD283">
        <f t="shared" si="297"/>
        <v>11.370375142231094</v>
      </c>
      <c r="BE283" s="43">
        <f t="shared" si="298"/>
        <v>169.74244938088967</v>
      </c>
      <c r="BF283" s="41" t="str">
        <f t="shared" si="299"/>
        <v>0,482875812518375+2,21328425328225i</v>
      </c>
      <c r="BG283" s="20">
        <f t="shared" si="300"/>
        <v>7.1026940388453728</v>
      </c>
      <c r="BH283" s="43">
        <f t="shared" si="301"/>
        <v>77.692541909182339</v>
      </c>
      <c r="BI283" s="41" t="str">
        <f t="shared" si="255"/>
        <v>1,19539996417341+7,38911654323947i</v>
      </c>
      <c r="BJ283" s="20">
        <f t="shared" si="302"/>
        <v>17.484053088324703</v>
      </c>
      <c r="BK283" s="43">
        <f t="shared" si="256"/>
        <v>80.810395445433016</v>
      </c>
      <c r="BL283">
        <f t="shared" si="303"/>
        <v>7.1026940388453728</v>
      </c>
      <c r="BM283" s="43">
        <f t="shared" si="304"/>
        <v>77.692541909182339</v>
      </c>
    </row>
    <row r="284" spans="14:65" x14ac:dyDescent="0.25">
      <c r="N284" s="9">
        <v>66</v>
      </c>
      <c r="O284" s="34">
        <f t="shared" ref="O284:O318" si="305">10^(3+(N284/100))</f>
        <v>4570.8818961487532</v>
      </c>
      <c r="P284" s="33" t="str">
        <f t="shared" si="257"/>
        <v>66,7780509511648</v>
      </c>
      <c r="Q284" s="4" t="str">
        <f t="shared" si="258"/>
        <v>1+111,932434701776i</v>
      </c>
      <c r="R284" s="4">
        <f t="shared" si="270"/>
        <v>111.93690159311785</v>
      </c>
      <c r="S284" s="4">
        <f t="shared" si="271"/>
        <v>1.5618626035294383</v>
      </c>
      <c r="T284" s="4" t="str">
        <f t="shared" si="259"/>
        <v>1+0,028719697970735i</v>
      </c>
      <c r="U284" s="4">
        <f t="shared" si="272"/>
        <v>1.000412325519598</v>
      </c>
      <c r="V284" s="4">
        <f t="shared" si="273"/>
        <v>2.8711805672380651E-2</v>
      </c>
      <c r="W284" t="str">
        <f t="shared" si="260"/>
        <v>1-0,0624760239657592i</v>
      </c>
      <c r="X284" s="4">
        <f t="shared" si="274"/>
        <v>1.0019497260694121</v>
      </c>
      <c r="Y284" s="4">
        <f t="shared" si="275"/>
        <v>-6.2394927218033976E-2</v>
      </c>
      <c r="Z284" t="str">
        <f t="shared" si="261"/>
        <v>0,999979107038691+0,0122796839454311i</v>
      </c>
      <c r="AA284" s="4">
        <f t="shared" si="276"/>
        <v>1.0000545010906643</v>
      </c>
      <c r="AB284" s="4">
        <f t="shared" si="277"/>
        <v>1.2279323306449163E-2</v>
      </c>
      <c r="AC284" s="47" t="str">
        <f t="shared" si="278"/>
        <v>-0,0221361057984428-0,597535826076285i</v>
      </c>
      <c r="AD284" s="20">
        <f t="shared" si="279"/>
        <v>-4.4667649308102977</v>
      </c>
      <c r="AE284" s="43">
        <f t="shared" si="280"/>
        <v>-92.121589467679669</v>
      </c>
      <c r="AF284" t="str">
        <f t="shared" si="262"/>
        <v>223,849857273222</v>
      </c>
      <c r="AG284" t="str">
        <f t="shared" si="263"/>
        <v>1+113,370509133609i</v>
      </c>
      <c r="AH284">
        <f t="shared" si="281"/>
        <v>113.37491936585323</v>
      </c>
      <c r="AI284">
        <f t="shared" si="282"/>
        <v>1.5619759194922178</v>
      </c>
      <c r="AJ284" t="str">
        <f t="shared" si="264"/>
        <v>1+0,028719697970735i</v>
      </c>
      <c r="AK284">
        <f t="shared" si="283"/>
        <v>1.000412325519598</v>
      </c>
      <c r="AL284">
        <f t="shared" si="284"/>
        <v>2.8711805672380651E-2</v>
      </c>
      <c r="AM284" t="str">
        <f t="shared" si="265"/>
        <v>1-0,0188770533815472i</v>
      </c>
      <c r="AN284">
        <f t="shared" si="285"/>
        <v>1.0001781557024578</v>
      </c>
      <c r="AO284">
        <f t="shared" si="286"/>
        <v>-1.8874811624642371E-2</v>
      </c>
      <c r="AP284" s="41" t="str">
        <f t="shared" si="287"/>
        <v>0,0368571870811766-1,97524347814493i</v>
      </c>
      <c r="AQ284">
        <f t="shared" si="288"/>
        <v>5.9139245911994447</v>
      </c>
      <c r="AR284" s="43">
        <f t="shared" si="289"/>
        <v>-88.931009645939426</v>
      </c>
      <c r="AS284" t="str">
        <f t="shared" si="266"/>
        <v>-0,0000166666666666667</v>
      </c>
      <c r="AT284" t="str">
        <f t="shared" si="267"/>
        <v>0,0000288058570646472i</v>
      </c>
      <c r="AU284">
        <f t="shared" si="290"/>
        <v>2.8805857064647202E-5</v>
      </c>
      <c r="AV284">
        <f t="shared" si="291"/>
        <v>1.5707963267948966</v>
      </c>
      <c r="AW284" t="str">
        <f t="shared" si="268"/>
        <v>1+0,0188983057434547i</v>
      </c>
      <c r="AX284">
        <f t="shared" si="292"/>
        <v>1.0001785570386785</v>
      </c>
      <c r="AY284">
        <f t="shared" si="293"/>
        <v>1.8896056407590889E-2</v>
      </c>
      <c r="AZ284" t="str">
        <f t="shared" si="269"/>
        <v>1+6,31833355356169i</v>
      </c>
      <c r="BA284">
        <f t="shared" si="294"/>
        <v>6.3969788880426597</v>
      </c>
      <c r="BB284">
        <f t="shared" si="295"/>
        <v>1.4138287452595597</v>
      </c>
      <c r="BC284" s="41" t="str">
        <f t="shared" si="296"/>
        <v>-3,64346402368997+0,647441333572715i</v>
      </c>
      <c r="BD284">
        <f t="shared" si="297"/>
        <v>11.365306524818608</v>
      </c>
      <c r="BE284" s="43">
        <f t="shared" si="298"/>
        <v>169.92375577605347</v>
      </c>
      <c r="BF284" s="41" t="str">
        <f t="shared" si="299"/>
        <v>0,467521497193525+2,16276845531656i</v>
      </c>
      <c r="BG284" s="20">
        <f t="shared" si="300"/>
        <v>6.8985415940083081</v>
      </c>
      <c r="BH284" s="43">
        <f t="shared" si="301"/>
        <v>77.802166308373785</v>
      </c>
      <c r="BI284" s="41" t="str">
        <f t="shared" si="255"/>
        <v>1,14456643647628+7,22059141700487i</v>
      </c>
      <c r="BJ284" s="20">
        <f t="shared" si="302"/>
        <v>17.27923111601805</v>
      </c>
      <c r="BK284" s="43">
        <f t="shared" si="256"/>
        <v>80.992746130114071</v>
      </c>
      <c r="BL284">
        <f t="shared" si="303"/>
        <v>6.8985415940083081</v>
      </c>
      <c r="BM284" s="43">
        <f t="shared" si="304"/>
        <v>77.802166308373785</v>
      </c>
    </row>
    <row r="285" spans="14:65" x14ac:dyDescent="0.25">
      <c r="N285" s="9">
        <v>67</v>
      </c>
      <c r="O285" s="34">
        <f t="shared" si="305"/>
        <v>4677.3514128719844</v>
      </c>
      <c r="P285" s="33" t="str">
        <f t="shared" si="257"/>
        <v>66,7780509511648</v>
      </c>
      <c r="Q285" s="4" t="str">
        <f t="shared" si="258"/>
        <v>1+114,539676039251i</v>
      </c>
      <c r="R285" s="4">
        <f t="shared" si="270"/>
        <v>114.54404125565226</v>
      </c>
      <c r="S285" s="4">
        <f t="shared" si="271"/>
        <v>1.5620659494448508</v>
      </c>
      <c r="T285" s="4" t="str">
        <f t="shared" si="259"/>
        <v>1+0,0293886656738729i</v>
      </c>
      <c r="U285" s="4">
        <f t="shared" si="272"/>
        <v>1.0004317536294471</v>
      </c>
      <c r="V285" s="4">
        <f t="shared" si="273"/>
        <v>2.9380209120924962E-2</v>
      </c>
      <c r="W285" t="str">
        <f t="shared" si="260"/>
        <v>1-0,0639312775097258i</v>
      </c>
      <c r="X285" s="4">
        <f t="shared" si="274"/>
        <v>1.0020415202196091</v>
      </c>
      <c r="Y285" s="4">
        <f t="shared" si="275"/>
        <v>-6.3844390337819787E-2</v>
      </c>
      <c r="Z285" t="str">
        <f t="shared" si="261"/>
        <v>0,99997812238376+0,0125657145287821i</v>
      </c>
      <c r="AA285" s="4">
        <f t="shared" si="276"/>
        <v>1.0000570695854156</v>
      </c>
      <c r="AB285" s="4">
        <f t="shared" si="277"/>
        <v>1.256532809828761E-2</v>
      </c>
      <c r="AC285" s="47" t="str">
        <f t="shared" si="278"/>
        <v>-0,0223765120623772-0,583970681495413i</v>
      </c>
      <c r="AD285" s="20">
        <f t="shared" si="279"/>
        <v>-4.6658072341816839</v>
      </c>
      <c r="AE285" s="43">
        <f t="shared" si="280"/>
        <v>-92.194378620616888</v>
      </c>
      <c r="AF285" t="str">
        <f t="shared" si="262"/>
        <v>223,849857273222</v>
      </c>
      <c r="AG285" t="str">
        <f t="shared" si="263"/>
        <v>1+116,011247527723i</v>
      </c>
      <c r="AH285">
        <f t="shared" si="281"/>
        <v>116.0155573745979</v>
      </c>
      <c r="AI285">
        <f t="shared" si="282"/>
        <v>1.5621766864141515</v>
      </c>
      <c r="AJ285" t="str">
        <f t="shared" si="264"/>
        <v>1+0,0293886656738729i</v>
      </c>
      <c r="AK285">
        <f t="shared" si="283"/>
        <v>1.0004317536294471</v>
      </c>
      <c r="AL285">
        <f t="shared" si="284"/>
        <v>2.9380209120924962E-2</v>
      </c>
      <c r="AM285" t="str">
        <f t="shared" si="265"/>
        <v>1-0,0193167564402469i</v>
      </c>
      <c r="AN285">
        <f t="shared" si="285"/>
        <v>1.0001865511390222</v>
      </c>
      <c r="AO285">
        <f t="shared" si="286"/>
        <v>-1.9314354378642571E-2</v>
      </c>
      <c r="AP285" s="41" t="str">
        <f t="shared" si="287"/>
        <v>0,0360735104308633-1,93033750337275i</v>
      </c>
      <c r="AQ285">
        <f t="shared" si="288"/>
        <v>5.7141813856745269</v>
      </c>
      <c r="AR285" s="43">
        <f t="shared" si="289"/>
        <v>-88.929399991338258</v>
      </c>
      <c r="AS285" t="str">
        <f t="shared" si="266"/>
        <v>-0,0000166666666666667</v>
      </c>
      <c r="AT285" t="str">
        <f t="shared" si="267"/>
        <v>0,0000294768316708946i</v>
      </c>
      <c r="AU285">
        <f t="shared" si="290"/>
        <v>2.9476831670894601E-5</v>
      </c>
      <c r="AV285">
        <f t="shared" si="291"/>
        <v>1.5707963267948966</v>
      </c>
      <c r="AW285" t="str">
        <f t="shared" si="268"/>
        <v>1+0,0193385038332563i</v>
      </c>
      <c r="AX285">
        <f t="shared" si="292"/>
        <v>1.0001869713861049</v>
      </c>
      <c r="AY285">
        <f t="shared" si="293"/>
        <v>1.93360936507876E-2</v>
      </c>
      <c r="AZ285" t="str">
        <f t="shared" si="269"/>
        <v>1+6,46550644825203i</v>
      </c>
      <c r="BA285">
        <f t="shared" si="294"/>
        <v>6.5423828711249064</v>
      </c>
      <c r="BB285">
        <f t="shared" si="295"/>
        <v>1.41734530381543</v>
      </c>
      <c r="BC285" s="41" t="str">
        <f t="shared" si="296"/>
        <v>-3,64340272066552+0,635873767860806i</v>
      </c>
      <c r="BD285">
        <f t="shared" si="297"/>
        <v>11.360454227093125</v>
      </c>
      <c r="BE285" s="43">
        <f t="shared" si="298"/>
        <v>170.1000274628517</v>
      </c>
      <c r="BF285" s="41" t="str">
        <f t="shared" si="299"/>
        <v>0,452858282489801+2,1134117327126i</v>
      </c>
      <c r="BG285" s="20">
        <f t="shared" si="300"/>
        <v>6.6946469929114478</v>
      </c>
      <c r="BH285" s="43">
        <f t="shared" si="301"/>
        <v>77.905648842234797</v>
      </c>
      <c r="BI285" s="41" t="str">
        <f t="shared" si="255"/>
        <v>1,09602065546489+7,0559351105886i</v>
      </c>
      <c r="BJ285" s="20">
        <f t="shared" si="302"/>
        <v>17.074635612767651</v>
      </c>
      <c r="BK285" s="43">
        <f t="shared" si="256"/>
        <v>81.170627471513427</v>
      </c>
      <c r="BL285">
        <f t="shared" si="303"/>
        <v>6.6946469929114478</v>
      </c>
      <c r="BM285" s="43">
        <f t="shared" si="304"/>
        <v>77.905648842234797</v>
      </c>
    </row>
    <row r="286" spans="14:65" x14ac:dyDescent="0.25">
      <c r="N286" s="9">
        <v>68</v>
      </c>
      <c r="O286" s="34">
        <f t="shared" si="305"/>
        <v>4786.3009232263848</v>
      </c>
      <c r="P286" s="33" t="str">
        <f t="shared" si="257"/>
        <v>66,7780509511648</v>
      </c>
      <c r="Q286" s="4" t="str">
        <f t="shared" si="258"/>
        <v>1+117,207647829073i</v>
      </c>
      <c r="R286" s="4">
        <f t="shared" si="270"/>
        <v>117.21191368467626</v>
      </c>
      <c r="S286" s="4">
        <f t="shared" si="271"/>
        <v>1.562264667339794</v>
      </c>
      <c r="T286" s="4" t="str">
        <f t="shared" si="259"/>
        <v>1+0,0300732156365561i</v>
      </c>
      <c r="U286" s="4">
        <f t="shared" si="272"/>
        <v>1.0004520969535338</v>
      </c>
      <c r="V286" s="4">
        <f t="shared" si="273"/>
        <v>3.0064154497955513E-2</v>
      </c>
      <c r="W286" t="str">
        <f t="shared" si="260"/>
        <v>1-0,0654204282632586i</v>
      </c>
      <c r="X286" s="4">
        <f t="shared" si="274"/>
        <v>1.0021376314828958</v>
      </c>
      <c r="Y286" s="4">
        <f t="shared" si="275"/>
        <v>-6.5327337703542432E-2</v>
      </c>
      <c r="Z286" t="str">
        <f t="shared" si="261"/>
        <v>0,999977091323472+0,0128584076203032i</v>
      </c>
      <c r="AA286" s="4">
        <f t="shared" si="276"/>
        <v>1.0000597591235643</v>
      </c>
      <c r="AB286" s="4">
        <f t="shared" si="277"/>
        <v>1.2857993553843806E-2</v>
      </c>
      <c r="AC286" s="47" t="str">
        <f t="shared" si="278"/>
        <v>-0,0226061421122359-0,570714976820091i</v>
      </c>
      <c r="AD286" s="20">
        <f t="shared" si="279"/>
        <v>-4.8648060031053992</v>
      </c>
      <c r="AE286" s="43">
        <f t="shared" si="280"/>
        <v>-92.268312254498156</v>
      </c>
      <c r="AF286" t="str">
        <f t="shared" si="262"/>
        <v>223,849857273222</v>
      </c>
      <c r="AG286" t="str">
        <f t="shared" si="263"/>
        <v>1+118,713496620867i</v>
      </c>
      <c r="AH286">
        <f t="shared" si="281"/>
        <v>118.71770836717073</v>
      </c>
      <c r="AI286">
        <f t="shared" si="282"/>
        <v>1.5623728839944637</v>
      </c>
      <c r="AJ286" t="str">
        <f t="shared" si="264"/>
        <v>1+0,0300732156365561i</v>
      </c>
      <c r="AK286">
        <f t="shared" si="283"/>
        <v>1.0004520969535338</v>
      </c>
      <c r="AL286">
        <f t="shared" si="284"/>
        <v>3.0064154497955513E-2</v>
      </c>
      <c r="AM286" t="str">
        <f t="shared" si="265"/>
        <v>1-0,0197667014988988i</v>
      </c>
      <c r="AN286">
        <f t="shared" si="285"/>
        <v>1.0001953421647927</v>
      </c>
      <c r="AO286">
        <f t="shared" si="286"/>
        <v>-1.9764127670666036E-2</v>
      </c>
      <c r="AP286" s="41" t="str">
        <f t="shared" si="287"/>
        <v>0,0353250999168492-1,88645441091164i</v>
      </c>
      <c r="AQ286">
        <f t="shared" si="288"/>
        <v>5.5144488731321148</v>
      </c>
      <c r="AR286" s="43">
        <f t="shared" si="289"/>
        <v>-88.927224212490131</v>
      </c>
      <c r="AS286" t="str">
        <f t="shared" si="266"/>
        <v>-0,0000166666666666667</v>
      </c>
      <c r="AT286" t="str">
        <f t="shared" si="267"/>
        <v>0,0000301634352834658i</v>
      </c>
      <c r="AU286">
        <f t="shared" si="290"/>
        <v>3.0163435283465799E-5</v>
      </c>
      <c r="AV286">
        <f t="shared" si="291"/>
        <v>1.5707963267948966</v>
      </c>
      <c r="AW286" t="str">
        <f t="shared" si="268"/>
        <v>1+0,0197889554537657i</v>
      </c>
      <c r="AX286">
        <f t="shared" si="292"/>
        <v>1.000195782213638</v>
      </c>
      <c r="AY286">
        <f t="shared" si="293"/>
        <v>1.9786372924023122E-2</v>
      </c>
      <c r="AZ286" t="str">
        <f t="shared" si="269"/>
        <v>1+6,61610744004234i</v>
      </c>
      <c r="BA286">
        <f t="shared" si="294"/>
        <v>6.6912538180959489</v>
      </c>
      <c r="BB286">
        <f t="shared" si="295"/>
        <v>1.420785515988223</v>
      </c>
      <c r="BC286" s="41" t="str">
        <f t="shared" si="296"/>
        <v>-3,64333853072956+0,624643239108918i</v>
      </c>
      <c r="BD286">
        <f t="shared" si="297"/>
        <v>11.355808672588154</v>
      </c>
      <c r="BE286" s="43">
        <f t="shared" si="298"/>
        <v>170.2713379990237</v>
      </c>
      <c r="BF286" s="41" t="str">
        <f t="shared" si="299"/>
        <v>0,43885508031753+2,06518709128032i</v>
      </c>
      <c r="BG286" s="20">
        <f t="shared" si="300"/>
        <v>6.4910026694827492</v>
      </c>
      <c r="BH286" s="43">
        <f t="shared" si="301"/>
        <v>78.003025744525516</v>
      </c>
      <c r="BI286" s="41" t="str">
        <f t="shared" si="255"/>
        <v>1,04965969603422+6,89505762657302i</v>
      </c>
      <c r="BJ286" s="20">
        <f t="shared" si="302"/>
        <v>16.870257545720268</v>
      </c>
      <c r="BK286" s="43">
        <f t="shared" si="256"/>
        <v>81.344113786533597</v>
      </c>
      <c r="BL286">
        <f t="shared" si="303"/>
        <v>6.4910026694827492</v>
      </c>
      <c r="BM286" s="43">
        <f t="shared" si="304"/>
        <v>78.003025744525516</v>
      </c>
    </row>
    <row r="287" spans="14:65" x14ac:dyDescent="0.25">
      <c r="N287" s="9">
        <v>69</v>
      </c>
      <c r="O287" s="34">
        <f t="shared" si="305"/>
        <v>4897.7881936844633</v>
      </c>
      <c r="P287" s="33" t="str">
        <f t="shared" si="257"/>
        <v>66,7780509511648</v>
      </c>
      <c r="Q287" s="4" t="str">
        <f t="shared" si="258"/>
        <v>1+119,937764665201i</v>
      </c>
      <c r="R287" s="4">
        <f t="shared" si="270"/>
        <v>119.94193342148999</v>
      </c>
      <c r="S287" s="4">
        <f t="shared" si="271"/>
        <v>1.5624588625143137</v>
      </c>
      <c r="T287" s="4" t="str">
        <f t="shared" si="259"/>
        <v>1+0,0307737108162359i</v>
      </c>
      <c r="U287" s="4">
        <f t="shared" si="272"/>
        <v>1.0004733985855903</v>
      </c>
      <c r="V287" s="4">
        <f t="shared" si="273"/>
        <v>3.0764001879405107E-2</v>
      </c>
      <c r="W287" t="str">
        <f t="shared" si="260"/>
        <v>1-0,0669442657937984i</v>
      </c>
      <c r="X287" s="4">
        <f t="shared" si="274"/>
        <v>1.0022382624519335</v>
      </c>
      <c r="Y287" s="4">
        <f t="shared" si="275"/>
        <v>-6.6844529489236387E-2</v>
      </c>
      <c r="Z287" t="str">
        <f t="shared" si="261"/>
        <v>0,99997601167081+0,0131579184097457i</v>
      </c>
      <c r="AA287" s="4">
        <f t="shared" si="276"/>
        <v>1.0000625754091279</v>
      </c>
      <c r="AB287" s="4">
        <f t="shared" si="277"/>
        <v>1.3157474730972021E-2</v>
      </c>
      <c r="AC287" s="47" t="str">
        <f t="shared" si="278"/>
        <v>-0,0228254828060066-0,557761696253375i</v>
      </c>
      <c r="AD287" s="20">
        <f t="shared" si="279"/>
        <v>-5.063759136858998</v>
      </c>
      <c r="AE287" s="43">
        <f t="shared" si="280"/>
        <v>-92.343428210664811</v>
      </c>
      <c r="AF287" t="str">
        <f t="shared" si="262"/>
        <v>223,849857273222</v>
      </c>
      <c r="AG287" t="str">
        <f t="shared" si="263"/>
        <v>1+121,478689181278i</v>
      </c>
      <c r="AH287">
        <f t="shared" si="281"/>
        <v>121.48280505981721</v>
      </c>
      <c r="AI287">
        <f t="shared" si="282"/>
        <v>1.562564616199255</v>
      </c>
      <c r="AJ287" t="str">
        <f t="shared" si="264"/>
        <v>1+0,0307737108162359i</v>
      </c>
      <c r="AK287">
        <f t="shared" si="283"/>
        <v>1.0004733985855903</v>
      </c>
      <c r="AL287">
        <f t="shared" si="284"/>
        <v>3.0764001879405107E-2</v>
      </c>
      <c r="AM287" t="str">
        <f t="shared" si="265"/>
        <v>1-0,0202271271243286i</v>
      </c>
      <c r="AN287">
        <f t="shared" si="285"/>
        <v>1.0002045474160293</v>
      </c>
      <c r="AO287">
        <f t="shared" si="286"/>
        <v>-2.0224369248149326E-2</v>
      </c>
      <c r="AP287" s="41" t="str">
        <f t="shared" si="287"/>
        <v>0,0346103687522719-1,84357097395311i</v>
      </c>
      <c r="AQ287">
        <f t="shared" si="288"/>
        <v>5.3147276197639117</v>
      </c>
      <c r="AR287" s="43">
        <f t="shared" si="289"/>
        <v>-88.924481257307292</v>
      </c>
      <c r="AS287" t="str">
        <f t="shared" si="266"/>
        <v>-0,0000166666666666667</v>
      </c>
      <c r="AT287" t="str">
        <f t="shared" si="267"/>
        <v>0,0000308660319486846i</v>
      </c>
      <c r="AU287">
        <f t="shared" si="290"/>
        <v>3.0866031948684603E-5</v>
      </c>
      <c r="AV287">
        <f t="shared" si="291"/>
        <v>1.5707963267948966</v>
      </c>
      <c r="AW287" t="str">
        <f t="shared" si="268"/>
        <v>1+0,0202498994403945i</v>
      </c>
      <c r="AX287">
        <f t="shared" si="292"/>
        <v>1.0002050081994922</v>
      </c>
      <c r="AY287">
        <f t="shared" si="293"/>
        <v>2.0247132240551288E-2</v>
      </c>
      <c r="AZ287" t="str">
        <f t="shared" si="269"/>
        <v>1+6,77021637957189i</v>
      </c>
      <c r="BA287">
        <f t="shared" si="294"/>
        <v>6.8436707859323196</v>
      </c>
      <c r="BB287">
        <f t="shared" si="295"/>
        <v>1.4241508799351987</v>
      </c>
      <c r="BC287" s="41" t="str">
        <f t="shared" si="296"/>
        <v>-3,64327131803927+0,61374378475764i</v>
      </c>
      <c r="BD287">
        <f t="shared" si="297"/>
        <v>11.351360662280584</v>
      </c>
      <c r="BE287" s="43">
        <f t="shared" si="298"/>
        <v>170.43775958550245</v>
      </c>
      <c r="BF287" s="41" t="str">
        <f t="shared" si="299"/>
        <v>0,42548220127891+2,01806819205457i</v>
      </c>
      <c r="BG287" s="20">
        <f t="shared" si="300"/>
        <v>6.2876015254215698</v>
      </c>
      <c r="BH287" s="43">
        <f t="shared" si="301"/>
        <v>78.094331374837623</v>
      </c>
      <c r="BI287" s="41" t="str">
        <f t="shared" si="255"/>
        <v>1,0053852632414+6,73787115088296i</v>
      </c>
      <c r="BJ287" s="20">
        <f t="shared" si="302"/>
        <v>16.666088282044491</v>
      </c>
      <c r="BK287" s="43">
        <f t="shared" si="256"/>
        <v>81.513278328195128</v>
      </c>
      <c r="BL287">
        <f t="shared" si="303"/>
        <v>6.2876015254215698</v>
      </c>
      <c r="BM287" s="43">
        <f t="shared" si="304"/>
        <v>78.094331374837623</v>
      </c>
    </row>
    <row r="288" spans="14:65" x14ac:dyDescent="0.25">
      <c r="N288" s="9">
        <v>70</v>
      </c>
      <c r="O288" s="34">
        <f t="shared" si="305"/>
        <v>5011.8723362727324</v>
      </c>
      <c r="P288" s="33" t="str">
        <f t="shared" si="257"/>
        <v>66,7780509511648</v>
      </c>
      <c r="Q288" s="4" t="str">
        <f t="shared" si="258"/>
        <v>1+122,731474091719i</v>
      </c>
      <c r="R288" s="4">
        <f t="shared" si="270"/>
        <v>122.73554795871607</v>
      </c>
      <c r="S288" s="4">
        <f t="shared" si="271"/>
        <v>1.5626486378746403</v>
      </c>
      <c r="T288" s="4" t="str">
        <f t="shared" si="259"/>
        <v>1+0,0314905226247287i</v>
      </c>
      <c r="U288" s="4">
        <f t="shared" si="272"/>
        <v>1.0004957036465367</v>
      </c>
      <c r="V288" s="4">
        <f t="shared" si="273"/>
        <v>3.1480119589844653E-2</v>
      </c>
      <c r="W288" t="str">
        <f t="shared" si="260"/>
        <v>1-0,0685035980601742i</v>
      </c>
      <c r="X288" s="4">
        <f t="shared" si="274"/>
        <v>1.0023436251840931</v>
      </c>
      <c r="Y288" s="4">
        <f t="shared" si="275"/>
        <v>-6.8396742175302394E-2</v>
      </c>
      <c r="Z288" t="str">
        <f t="shared" si="261"/>
        <v>0,999974881135685+0,0134644057016947i</v>
      </c>
      <c r="AA288" s="4">
        <f t="shared" si="276"/>
        <v>1.0000655244148893</v>
      </c>
      <c r="AB288" s="4">
        <f t="shared" si="277"/>
        <v>1.3463930292929223E-2</v>
      </c>
      <c r="AC288" s="47" t="str">
        <f t="shared" si="278"/>
        <v>-0,0230349991956313-0,545103983505242i</v>
      </c>
      <c r="AD288" s="20">
        <f t="shared" si="279"/>
        <v>-5.2626644401289244</v>
      </c>
      <c r="AE288" s="43">
        <f t="shared" si="280"/>
        <v>-92.419764861551059</v>
      </c>
      <c r="AF288" t="str">
        <f t="shared" si="262"/>
        <v>223,849857273222</v>
      </c>
      <c r="AG288" t="str">
        <f t="shared" si="263"/>
        <v>1+124,308291350654i</v>
      </c>
      <c r="AH288">
        <f t="shared" si="281"/>
        <v>124.3123135434261</v>
      </c>
      <c r="AI288">
        <f t="shared" si="282"/>
        <v>1.5627519846310591</v>
      </c>
      <c r="AJ288" t="str">
        <f t="shared" si="264"/>
        <v>1+0,0314905226247287i</v>
      </c>
      <c r="AK288">
        <f t="shared" si="283"/>
        <v>1.0004957036465367</v>
      </c>
      <c r="AL288">
        <f t="shared" si="284"/>
        <v>3.1480119589844653E-2</v>
      </c>
      <c r="AM288" t="str">
        <f t="shared" si="265"/>
        <v>1-0,0206982774402975i</v>
      </c>
      <c r="AN288">
        <f t="shared" si="285"/>
        <v>1.0002141864065894</v>
      </c>
      <c r="AO288">
        <f t="shared" si="286"/>
        <v>-2.0695322356906277E-2</v>
      </c>
      <c r="AP288" s="41" t="str">
        <f t="shared" si="287"/>
        <v>0,033927801527787-1,80166449301077i</v>
      </c>
      <c r="AQ288">
        <f t="shared" si="288"/>
        <v>5.1150182155307462</v>
      </c>
      <c r="AR288" s="43">
        <f t="shared" si="289"/>
        <v>-88.921169780701234</v>
      </c>
      <c r="AS288" t="str">
        <f t="shared" si="266"/>
        <v>-0,0000166666666666667</v>
      </c>
      <c r="AT288" t="str">
        <f t="shared" si="267"/>
        <v>0,0000315849941926029i</v>
      </c>
      <c r="AU288">
        <f t="shared" si="290"/>
        <v>3.1584994192602899E-5</v>
      </c>
      <c r="AV288">
        <f t="shared" si="291"/>
        <v>1.5707963267948966</v>
      </c>
      <c r="AW288" t="str">
        <f t="shared" si="268"/>
        <v>1+0,0207215801917457i</v>
      </c>
      <c r="AX288">
        <f t="shared" si="292"/>
        <v>1.0002146689014528</v>
      </c>
      <c r="AY288">
        <f t="shared" si="293"/>
        <v>2.0718615118061338E-2</v>
      </c>
      <c r="AZ288" t="str">
        <f t="shared" si="269"/>
        <v>1+6,92791497744031i</v>
      </c>
      <c r="BA288">
        <f t="shared" si="294"/>
        <v>6.9997147038034182</v>
      </c>
      <c r="BB288">
        <f t="shared" si="295"/>
        <v>1.4274428749388397</v>
      </c>
      <c r="BC288" s="41" t="str">
        <f t="shared" si="296"/>
        <v>-3,64320094037039+0,603169617217323i</v>
      </c>
      <c r="BD288">
        <f t="shared" si="297"/>
        <v>11.34710136022135</v>
      </c>
      <c r="BE288" s="43">
        <f t="shared" si="298"/>
        <v>170.59936302639525</v>
      </c>
      <c r="BF288" s="41" t="str">
        <f t="shared" si="299"/>
        <v>0,41271129180545+1,97202933365851i</v>
      </c>
      <c r="BG288" s="20">
        <f t="shared" si="300"/>
        <v>6.0844369200924131</v>
      </c>
      <c r="BH288" s="43">
        <f t="shared" si="301"/>
        <v>78.179598164844165</v>
      </c>
      <c r="BI288" s="41" t="str">
        <f t="shared" si="255"/>
        <v>0,963103484172615+6,58428999422932i</v>
      </c>
      <c r="BJ288" s="20">
        <f t="shared" si="302"/>
        <v>16.462119575752098</v>
      </c>
      <c r="BK288" s="43">
        <f t="shared" si="256"/>
        <v>81.678193245694004</v>
      </c>
      <c r="BL288">
        <f t="shared" si="303"/>
        <v>6.0844369200924131</v>
      </c>
      <c r="BM288" s="43">
        <f t="shared" si="304"/>
        <v>78.179598164844165</v>
      </c>
    </row>
    <row r="289" spans="14:65" x14ac:dyDescent="0.25">
      <c r="N289" s="9">
        <v>71</v>
      </c>
      <c r="O289" s="34">
        <f t="shared" si="305"/>
        <v>5128.6138399136489</v>
      </c>
      <c r="P289" s="33" t="str">
        <f t="shared" si="257"/>
        <v>66,7780509511648</v>
      </c>
      <c r="Q289" s="4" t="str">
        <f t="shared" si="258"/>
        <v>1+125,590257370342i</v>
      </c>
      <c r="R289" s="4">
        <f t="shared" si="270"/>
        <v>125.59423850777847</v>
      </c>
      <c r="S289" s="4">
        <f t="shared" si="271"/>
        <v>1.562834093987473</v>
      </c>
      <c r="T289" s="4" t="str">
        <f t="shared" si="259"/>
        <v>1+0,0322240311251433i</v>
      </c>
      <c r="U289" s="4">
        <f t="shared" si="272"/>
        <v>1.0005190593796573</v>
      </c>
      <c r="V289" s="4">
        <f t="shared" si="273"/>
        <v>3.2212884384740591E-2</v>
      </c>
      <c r="W289" t="str">
        <f t="shared" si="260"/>
        <v>1-0,0700992518409935i</v>
      </c>
      <c r="X289" s="4">
        <f t="shared" si="274"/>
        <v>1.0024539416395484</v>
      </c>
      <c r="Y289" s="4">
        <f t="shared" si="275"/>
        <v>-6.9984768829858893E-2</v>
      </c>
      <c r="Z289" t="str">
        <f t="shared" si="261"/>
        <v>0,999973697320081+0,0137780319997692i</v>
      </c>
      <c r="AA289" s="4">
        <f t="shared" si="276"/>
        <v>1.0000686123950595</v>
      </c>
      <c r="AB289" s="4">
        <f t="shared" si="277"/>
        <v>1.3777522591900886E-2</v>
      </c>
      <c r="AC289" s="47" t="str">
        <f t="shared" si="278"/>
        <v>-0,0232351355117541-0,532735138213183i</v>
      </c>
      <c r="AD289" s="20">
        <f t="shared" si="279"/>
        <v>-5.4615196185647941</v>
      </c>
      <c r="AE289" s="43">
        <f t="shared" si="280"/>
        <v>-92.49736112425721</v>
      </c>
      <c r="AF289" t="str">
        <f t="shared" si="262"/>
        <v>223,849857273222</v>
      </c>
      <c r="AG289" t="str">
        <f t="shared" si="263"/>
        <v>1+127,203803421518i</v>
      </c>
      <c r="AH289">
        <f t="shared" si="281"/>
        <v>127.20773406086676</v>
      </c>
      <c r="AI289">
        <f t="shared" si="282"/>
        <v>1.5629350885824453</v>
      </c>
      <c r="AJ289" t="str">
        <f t="shared" si="264"/>
        <v>1+0,0322240311251433i</v>
      </c>
      <c r="AK289">
        <f t="shared" si="283"/>
        <v>1.0005190593796573</v>
      </c>
      <c r="AL289">
        <f t="shared" si="284"/>
        <v>3.2212884384740591E-2</v>
      </c>
      <c r="AM289" t="str">
        <f t="shared" si="265"/>
        <v>1-0,0211804022569392i</v>
      </c>
      <c r="AN289">
        <f t="shared" si="285"/>
        <v>1.0002242795692202</v>
      </c>
      <c r="AO289">
        <f t="shared" si="286"/>
        <v>-2.1177235866382298E-2</v>
      </c>
      <c r="AP289" s="41" t="str">
        <f t="shared" si="287"/>
        <v>0,0332759510025423-1,76071278406554i</v>
      </c>
      <c r="AQ289">
        <f t="shared" si="288"/>
        <v>4.915321275403306</v>
      </c>
      <c r="AR289" s="43">
        <f t="shared" si="289"/>
        <v>-88.917288144387854</v>
      </c>
      <c r="AS289" t="str">
        <f t="shared" si="266"/>
        <v>-0,0000166666666666667</v>
      </c>
      <c r="AT289" t="str">
        <f t="shared" si="267"/>
        <v>0,0000323207032185188i</v>
      </c>
      <c r="AU289">
        <f t="shared" si="290"/>
        <v>3.2320703218518798E-5</v>
      </c>
      <c r="AV289">
        <f t="shared" si="291"/>
        <v>1.5707963267948966</v>
      </c>
      <c r="AW289" t="str">
        <f t="shared" si="268"/>
        <v>1+0,021204247799197i</v>
      </c>
      <c r="AX289">
        <f t="shared" si="292"/>
        <v>1.0002247847982622</v>
      </c>
      <c r="AY289">
        <f t="shared" si="293"/>
        <v>2.120107070406442E-2</v>
      </c>
      <c r="AZ289" t="str">
        <f t="shared" si="269"/>
        <v>1+7,08928684753152i</v>
      </c>
      <c r="BA289">
        <f t="shared" si="294"/>
        <v>7.1594684164806122</v>
      </c>
      <c r="BB289">
        <f t="shared" si="295"/>
        <v>1.4306629609010963</v>
      </c>
      <c r="BC289" s="41" t="str">
        <f t="shared" si="296"/>
        <v>-3,64312724881832+0,592915120758736i</v>
      </c>
      <c r="BD289">
        <f t="shared" si="297"/>
        <v>11.343022279512587</v>
      </c>
      <c r="BE289" s="43">
        <f t="shared" si="298"/>
        <v>170.75621769282142</v>
      </c>
      <c r="BF289" s="41" t="str">
        <f t="shared" si="299"/>
        <v>0,400515274118949+1,92704543524964i</v>
      </c>
      <c r="BG289" s="20">
        <f t="shared" si="300"/>
        <v>5.8815026609477759</v>
      </c>
      <c r="BH289" s="43">
        <f t="shared" si="301"/>
        <v>78.25885656856417</v>
      </c>
      <c r="BI289" s="41" t="str">
        <f t="shared" si="255"/>
        <v>0,922724709157965+6,43423053547897i</v>
      </c>
      <c r="BJ289" s="20">
        <f t="shared" si="302"/>
        <v>16.258343554915889</v>
      </c>
      <c r="BK289" s="43">
        <f t="shared" si="256"/>
        <v>81.838929548433569</v>
      </c>
      <c r="BL289">
        <f t="shared" si="303"/>
        <v>5.8815026609477759</v>
      </c>
      <c r="BM289" s="43">
        <f t="shared" si="304"/>
        <v>78.25885656856417</v>
      </c>
    </row>
    <row r="290" spans="14:65" x14ac:dyDescent="0.25">
      <c r="N290" s="9">
        <v>72</v>
      </c>
      <c r="O290" s="34">
        <f t="shared" si="305"/>
        <v>5248.0746024977261</v>
      </c>
      <c r="P290" s="33" t="str">
        <f t="shared" si="257"/>
        <v>66,7780509511648</v>
      </c>
      <c r="Q290" s="4" t="str">
        <f t="shared" si="258"/>
        <v>1+128,515630265808i</v>
      </c>
      <c r="R290" s="4">
        <f t="shared" si="270"/>
        <v>128.51952078426788</v>
      </c>
      <c r="S290" s="4">
        <f t="shared" si="271"/>
        <v>1.5630153291330395</v>
      </c>
      <c r="T290" s="4" t="str">
        <f t="shared" si="259"/>
        <v>1+0,0329746252333961i</v>
      </c>
      <c r="U290" s="4">
        <f t="shared" si="272"/>
        <v>1.0005435152502278</v>
      </c>
      <c r="V290" s="4">
        <f t="shared" si="273"/>
        <v>3.2962681636256215E-2</v>
      </c>
      <c r="W290" t="str">
        <f t="shared" si="260"/>
        <v>1-0,0717320731730125i</v>
      </c>
      <c r="X290" s="4">
        <f t="shared" si="274"/>
        <v>1.0025694441392567</v>
      </c>
      <c r="Y290" s="4">
        <f t="shared" si="275"/>
        <v>-7.1609419389808304E-2</v>
      </c>
      <c r="Z290" t="str">
        <f t="shared" si="261"/>
        <v>0,999972457712967+0,0140989635927839i</v>
      </c>
      <c r="AA290" s="4">
        <f t="shared" si="276"/>
        <v>1.0000718458985345</v>
      </c>
      <c r="AB290" s="4">
        <f t="shared" si="277"/>
        <v>1.4098417754440359E-2</v>
      </c>
      <c r="AC290" s="47" t="str">
        <f t="shared" si="278"/>
        <v>-0,0234263161044508-0,520648612441649i</v>
      </c>
      <c r="AD290" s="20">
        <f t="shared" si="279"/>
        <v>-5.6603222741448445</v>
      </c>
      <c r="AE290" s="43">
        <f t="shared" si="280"/>
        <v>-92.576256473943602</v>
      </c>
      <c r="AF290" t="str">
        <f t="shared" si="262"/>
        <v>223,849857273222</v>
      </c>
      <c r="AG290" t="str">
        <f t="shared" si="263"/>
        <v>1+130,166760632698i</v>
      </c>
      <c r="AH290">
        <f t="shared" si="281"/>
        <v>130.17060180244266</v>
      </c>
      <c r="AI290">
        <f t="shared" si="282"/>
        <v>1.5631140250884124</v>
      </c>
      <c r="AJ290" t="str">
        <f t="shared" si="264"/>
        <v>1+0,0329746252333961i</v>
      </c>
      <c r="AK290">
        <f t="shared" si="283"/>
        <v>1.0005435152502278</v>
      </c>
      <c r="AL290">
        <f t="shared" si="284"/>
        <v>3.2962681636256215E-2</v>
      </c>
      <c r="AM290" t="str">
        <f t="shared" si="265"/>
        <v>1-0,0216737572032134i</v>
      </c>
      <c r="AN290">
        <f t="shared" si="285"/>
        <v>1.0002348482987902</v>
      </c>
      <c r="AO290">
        <f t="shared" si="286"/>
        <v>-2.1670364397626714E-2</v>
      </c>
      <c r="AP290" s="41" t="str">
        <f t="shared" si="287"/>
        <v>0,032653435039269-1,72069416697196i</v>
      </c>
      <c r="AQ290">
        <f t="shared" si="288"/>
        <v>4.7156374406541079</v>
      </c>
      <c r="AR290" s="43">
        <f t="shared" si="289"/>
        <v>-88.912834416576018</v>
      </c>
      <c r="AS290" t="str">
        <f t="shared" si="266"/>
        <v>-0,0000166666666666667</v>
      </c>
      <c r="AT290" t="str">
        <f t="shared" si="267"/>
        <v>0,0000330735491090963i</v>
      </c>
      <c r="AU290">
        <f t="shared" si="290"/>
        <v>3.30735491090963E-5</v>
      </c>
      <c r="AV290">
        <f t="shared" si="291"/>
        <v>1.5707963267948966</v>
      </c>
      <c r="AW290" t="str">
        <f t="shared" si="268"/>
        <v>1+0,0216981581795029i</v>
      </c>
      <c r="AX290">
        <f t="shared" si="292"/>
        <v>1.0002353773329469</v>
      </c>
      <c r="AY290">
        <f t="shared" si="293"/>
        <v>2.169475390399939E-2</v>
      </c>
      <c r="AZ290" t="str">
        <f t="shared" si="269"/>
        <v>1+7,25441755134714i</v>
      </c>
      <c r="BA290">
        <f t="shared" si="294"/>
        <v>7.3230167287323225</v>
      </c>
      <c r="BB290">
        <f t="shared" si="295"/>
        <v>1.4338125779031992</v>
      </c>
      <c r="BC290" s="41" t="str">
        <f t="shared" si="296"/>
        <v>-3,64305008748554+0,582974848491938i</v>
      </c>
      <c r="BD290">
        <f t="shared" si="297"/>
        <v>11.339115268636412</v>
      </c>
      <c r="BE290" s="43">
        <f t="shared" si="298"/>
        <v>170.90839149035173</v>
      </c>
      <c r="BF290" s="41" t="str">
        <f t="shared" si="299"/>
        <v>0,388868288889491+1,88309202002306i</v>
      </c>
      <c r="BG290" s="20">
        <f t="shared" si="300"/>
        <v>5.6787929944915767</v>
      </c>
      <c r="BH290" s="43">
        <f t="shared" si="301"/>
        <v>78.332135016408174</v>
      </c>
      <c r="BI290" s="41" t="str">
        <f t="shared" si="255"/>
        <v>0,884163321914928+6,28761116686782i</v>
      </c>
      <c r="BJ290" s="20">
        <f t="shared" si="302"/>
        <v>16.054752709290526</v>
      </c>
      <c r="BK290" s="43">
        <f t="shared" si="256"/>
        <v>81.995557073775728</v>
      </c>
      <c r="BL290">
        <f t="shared" si="303"/>
        <v>5.6787929944915767</v>
      </c>
      <c r="BM290" s="43">
        <f t="shared" si="304"/>
        <v>78.332135016408174</v>
      </c>
    </row>
    <row r="291" spans="14:65" x14ac:dyDescent="0.25">
      <c r="N291" s="9">
        <v>73</v>
      </c>
      <c r="O291" s="34">
        <f t="shared" si="305"/>
        <v>5370.3179637025269</v>
      </c>
      <c r="P291" s="33" t="str">
        <f t="shared" si="257"/>
        <v>66,7780509511648</v>
      </c>
      <c r="Q291" s="4" t="str">
        <f t="shared" si="258"/>
        <v>1+131,509143849545i</v>
      </c>
      <c r="R291" s="4">
        <f t="shared" si="270"/>
        <v>131.51294581158285</v>
      </c>
      <c r="S291" s="4">
        <f t="shared" si="271"/>
        <v>1.5631924393569627</v>
      </c>
      <c r="T291" s="4" t="str">
        <f t="shared" si="259"/>
        <v>1+0,0337427029244183i</v>
      </c>
      <c r="U291" s="4">
        <f t="shared" si="272"/>
        <v>1.0005691230497999</v>
      </c>
      <c r="V291" s="4">
        <f t="shared" si="273"/>
        <v>3.3729905522627217E-2</v>
      </c>
      <c r="W291" t="str">
        <f t="shared" si="260"/>
        <v>1-0,0734029277997138i</v>
      </c>
      <c r="X291" s="4">
        <f t="shared" si="274"/>
        <v>1.0026903758436947</v>
      </c>
      <c r="Y291" s="4">
        <f t="shared" si="275"/>
        <v>-7.3271520941142004E-2</v>
      </c>
      <c r="Z291" t="str">
        <f t="shared" si="261"/>
        <v>0,999971159684969+0,0144273706429172i</v>
      </c>
      <c r="AA291" s="4">
        <f t="shared" si="276"/>
        <v>1.0000752317827744</v>
      </c>
      <c r="AB291" s="4">
        <f t="shared" si="277"/>
        <v>1.4426785768862816E-2</v>
      </c>
      <c r="AC291" s="47" t="str">
        <f t="shared" si="278"/>
        <v>-0,0236089463419271-0,50883800725894i</v>
      </c>
      <c r="AD291" s="20">
        <f t="shared" si="279"/>
        <v>-5.8590699003413915</v>
      </c>
      <c r="AE291" s="43">
        <f t="shared" si="280"/>
        <v>-92.6564909570194</v>
      </c>
      <c r="AF291" t="str">
        <f t="shared" si="262"/>
        <v>223,849857273222</v>
      </c>
      <c r="AG291" t="str">
        <f t="shared" si="263"/>
        <v>1+133,198733983326i</v>
      </c>
      <c r="AH291">
        <f t="shared" si="281"/>
        <v>133.20248771986522</v>
      </c>
      <c r="AI291">
        <f t="shared" si="282"/>
        <v>1.5632888889776042</v>
      </c>
      <c r="AJ291" t="str">
        <f t="shared" si="264"/>
        <v>1+0,0337427029244183i</v>
      </c>
      <c r="AK291">
        <f t="shared" si="283"/>
        <v>1.0005691230497999</v>
      </c>
      <c r="AL291">
        <f t="shared" si="284"/>
        <v>3.3729905522627217E-2</v>
      </c>
      <c r="AM291" t="str">
        <f t="shared" si="265"/>
        <v>1-0,0221786038624427i</v>
      </c>
      <c r="AN291">
        <f t="shared" si="285"/>
        <v>1.0002459149975507</v>
      </c>
      <c r="AO291">
        <f t="shared" si="286"/>
        <v>-2.2174968454028703E-2</v>
      </c>
      <c r="AP291" s="41" t="str">
        <f t="shared" si="287"/>
        <v>0,0320589336770404-1,68158745412055i</v>
      </c>
      <c r="AQ291">
        <f t="shared" si="288"/>
        <v>4.5159673802048195</v>
      </c>
      <c r="AR291" s="43">
        <f t="shared" si="289"/>
        <v>-88.907806371542279</v>
      </c>
      <c r="AS291" t="str">
        <f t="shared" si="266"/>
        <v>-0,0000166666666666667</v>
      </c>
      <c r="AT291" t="str">
        <f t="shared" si="267"/>
        <v>0,0000338439310331916i</v>
      </c>
      <c r="AU291">
        <f t="shared" si="290"/>
        <v>3.3843931033191597E-5</v>
      </c>
      <c r="AV291">
        <f t="shared" si="291"/>
        <v>1.5707963267948966</v>
      </c>
      <c r="AW291" t="str">
        <f t="shared" si="268"/>
        <v>1+0,0222035732104846i</v>
      </c>
      <c r="AX291">
        <f t="shared" si="292"/>
        <v>1.0002464689581829</v>
      </c>
      <c r="AY291">
        <f t="shared" si="293"/>
        <v>2.2199925512105562E-2</v>
      </c>
      <c r="AZ291" t="str">
        <f t="shared" si="269"/>
        <v>1+7,42339464337202i</v>
      </c>
      <c r="BA291">
        <f t="shared" si="294"/>
        <v>7.4904464507293831</v>
      </c>
      <c r="BB291">
        <f t="shared" si="295"/>
        <v>1.436893145826776</v>
      </c>
      <c r="BC291" s="41" t="str">
        <f t="shared" si="296"/>
        <v>-3,64296929315432+0,573343519431566i</v>
      </c>
      <c r="BD291">
        <f t="shared" si="297"/>
        <v>11.335372498136509</v>
      </c>
      <c r="BE291" s="43">
        <f t="shared" si="298"/>
        <v>171.05595082980173</v>
      </c>
      <c r="BF291" s="41" t="str">
        <f t="shared" si="299"/>
        <v>0,377745640469754+1,8401451992484i</v>
      </c>
      <c r="BG291" s="20">
        <f t="shared" si="300"/>
        <v>5.4763025977951081</v>
      </c>
      <c r="BH291" s="43">
        <f t="shared" si="301"/>
        <v>78.399459872782316</v>
      </c>
      <c r="BI291" s="41" t="str">
        <f t="shared" si="255"/>
        <v>0,847337558220714+6,14435224097833i</v>
      </c>
      <c r="BJ291" s="20">
        <f t="shared" si="302"/>
        <v>15.851339878341332</v>
      </c>
      <c r="BK291" s="43">
        <f t="shared" si="256"/>
        <v>82.148144458259466</v>
      </c>
      <c r="BL291">
        <f t="shared" si="303"/>
        <v>5.4763025977951081</v>
      </c>
      <c r="BM291" s="43">
        <f t="shared" si="304"/>
        <v>78.399459872782316</v>
      </c>
    </row>
    <row r="292" spans="14:65" x14ac:dyDescent="0.25">
      <c r="N292" s="9">
        <v>74</v>
      </c>
      <c r="O292" s="34">
        <f t="shared" si="305"/>
        <v>5495.4087385762541</v>
      </c>
      <c r="P292" s="33" t="str">
        <f t="shared" si="257"/>
        <v>66,7780509511648</v>
      </c>
      <c r="Q292" s="4" t="str">
        <f t="shared" si="258"/>
        <v>1+134,572385322082i</v>
      </c>
      <c r="R292" s="4">
        <f t="shared" si="270"/>
        <v>134.57610074331518</v>
      </c>
      <c r="S292" s="4">
        <f t="shared" si="271"/>
        <v>1.5633655185209576</v>
      </c>
      <c r="T292" s="4" t="str">
        <f t="shared" si="259"/>
        <v>1+0,0345286714431686i</v>
      </c>
      <c r="U292" s="4">
        <f t="shared" si="272"/>
        <v>1.0005959370053579</v>
      </c>
      <c r="V292" s="4">
        <f t="shared" si="273"/>
        <v>3.4514959221145537E-2</v>
      </c>
      <c r="W292" t="str">
        <f t="shared" si="260"/>
        <v>1-0,0751127016303374i</v>
      </c>
      <c r="X292" s="4">
        <f t="shared" si="274"/>
        <v>1.0028169912532436</v>
      </c>
      <c r="Y292" s="4">
        <f t="shared" si="275"/>
        <v>-7.4971917997979046E-2</v>
      </c>
      <c r="Z292" t="str">
        <f t="shared" si="261"/>
        <v>0,999969800482796+0,0147634272759342i</v>
      </c>
      <c r="AA292" s="4">
        <f t="shared" si="276"/>
        <v>1.0000787772283415</v>
      </c>
      <c r="AB292" s="4">
        <f t="shared" si="277"/>
        <v>1.4762800574638796E-2</v>
      </c>
      <c r="AC292" s="47" t="str">
        <f t="shared" si="278"/>
        <v>-0,0237834134690709-0,497297069389676i</v>
      </c>
      <c r="AD292" s="20">
        <f t="shared" si="279"/>
        <v>-6.0577598770827272</v>
      </c>
      <c r="AE292" s="43">
        <f t="shared" si="280"/>
        <v>-92.73810520409981</v>
      </c>
      <c r="AF292" t="str">
        <f t="shared" si="262"/>
        <v>223,849857273222</v>
      </c>
      <c r="AG292" t="str">
        <f t="shared" si="263"/>
        <v>1+136,301331065806i</v>
      </c>
      <c r="AH292">
        <f t="shared" si="281"/>
        <v>136.30499935919613</v>
      </c>
      <c r="AI292">
        <f t="shared" si="282"/>
        <v>1.56345977292237</v>
      </c>
      <c r="AJ292" t="str">
        <f t="shared" si="264"/>
        <v>1+0,0345286714431686i</v>
      </c>
      <c r="AK292">
        <f t="shared" si="283"/>
        <v>1.0005959370053579</v>
      </c>
      <c r="AL292">
        <f t="shared" si="284"/>
        <v>3.4514959221145537E-2</v>
      </c>
      <c r="AM292" t="str">
        <f t="shared" si="265"/>
        <v>1-0,0226952099110085i</v>
      </c>
      <c r="AN292">
        <f t="shared" si="285"/>
        <v>1.0002575031225234</v>
      </c>
      <c r="AO292">
        <f t="shared" si="286"/>
        <v>-2.2691314554869748E-2</v>
      </c>
      <c r="AP292" s="41" t="str">
        <f t="shared" si="287"/>
        <v>0,0314911863355221-1,64337193935078i</v>
      </c>
      <c r="AQ292">
        <f t="shared" si="288"/>
        <v>4.3163117920307563</v>
      </c>
      <c r="AR292" s="43">
        <f t="shared" si="289"/>
        <v>-88.902201489093898</v>
      </c>
      <c r="AS292" t="str">
        <f t="shared" si="266"/>
        <v>-0,0000166666666666667</v>
      </c>
      <c r="AT292" t="str">
        <f t="shared" si="267"/>
        <v>0,0000346322574574981i</v>
      </c>
      <c r="AU292">
        <f t="shared" si="290"/>
        <v>3.46322574574981E-5</v>
      </c>
      <c r="AV292">
        <f t="shared" si="291"/>
        <v>1.5707963267948966</v>
      </c>
      <c r="AW292" t="str">
        <f t="shared" si="268"/>
        <v>1+0,0227207608698816i</v>
      </c>
      <c r="AX292">
        <f t="shared" si="292"/>
        <v>1.0002580831837882</v>
      </c>
      <c r="AY292">
        <f t="shared" si="293"/>
        <v>2.2716852345113513E-2</v>
      </c>
      <c r="AZ292" t="str">
        <f t="shared" si="269"/>
        <v>1+7,59630771749708i</v>
      </c>
      <c r="BA292">
        <f t="shared" si="294"/>
        <v>7.6618464444874972</v>
      </c>
      <c r="BB292">
        <f t="shared" si="295"/>
        <v>1.4399060640322416</v>
      </c>
      <c r="BC292" s="41" t="str">
        <f t="shared" si="296"/>
        <v>-3,64288469494449+0,564016015646778i</v>
      </c>
      <c r="BD292">
        <f t="shared" si="297"/>
        <v>11.33178644765405</v>
      </c>
      <c r="BE292" s="43">
        <f t="shared" si="298"/>
        <v>171.19896060114465</v>
      </c>
      <c r="BF292" s="41" t="str">
        <f t="shared" si="299"/>
        <v>0,367123744589999+1,79818165681709i</v>
      </c>
      <c r="BG292" s="20">
        <f t="shared" si="300"/>
        <v>5.2740265705713076</v>
      </c>
      <c r="BH292" s="43">
        <f t="shared" si="301"/>
        <v>78.460855397044824</v>
      </c>
      <c r="BI292" s="41" t="str">
        <f t="shared" si="255"/>
        <v>0,812169332731027+6,00437601940715i</v>
      </c>
      <c r="BJ292" s="20">
        <f t="shared" si="302"/>
        <v>15.648098239684805</v>
      </c>
      <c r="BK292" s="43">
        <f t="shared" si="256"/>
        <v>82.296759112050751</v>
      </c>
      <c r="BL292">
        <f t="shared" si="303"/>
        <v>5.2740265705713076</v>
      </c>
      <c r="BM292" s="43">
        <f t="shared" si="304"/>
        <v>78.460855397044824</v>
      </c>
    </row>
    <row r="293" spans="14:65" x14ac:dyDescent="0.25">
      <c r="N293" s="9">
        <v>75</v>
      </c>
      <c r="O293" s="34">
        <f t="shared" si="305"/>
        <v>5623.4132519034993</v>
      </c>
      <c r="P293" s="33" t="str">
        <f t="shared" si="257"/>
        <v>66,7780509511648</v>
      </c>
      <c r="Q293" s="4" t="str">
        <f t="shared" si="258"/>
        <v>1+137,706978854591i</v>
      </c>
      <c r="R293" s="4">
        <f t="shared" si="270"/>
        <v>137.71060970476736</v>
      </c>
      <c r="S293" s="4">
        <f t="shared" si="271"/>
        <v>1.5635346583523848</v>
      </c>
      <c r="T293" s="4" t="str">
        <f t="shared" si="259"/>
        <v>1+0,035332947520559i</v>
      </c>
      <c r="U293" s="4">
        <f t="shared" si="272"/>
        <v>1.0006240138935756</v>
      </c>
      <c r="V293" s="4">
        <f t="shared" si="273"/>
        <v>3.5318255104774363E-2</v>
      </c>
      <c r="W293" t="str">
        <f t="shared" si="260"/>
        <v>1-0,0768623012095994i</v>
      </c>
      <c r="X293" s="4">
        <f t="shared" si="274"/>
        <v>1.0029495567311624</v>
      </c>
      <c r="Y293" s="4">
        <f t="shared" si="275"/>
        <v>-7.6711472779772735E-2</v>
      </c>
      <c r="Z293" t="str">
        <f t="shared" si="261"/>
        <v>0,999968377223398+0,01510731167351i</v>
      </c>
      <c r="AA293" s="4">
        <f t="shared" si="276"/>
        <v>1.0000824897541187</v>
      </c>
      <c r="AB293" s="4">
        <f t="shared" si="277"/>
        <v>1.5106640153828873E-2</v>
      </c>
      <c r="AC293" s="47" t="str">
        <f t="shared" si="278"/>
        <v>-0,0239500874276784-0,48601968794157i</v>
      </c>
      <c r="AD293" s="20">
        <f t="shared" si="279"/>
        <v>-6.2563894654983194</v>
      </c>
      <c r="AE293" s="43">
        <f t="shared" si="280"/>
        <v>-92.821140442701719</v>
      </c>
      <c r="AF293" t="str">
        <f t="shared" si="262"/>
        <v>223,849857273222</v>
      </c>
      <c r="AG293" t="str">
        <f t="shared" si="263"/>
        <v>1+139,476196918179i</v>
      </c>
      <c r="AH293">
        <f t="shared" si="281"/>
        <v>139.47978171318826</v>
      </c>
      <c r="AI293">
        <f t="shared" si="282"/>
        <v>1.5636267674876956</v>
      </c>
      <c r="AJ293" t="str">
        <f t="shared" si="264"/>
        <v>1+0,035332947520559i</v>
      </c>
      <c r="AK293">
        <f t="shared" si="283"/>
        <v>1.0006240138935756</v>
      </c>
      <c r="AL293">
        <f t="shared" si="284"/>
        <v>3.5318255104774363E-2</v>
      </c>
      <c r="AM293" t="str">
        <f t="shared" si="265"/>
        <v>1-0,0232238492602757i</v>
      </c>
      <c r="AN293">
        <f t="shared" si="285"/>
        <v>1.0002696372351128</v>
      </c>
      <c r="AO293">
        <f t="shared" si="286"/>
        <v>-2.3219675371737893E-2</v>
      </c>
      <c r="AP293" s="41" t="str">
        <f t="shared" si="287"/>
        <v>0,0309489891448183-1,60602738710942i</v>
      </c>
      <c r="AQ293">
        <f t="shared" si="288"/>
        <v>4.1166714046251798</v>
      </c>
      <c r="AR293" s="43">
        <f t="shared" si="289"/>
        <v>-88.896016953923152</v>
      </c>
      <c r="AS293" t="str">
        <f t="shared" si="266"/>
        <v>-0,0000166666666666667</v>
      </c>
      <c r="AT293" t="str">
        <f t="shared" si="267"/>
        <v>0,0000354389463631207i</v>
      </c>
      <c r="AU293">
        <f t="shared" si="290"/>
        <v>3.5438946363120703E-5</v>
      </c>
      <c r="AV293">
        <f t="shared" si="291"/>
        <v>1.5707963267948966</v>
      </c>
      <c r="AW293" t="str">
        <f t="shared" si="268"/>
        <v>1+0,0232499953774366i</v>
      </c>
      <c r="AX293">
        <f t="shared" si="292"/>
        <v>1.0002702446264462</v>
      </c>
      <c r="AY293">
        <f t="shared" si="293"/>
        <v>2.3245807378800956E-2</v>
      </c>
      <c r="AZ293" t="str">
        <f t="shared" si="269"/>
        <v>1+7,77324845452297i</v>
      </c>
      <c r="BA293">
        <f t="shared" si="294"/>
        <v>7.837307671371831</v>
      </c>
      <c r="BB293">
        <f t="shared" si="295"/>
        <v>1.4428527110905813</v>
      </c>
      <c r="BC293" s="41" t="str">
        <f t="shared" si="296"/>
        <v>-3,64279611395501+0,554987379494071i</v>
      </c>
      <c r="BD293">
        <f t="shared" si="297"/>
        <v>11.3283498933157</v>
      </c>
      <c r="BE293" s="43">
        <f t="shared" si="298"/>
        <v>171.33748415031965</v>
      </c>
      <c r="BF293" s="41" t="str">
        <f t="shared" si="299"/>
        <v>0,356980078403648+1,75717863427904i</v>
      </c>
      <c r="BG293" s="20">
        <f t="shared" si="300"/>
        <v>5.0719604278173946</v>
      </c>
      <c r="BH293" s="43">
        <f t="shared" si="301"/>
        <v>78.516343707617949</v>
      </c>
      <c r="BI293" s="41" t="str">
        <f t="shared" si="255"/>
        <v>0,778584073579987+5,86760662305099i</v>
      </c>
      <c r="BJ293" s="20">
        <f t="shared" si="302"/>
        <v>15.445021297940881</v>
      </c>
      <c r="BK293" s="43">
        <f t="shared" si="256"/>
        <v>82.44146719639653</v>
      </c>
      <c r="BL293">
        <f t="shared" si="303"/>
        <v>5.0719604278173946</v>
      </c>
      <c r="BM293" s="43">
        <f t="shared" si="304"/>
        <v>78.516343707617949</v>
      </c>
    </row>
    <row r="294" spans="14:65" x14ac:dyDescent="0.25">
      <c r="N294" s="9">
        <v>76</v>
      </c>
      <c r="O294" s="34">
        <f t="shared" si="305"/>
        <v>5754.399373371567</v>
      </c>
      <c r="P294" s="33" t="str">
        <f t="shared" si="257"/>
        <v>66,7780509511648</v>
      </c>
      <c r="Q294" s="4" t="str">
        <f t="shared" si="258"/>
        <v>1+140,914586450057i</v>
      </c>
      <c r="R294" s="4">
        <f t="shared" si="270"/>
        <v>140.91813465409831</v>
      </c>
      <c r="S294" s="4">
        <f t="shared" si="271"/>
        <v>1.5636999484926897</v>
      </c>
      <c r="T294" s="4" t="str">
        <f t="shared" si="259"/>
        <v>1+0,0361559575944116i</v>
      </c>
      <c r="U294" s="4">
        <f t="shared" si="272"/>
        <v>1.0006534131604052</v>
      </c>
      <c r="V294" s="4">
        <f t="shared" si="273"/>
        <v>3.6140214942421478E-2</v>
      </c>
      <c r="W294" t="str">
        <f t="shared" si="260"/>
        <v>1-0,0786526541983555i</v>
      </c>
      <c r="X294" s="4">
        <f t="shared" si="274"/>
        <v>1.0030883510501187</v>
      </c>
      <c r="Y294" s="4">
        <f t="shared" si="275"/>
        <v>-7.8491065486088876E-2</v>
      </c>
      <c r="Z294" t="str">
        <f t="shared" si="261"/>
        <v>0,999966886887852+0,015459206167704i</v>
      </c>
      <c r="AA294" s="4">
        <f t="shared" si="276"/>
        <v>1.0000863772332458</v>
      </c>
      <c r="AB294" s="4">
        <f t="shared" si="277"/>
        <v>1.5458486624605717E-2</v>
      </c>
      <c r="AC294" s="47" t="str">
        <f t="shared" si="278"/>
        <v>-0,024109321640077-0,474999891204762i</v>
      </c>
      <c r="AD294" s="20">
        <f t="shared" si="279"/>
        <v>-6.4549558024422469</v>
      </c>
      <c r="AE294" s="43">
        <f t="shared" si="280"/>
        <v>-92.905638509646138</v>
      </c>
      <c r="AF294" t="str">
        <f t="shared" si="262"/>
        <v>223,849857273222</v>
      </c>
      <c r="AG294" t="str">
        <f t="shared" si="263"/>
        <v>1+142,725014896342i</v>
      </c>
      <c r="AH294">
        <f t="shared" si="281"/>
        <v>142.72851809348069</v>
      </c>
      <c r="AI294">
        <f t="shared" si="282"/>
        <v>1.5637899611790327</v>
      </c>
      <c r="AJ294" t="str">
        <f t="shared" si="264"/>
        <v>1+0,0361559575944116i</v>
      </c>
      <c r="AK294">
        <f t="shared" si="283"/>
        <v>1.0006534131604052</v>
      </c>
      <c r="AL294">
        <f t="shared" si="284"/>
        <v>3.6140214942421478E-2</v>
      </c>
      <c r="AM294" t="str">
        <f t="shared" si="265"/>
        <v>1-0,0237648022018247i</v>
      </c>
      <c r="AN294">
        <f t="shared" si="285"/>
        <v>1.0002823430530461</v>
      </c>
      <c r="AO294">
        <f t="shared" si="286"/>
        <v>-2.3760329867856277E-2</v>
      </c>
      <c r="AP294" s="41" t="str">
        <f t="shared" si="287"/>
        <v>0,0304311923952839-1,56953402184945i</v>
      </c>
      <c r="AQ294">
        <f t="shared" si="288"/>
        <v>3.9170469785277535</v>
      </c>
      <c r="AR294" s="43">
        <f t="shared" si="289"/>
        <v>-88.889249654855831</v>
      </c>
      <c r="AS294" t="str">
        <f t="shared" si="266"/>
        <v>-0,0000166666666666667</v>
      </c>
      <c r="AT294" t="str">
        <f t="shared" si="267"/>
        <v>0,0000362644254671949i</v>
      </c>
      <c r="AU294">
        <f t="shared" si="290"/>
        <v>3.62644254671949E-5</v>
      </c>
      <c r="AV294">
        <f t="shared" si="291"/>
        <v>1.5707963267948966</v>
      </c>
      <c r="AW294" t="str">
        <f t="shared" si="268"/>
        <v>1+0,0237915573402908i</v>
      </c>
      <c r="AX294">
        <f t="shared" si="292"/>
        <v>1.0002829790617633</v>
      </c>
      <c r="AY294">
        <f t="shared" si="293"/>
        <v>2.3787069887464676E-2</v>
      </c>
      <c r="AZ294" t="str">
        <f t="shared" si="269"/>
        <v>1+7,95431067077054i</v>
      </c>
      <c r="BA294">
        <f t="shared" si="294"/>
        <v>8.0169232406911615</v>
      </c>
      <c r="BB294">
        <f t="shared" si="295"/>
        <v>1.4457344445648737</v>
      </c>
      <c r="BC294" s="41" t="str">
        <f t="shared" si="296"/>
        <v>-3,64270336288921+0,546252810931278i</v>
      </c>
      <c r="BD294">
        <f t="shared" si="297"/>
        <v>11.325055895472879</v>
      </c>
      <c r="BE294" s="43">
        <f t="shared" si="298"/>
        <v>171.47158325872309</v>
      </c>
      <c r="BF294" s="41" t="str">
        <f t="shared" si="299"/>
        <v>0,347293132777938+1,71711391634806i</v>
      </c>
      <c r="BG294" s="20">
        <f t="shared" si="300"/>
        <v>4.8701000930306488</v>
      </c>
      <c r="BH294" s="43">
        <f t="shared" si="301"/>
        <v>78.565944749076962</v>
      </c>
      <c r="BI294" s="41" t="str">
        <f t="shared" si="255"/>
        <v>0,746510564412507+5,73396998394593i</v>
      </c>
      <c r="BJ294" s="20">
        <f t="shared" si="302"/>
        <v>15.242102874000629</v>
      </c>
      <c r="BK294" s="43">
        <f t="shared" si="256"/>
        <v>82.582333603867241</v>
      </c>
      <c r="BL294">
        <f t="shared" si="303"/>
        <v>4.8701000930306488</v>
      </c>
      <c r="BM294" s="43">
        <f t="shared" si="304"/>
        <v>78.565944749076962</v>
      </c>
    </row>
    <row r="295" spans="14:65" x14ac:dyDescent="0.25">
      <c r="N295" s="9">
        <v>77</v>
      </c>
      <c r="O295" s="34">
        <f t="shared" si="305"/>
        <v>5888.4365535558973</v>
      </c>
      <c r="P295" s="33" t="str">
        <f t="shared" si="257"/>
        <v>66,7780509511648</v>
      </c>
      <c r="Q295" s="4" t="str">
        <f t="shared" si="258"/>
        <v>1+144,196908824484i</v>
      </c>
      <c r="R295" s="4">
        <f t="shared" si="270"/>
        <v>144.20037626350546</v>
      </c>
      <c r="S295" s="4">
        <f t="shared" si="271"/>
        <v>1.5638614765447447</v>
      </c>
      <c r="T295" s="4" t="str">
        <f t="shared" si="259"/>
        <v>1+0,0369981380355616i</v>
      </c>
      <c r="U295" s="4">
        <f t="shared" si="272"/>
        <v>1.0006841970462501</v>
      </c>
      <c r="V295" s="4">
        <f t="shared" si="273"/>
        <v>3.6981270102888937E-2</v>
      </c>
      <c r="W295" t="str">
        <f t="shared" si="260"/>
        <v>1-0,0804847098654588i</v>
      </c>
      <c r="X295" s="4">
        <f t="shared" si="274"/>
        <v>1.0032336659632826</v>
      </c>
      <c r="Y295" s="4">
        <f t="shared" si="275"/>
        <v>-8.0311594568296549E-2</v>
      </c>
      <c r="Z295" t="str">
        <f t="shared" si="261"/>
        <v>0,999965326314955+0,015819297337635i</v>
      </c>
      <c r="AA295" s="4">
        <f t="shared" si="276"/>
        <v>1.0000904479098032</v>
      </c>
      <c r="AB295" s="4">
        <f t="shared" si="277"/>
        <v>1.5818526336909031E-2</v>
      </c>
      <c r="AC295" s="47" t="str">
        <f t="shared" si="278"/>
        <v>-0,0242614537578012-0,464231843522316i</v>
      </c>
      <c r="AD295" s="20">
        <f t="shared" si="279"/>
        <v>-6.653455894783975</v>
      </c>
      <c r="AE295" s="43">
        <f t="shared" si="280"/>
        <v>-92.99164186313277</v>
      </c>
      <c r="AF295" t="str">
        <f t="shared" si="262"/>
        <v>223,849857273222</v>
      </c>
      <c r="AG295" t="str">
        <f t="shared" si="263"/>
        <v>1+146,049507566594i</v>
      </c>
      <c r="AH295">
        <f t="shared" si="281"/>
        <v>146.05293102312118</v>
      </c>
      <c r="AI295">
        <f t="shared" si="282"/>
        <v>1.563949440489047</v>
      </c>
      <c r="AJ295" t="str">
        <f t="shared" si="264"/>
        <v>1+0,0369981380355616i</v>
      </c>
      <c r="AK295">
        <f t="shared" si="283"/>
        <v>1.0006841970462501</v>
      </c>
      <c r="AL295">
        <f t="shared" si="284"/>
        <v>3.6981270102888937E-2</v>
      </c>
      <c r="AM295" t="str">
        <f t="shared" si="265"/>
        <v>1-0,0243183555560655i</v>
      </c>
      <c r="AN295">
        <f t="shared" si="285"/>
        <v>1.000295647504752</v>
      </c>
      <c r="AO295">
        <f t="shared" si="286"/>
        <v>-2.431356344037271E-2</v>
      </c>
      <c r="AP295" s="41" t="str">
        <f t="shared" si="287"/>
        <v>0,0299366981019171-1,53387251766408i</v>
      </c>
      <c r="AQ295">
        <f t="shared" si="288"/>
        <v>3.7174393079179682</v>
      </c>
      <c r="AR295" s="43">
        <f t="shared" si="289"/>
        <v>-88.881896183996972</v>
      </c>
      <c r="AS295" t="str">
        <f t="shared" si="266"/>
        <v>-0,0000166666666666667</v>
      </c>
      <c r="AT295" t="str">
        <f t="shared" si="267"/>
        <v>0,0000371091324496683i</v>
      </c>
      <c r="AU295">
        <f t="shared" si="290"/>
        <v>3.7109132449668298E-5</v>
      </c>
      <c r="AV295">
        <f t="shared" si="291"/>
        <v>1.5707963267948966</v>
      </c>
      <c r="AW295" t="str">
        <f t="shared" si="268"/>
        <v>1+0,0243457339017654i</v>
      </c>
      <c r="AX295">
        <f t="shared" si="292"/>
        <v>1.000296313478769</v>
      </c>
      <c r="AY295">
        <f t="shared" si="293"/>
        <v>2.434092558635614E-2</v>
      </c>
      <c r="AZ295" t="str">
        <f t="shared" si="269"/>
        <v>1+8,13959036782354i</v>
      </c>
      <c r="BA295">
        <f t="shared" si="294"/>
        <v>8.2007884594083862</v>
      </c>
      <c r="BB295">
        <f t="shared" si="295"/>
        <v>1.4485526008380616</v>
      </c>
      <c r="BC295" s="41" t="str">
        <f t="shared" si="296"/>
        <v>-3,64260624566252+0,537807664911043i</v>
      </c>
      <c r="BD295">
        <f t="shared" si="297"/>
        <v>11.321897786787964</v>
      </c>
      <c r="BE295" s="43">
        <f t="shared" si="298"/>
        <v>171.60131812517929</v>
      </c>
      <c r="BF295" s="41" t="str">
        <f t="shared" si="299"/>
        <v>0,338042366729105+1,67796581685698i</v>
      </c>
      <c r="BG295" s="20">
        <f t="shared" si="300"/>
        <v>4.6684418920039734</v>
      </c>
      <c r="BH295" s="43">
        <f t="shared" si="301"/>
        <v>78.609676262046477</v>
      </c>
      <c r="BI295" s="41" t="str">
        <f t="shared" si="255"/>
        <v>0,715880793515585+5,60339379859461i</v>
      </c>
      <c r="BJ295" s="20">
        <f t="shared" si="302"/>
        <v>15.039337094705932</v>
      </c>
      <c r="BK295" s="43">
        <f t="shared" si="256"/>
        <v>82.719421941182333</v>
      </c>
      <c r="BL295">
        <f t="shared" si="303"/>
        <v>4.6684418920039734</v>
      </c>
      <c r="BM295" s="43">
        <f t="shared" si="304"/>
        <v>78.609676262046477</v>
      </c>
    </row>
    <row r="296" spans="14:65" x14ac:dyDescent="0.25">
      <c r="N296" s="9">
        <v>78</v>
      </c>
      <c r="O296" s="34">
        <f t="shared" si="305"/>
        <v>6025.595860743585</v>
      </c>
      <c r="P296" s="33" t="str">
        <f t="shared" si="257"/>
        <v>66,7780509511648</v>
      </c>
      <c r="Q296" s="4" t="str">
        <f t="shared" si="258"/>
        <v>1+147,555686308642i</v>
      </c>
      <c r="R296" s="4">
        <f t="shared" si="270"/>
        <v>147.55907482094878</v>
      </c>
      <c r="S296" s="4">
        <f t="shared" si="271"/>
        <v>1.5640193281191259</v>
      </c>
      <c r="T296" s="4" t="str">
        <f t="shared" si="259"/>
        <v>1+0,0378599353792262i</v>
      </c>
      <c r="U296" s="4">
        <f t="shared" si="272"/>
        <v>1.0007164307169736</v>
      </c>
      <c r="V296" s="4">
        <f t="shared" si="273"/>
        <v>3.784186176251475E-2</v>
      </c>
      <c r="W296" t="str">
        <f t="shared" si="260"/>
        <v>1-0,0823594395910736i</v>
      </c>
      <c r="X296" s="4">
        <f t="shared" si="274"/>
        <v>1.0033858068010308</v>
      </c>
      <c r="Y296" s="4">
        <f t="shared" si="275"/>
        <v>-8.2173976997464218E-2</v>
      </c>
      <c r="Z296" t="str">
        <f t="shared" si="261"/>
        <v>0,999963692194523+0,0161877761084075i</v>
      </c>
      <c r="AA296" s="4">
        <f t="shared" si="276"/>
        <v>1.0000947104162878</v>
      </c>
      <c r="AB296" s="4">
        <f t="shared" si="277"/>
        <v>1.6186949970278659E-2</v>
      </c>
      <c r="AC296" s="47" t="str">
        <f t="shared" si="278"/>
        <v>-0,024406806376902-0,453709842230382i</v>
      </c>
      <c r="AD296" s="20">
        <f t="shared" si="279"/>
        <v>-6.8518866134575873</v>
      </c>
      <c r="AE296" s="43">
        <f t="shared" si="280"/>
        <v>-93.079193594449194</v>
      </c>
      <c r="AF296" t="str">
        <f t="shared" si="262"/>
        <v>223,849857273222</v>
      </c>
      <c r="AG296" t="str">
        <f t="shared" si="263"/>
        <v>1+149,45143761895i</v>
      </c>
      <c r="AH296">
        <f t="shared" si="281"/>
        <v>149.45478314985741</v>
      </c>
      <c r="AI296">
        <f t="shared" si="282"/>
        <v>1.5641052899433117</v>
      </c>
      <c r="AJ296" t="str">
        <f t="shared" si="264"/>
        <v>1+0,0378599353792262i</v>
      </c>
      <c r="AK296">
        <f t="shared" si="283"/>
        <v>1.0007164307169736</v>
      </c>
      <c r="AL296">
        <f t="shared" si="284"/>
        <v>3.784186176251475E-2</v>
      </c>
      <c r="AM296" t="str">
        <f t="shared" si="265"/>
        <v>1-0,0248848028243136i</v>
      </c>
      <c r="AN296">
        <f t="shared" si="285"/>
        <v>1.0003095787862901</v>
      </c>
      <c r="AO296">
        <f t="shared" si="286"/>
        <v>-2.487966806566002E-2</v>
      </c>
      <c r="AP296" s="41" t="str">
        <f t="shared" si="287"/>
        <v>0,0294644576782009-1,49902398815152i</v>
      </c>
      <c r="AQ296">
        <f t="shared" si="288"/>
        <v>3.5178492222797937</v>
      </c>
      <c r="AR296" s="43">
        <f t="shared" si="289"/>
        <v>-88.873952835776834</v>
      </c>
      <c r="AS296" t="str">
        <f t="shared" si="266"/>
        <v>-0,0000166666666666667</v>
      </c>
      <c r="AT296" t="str">
        <f t="shared" si="267"/>
        <v>0,0000379735151853639i</v>
      </c>
      <c r="AU296">
        <f t="shared" si="290"/>
        <v>3.7973515185363903E-5</v>
      </c>
      <c r="AV296">
        <f t="shared" si="291"/>
        <v>1.5707963267948966</v>
      </c>
      <c r="AW296" t="str">
        <f t="shared" si="268"/>
        <v>1+0,0249128188936085i</v>
      </c>
      <c r="AX296">
        <f t="shared" si="292"/>
        <v>1.0003102761369722</v>
      </c>
      <c r="AY296">
        <f t="shared" si="293"/>
        <v>2.4907666777130015E-2</v>
      </c>
      <c r="AZ296" t="str">
        <f t="shared" si="269"/>
        <v>1+8,32918578342976i</v>
      </c>
      <c r="BA296">
        <f t="shared" si="294"/>
        <v>8.3890008829948517</v>
      </c>
      <c r="BB296">
        <f t="shared" si="295"/>
        <v>1.4513084949836674</v>
      </c>
      <c r="BC296" s="41" t="str">
        <f t="shared" si="296"/>
        <v>-3,64250455699207+0,529647448852106i</v>
      </c>
      <c r="BD296">
        <f t="shared" si="297"/>
        <v>11.318869160663365</v>
      </c>
      <c r="BE296" s="43">
        <f t="shared" si="298"/>
        <v>171.72674735019979</v>
      </c>
      <c r="BF296" s="41" t="str">
        <f t="shared" si="299"/>
        <v>0,329208163905902+1,63971316514417i</v>
      </c>
      <c r="BG296" s="20">
        <f t="shared" si="300"/>
        <v>4.4669825472057987</v>
      </c>
      <c r="BH296" s="43">
        <f t="shared" si="301"/>
        <v>78.647553755750636</v>
      </c>
      <c r="BI296" s="41" t="str">
        <f t="shared" si="255"/>
        <v>0,686629809730415+5,47580748272341i</v>
      </c>
      <c r="BJ296" s="20">
        <f t="shared" si="302"/>
        <v>14.836718382943161</v>
      </c>
      <c r="BK296" s="43">
        <f t="shared" si="256"/>
        <v>82.852794514422982</v>
      </c>
      <c r="BL296">
        <f t="shared" si="303"/>
        <v>4.4669825472057987</v>
      </c>
      <c r="BM296" s="43">
        <f t="shared" si="304"/>
        <v>78.647553755750636</v>
      </c>
    </row>
    <row r="297" spans="14:65" x14ac:dyDescent="0.25">
      <c r="N297" s="9">
        <v>79</v>
      </c>
      <c r="O297" s="34">
        <f t="shared" si="305"/>
        <v>6165.9500186148289</v>
      </c>
      <c r="P297" s="33" t="str">
        <f t="shared" si="257"/>
        <v>66,7780509511648</v>
      </c>
      <c r="Q297" s="4" t="str">
        <f t="shared" si="258"/>
        <v>1+150,99269977081i</v>
      </c>
      <c r="R297" s="4">
        <f t="shared" si="270"/>
        <v>150.99601115287106</v>
      </c>
      <c r="S297" s="4">
        <f t="shared" si="271"/>
        <v>1.5641735868793436</v>
      </c>
      <c r="T297" s="4" t="str">
        <f t="shared" si="259"/>
        <v>1+0,0387418065617644i</v>
      </c>
      <c r="U297" s="4">
        <f t="shared" si="272"/>
        <v>1.0007501824010172</v>
      </c>
      <c r="V297" s="4">
        <f t="shared" si="273"/>
        <v>3.8722441116520394E-2</v>
      </c>
      <c r="W297" t="str">
        <f t="shared" si="260"/>
        <v>1-0,0842778373817158i</v>
      </c>
      <c r="X297" s="4">
        <f t="shared" si="274"/>
        <v>1.0035450930943457</v>
      </c>
      <c r="Y297" s="4">
        <f t="shared" si="275"/>
        <v>-8.4079148527700751E-2</v>
      </c>
      <c r="Z297" t="str">
        <f t="shared" si="261"/>
        <v>0,999961981060368+0,0165648378523432i</v>
      </c>
      <c r="AA297" s="4">
        <f t="shared" si="276"/>
        <v>1.0000991737919045</v>
      </c>
      <c r="AB297" s="4">
        <f t="shared" si="277"/>
        <v>1.6563952633914827E-2</v>
      </c>
      <c r="AC297" s="47" t="str">
        <f t="shared" si="278"/>
        <v>-0,0245456877213952-0,443428314666499i</v>
      </c>
      <c r="AD297" s="20">
        <f t="shared" si="279"/>
        <v>-7.050244687261273</v>
      </c>
      <c r="AE297" s="43">
        <f t="shared" si="280"/>
        <v>-93.168337439274296</v>
      </c>
      <c r="AF297" t="str">
        <f t="shared" si="262"/>
        <v>223,849857273222</v>
      </c>
      <c r="AG297" t="str">
        <f t="shared" si="263"/>
        <v>1+152,932608801756i</v>
      </c>
      <c r="AH297">
        <f t="shared" si="281"/>
        <v>152.93587818072953</v>
      </c>
      <c r="AI297">
        <f t="shared" si="282"/>
        <v>1.5642575921449697</v>
      </c>
      <c r="AJ297" t="str">
        <f t="shared" si="264"/>
        <v>1+0,0387418065617644i</v>
      </c>
      <c r="AK297">
        <f t="shared" si="283"/>
        <v>1.0007501824010172</v>
      </c>
      <c r="AL297">
        <f t="shared" si="284"/>
        <v>3.8722441116520394E-2</v>
      </c>
      <c r="AM297" t="str">
        <f t="shared" si="265"/>
        <v>1-0,0254644443444084i</v>
      </c>
      <c r="AN297">
        <f t="shared" si="285"/>
        <v>1.0003241664209506</v>
      </c>
      <c r="AO297">
        <f t="shared" si="286"/>
        <v>-2.5458942447675735E-2</v>
      </c>
      <c r="AP297" s="41" t="str">
        <f t="shared" si="287"/>
        <v>0,0290134697144727-1,46496997650504i</v>
      </c>
      <c r="AQ297">
        <f t="shared" si="288"/>
        <v>3.3182775881375304</v>
      </c>
      <c r="AR297" s="43">
        <f t="shared" si="289"/>
        <v>-88.865415605901049</v>
      </c>
      <c r="AS297" t="str">
        <f t="shared" si="266"/>
        <v>-0,0000166666666666667</v>
      </c>
      <c r="AT297" t="str">
        <f t="shared" si="267"/>
        <v>0,0000388580319814497i</v>
      </c>
      <c r="AU297">
        <f t="shared" si="290"/>
        <v>3.8858031981449701E-5</v>
      </c>
      <c r="AV297">
        <f t="shared" si="291"/>
        <v>1.5707963267948966</v>
      </c>
      <c r="AW297" t="str">
        <f t="shared" si="268"/>
        <v>1+0,0254931129917891i</v>
      </c>
      <c r="AX297">
        <f t="shared" si="292"/>
        <v>1.0003248966260971</v>
      </c>
      <c r="AY297">
        <f t="shared" si="293"/>
        <v>2.5487592496355026E-2</v>
      </c>
      <c r="AZ297" t="str">
        <f t="shared" si="269"/>
        <v>1+8,52319744358816i</v>
      </c>
      <c r="BA297">
        <f t="shared" si="294"/>
        <v>8.5816603674573226</v>
      </c>
      <c r="BB297">
        <f t="shared" si="295"/>
        <v>1.4540034206763301</v>
      </c>
      <c r="BC297" s="41" t="str">
        <f t="shared" si="296"/>
        <v>-3,64239808196727+0,521767820186738i</v>
      </c>
      <c r="BD297">
        <f t="shared" si="297"/>
        <v>11.315963860008132</v>
      </c>
      <c r="BE297" s="43">
        <f t="shared" si="298"/>
        <v>171.84792792234802</v>
      </c>
      <c r="BF297" s="41" t="str">
        <f t="shared" si="299"/>
        <v>0,320771791029596+1,60233529285386i</v>
      </c>
      <c r="BG297" s="20">
        <f t="shared" si="300"/>
        <v>4.2657191727468664</v>
      </c>
      <c r="BH297" s="43">
        <f t="shared" si="301"/>
        <v>78.679590483073724</v>
      </c>
      <c r="BI297" s="41" t="str">
        <f t="shared" si="255"/>
        <v>0,658695584840841+5,35114212741057i</v>
      </c>
      <c r="BJ297" s="20">
        <f t="shared" si="302"/>
        <v>14.634241448145666</v>
      </c>
      <c r="BK297" s="43">
        <f t="shared" si="256"/>
        <v>82.982512316446972</v>
      </c>
      <c r="BL297">
        <f t="shared" si="303"/>
        <v>4.2657191727468664</v>
      </c>
      <c r="BM297" s="43">
        <f t="shared" si="304"/>
        <v>78.679590483073724</v>
      </c>
    </row>
    <row r="298" spans="14:65" x14ac:dyDescent="0.25">
      <c r="N298" s="9">
        <v>80</v>
      </c>
      <c r="O298" s="34">
        <f t="shared" si="305"/>
        <v>6309.5734448019384</v>
      </c>
      <c r="P298" s="33" t="str">
        <f t="shared" si="257"/>
        <v>66,7780509511648</v>
      </c>
      <c r="Q298" s="4" t="str">
        <f t="shared" si="258"/>
        <v>1+154,509771561022i</v>
      </c>
      <c r="R298" s="4">
        <f t="shared" si="270"/>
        <v>154.5130075684219</v>
      </c>
      <c r="S298" s="4">
        <f t="shared" si="271"/>
        <v>1.564324334586052</v>
      </c>
      <c r="T298" s="4" t="str">
        <f t="shared" si="259"/>
        <v>1+0,03964421916295i</v>
      </c>
      <c r="U298" s="4">
        <f t="shared" si="272"/>
        <v>1.0007855235329097</v>
      </c>
      <c r="V298" s="4">
        <f t="shared" si="273"/>
        <v>3.962346959406729E-2</v>
      </c>
      <c r="W298" t="str">
        <f t="shared" si="260"/>
        <v>1-0,0862409203972867i</v>
      </c>
      <c r="X298" s="4">
        <f t="shared" si="274"/>
        <v>1.0037118592260286</v>
      </c>
      <c r="Y298" s="4">
        <f t="shared" si="275"/>
        <v>-8.6028063954109724E-2</v>
      </c>
      <c r="Z298" t="str">
        <f t="shared" si="261"/>
        <v>0,999960189282945+0,0169506824925697i</v>
      </c>
      <c r="AA298" s="4">
        <f t="shared" si="276"/>
        <v>1.0001038475017217</v>
      </c>
      <c r="AB298" s="4">
        <f t="shared" si="277"/>
        <v>1.6949733969011945E-2</v>
      </c>
      <c r="AC298" s="47" t="str">
        <f t="shared" si="278"/>
        <v>-0,0246783922962964-0,433381815244689i</v>
      </c>
      <c r="AD298" s="20">
        <f t="shared" si="279"/>
        <v>-7.2485266963959196</v>
      </c>
      <c r="AE298" s="43">
        <f t="shared" si="280"/>
        <v>-93.259117788532564</v>
      </c>
      <c r="AF298" t="str">
        <f t="shared" si="262"/>
        <v>223,849857273222</v>
      </c>
      <c r="AG298" t="str">
        <f t="shared" si="263"/>
        <v>1+156,494866878051i</v>
      </c>
      <c r="AH298">
        <f t="shared" si="281"/>
        <v>156.49806183841034</v>
      </c>
      <c r="AI298">
        <f t="shared" si="282"/>
        <v>1.5644064278183853</v>
      </c>
      <c r="AJ298" t="str">
        <f t="shared" si="264"/>
        <v>1+0,03964421916295i</v>
      </c>
      <c r="AK298">
        <f t="shared" si="283"/>
        <v>1.0007855235329097</v>
      </c>
      <c r="AL298">
        <f t="shared" si="284"/>
        <v>3.962346959406729E-2</v>
      </c>
      <c r="AM298" t="str">
        <f t="shared" si="265"/>
        <v>1-0,0260575874499564i</v>
      </c>
      <c r="AN298">
        <f t="shared" si="285"/>
        <v>1.0003394413216506</v>
      </c>
      <c r="AO298">
        <f t="shared" si="286"/>
        <v>-2.6051692169429149E-2</v>
      </c>
      <c r="AP298" s="41" t="str">
        <f t="shared" si="287"/>
        <v>0,0285827778561399-1,43169244582407i</v>
      </c>
      <c r="AQ298">
        <f t="shared" si="288"/>
        <v>3.1187253108691673</v>
      </c>
      <c r="AR298" s="43">
        <f t="shared" si="289"/>
        <v>-88.856280190208253</v>
      </c>
      <c r="AS298" t="str">
        <f t="shared" si="266"/>
        <v>-0,0000166666666666667</v>
      </c>
      <c r="AT298" t="str">
        <f t="shared" si="267"/>
        <v>0,0000397631518204389i</v>
      </c>
      <c r="AU298">
        <f t="shared" si="290"/>
        <v>3.9763151820438903E-5</v>
      </c>
      <c r="AV298">
        <f t="shared" si="291"/>
        <v>1.5707963267948966</v>
      </c>
      <c r="AW298" t="str">
        <f t="shared" si="268"/>
        <v>1+0,0260869238759192i</v>
      </c>
      <c r="AX298">
        <f t="shared" si="292"/>
        <v>1.0003402059286171</v>
      </c>
      <c r="AY298">
        <f t="shared" si="293"/>
        <v>2.6081008667133632E-2</v>
      </c>
      <c r="AZ298" t="str">
        <f t="shared" si="269"/>
        <v>1+8,72172821584899i</v>
      </c>
      <c r="BA298">
        <f t="shared" si="294"/>
        <v>8.7788691225656397</v>
      </c>
      <c r="BB298">
        <f t="shared" si="295"/>
        <v>1.4566386501391932</v>
      </c>
      <c r="BC298" s="41" t="str">
        <f t="shared" si="296"/>
        <v>-3,64228659560072+0,514164583982699i</v>
      </c>
      <c r="BD298">
        <f t="shared" si="297"/>
        <v>11.313175966336434</v>
      </c>
      <c r="BE298" s="43">
        <f t="shared" si="298"/>
        <v>171.96491520653817</v>
      </c>
      <c r="BF298" s="41" t="str">
        <f t="shared" si="299"/>
        <v>0,312715358202729+1,56581202113445i</v>
      </c>
      <c r="BG298" s="20">
        <f t="shared" si="300"/>
        <v>4.0646492699405092</v>
      </c>
      <c r="BH298" s="43">
        <f t="shared" si="301"/>
        <v>78.705797418005588</v>
      </c>
      <c r="BI298" s="41" t="str">
        <f t="shared" si="255"/>
        <v>0,632018882147854+5,22933045653329i</v>
      </c>
      <c r="BJ298" s="20">
        <f t="shared" si="302"/>
        <v>14.431901277205599</v>
      </c>
      <c r="BK298" s="43">
        <f t="shared" si="256"/>
        <v>83.108635016329913</v>
      </c>
      <c r="BL298">
        <f t="shared" si="303"/>
        <v>4.0646492699405092</v>
      </c>
      <c r="BM298" s="43">
        <f t="shared" si="304"/>
        <v>78.705797418005588</v>
      </c>
    </row>
    <row r="299" spans="14:65" x14ac:dyDescent="0.25">
      <c r="N299" s="9">
        <v>81</v>
      </c>
      <c r="O299" s="34">
        <f t="shared" si="305"/>
        <v>6456.5422903465615</v>
      </c>
      <c r="P299" s="33" t="str">
        <f t="shared" si="257"/>
        <v>66,7780509511648</v>
      </c>
      <c r="Q299" s="4" t="str">
        <f t="shared" si="258"/>
        <v>1+158,108766477294i</v>
      </c>
      <c r="R299" s="4">
        <f t="shared" si="270"/>
        <v>158.11192882566289</v>
      </c>
      <c r="S299" s="4">
        <f t="shared" si="271"/>
        <v>1.564471651140259</v>
      </c>
      <c r="T299" s="4" t="str">
        <f t="shared" si="259"/>
        <v>1+0,0405676516538892i</v>
      </c>
      <c r="U299" s="4">
        <f t="shared" si="272"/>
        <v>1.0008225289034571</v>
      </c>
      <c r="V299" s="4">
        <f t="shared" si="273"/>
        <v>4.054541907702628E-2</v>
      </c>
      <c r="W299" t="str">
        <f t="shared" si="260"/>
        <v>1-0,088249729490386i</v>
      </c>
      <c r="X299" s="4">
        <f t="shared" si="274"/>
        <v>1.0038864551108986</v>
      </c>
      <c r="Y299" s="4">
        <f t="shared" si="275"/>
        <v>-8.802169736447428E-2</v>
      </c>
      <c r="Z299" t="str">
        <f t="shared" si="261"/>
        <v>0,999958313061653+0,0173455146090227i</v>
      </c>
      <c r="AA299" s="4">
        <f t="shared" si="276"/>
        <v>1.0001087414567269</v>
      </c>
      <c r="AB299" s="4">
        <f t="shared" si="277"/>
        <v>1.7344498253416187E-2</v>
      </c>
      <c r="AC299" s="47" t="str">
        <f t="shared" si="278"/>
        <v>-0,0248052015116198-0,423565022595896i</v>
      </c>
      <c r="AD299" s="20">
        <f t="shared" si="279"/>
        <v>-7.4467290657336171</v>
      </c>
      <c r="AE299" s="43">
        <f t="shared" si="280"/>
        <v>-93.351579698752246</v>
      </c>
      <c r="AF299" t="str">
        <f t="shared" si="262"/>
        <v>223,849857273222</v>
      </c>
      <c r="AG299" t="str">
        <f t="shared" si="263"/>
        <v>1+160,14010060422i</v>
      </c>
      <c r="AH299">
        <f t="shared" si="281"/>
        <v>160.14322283983705</v>
      </c>
      <c r="AI299">
        <f t="shared" si="282"/>
        <v>1.564551875851812</v>
      </c>
      <c r="AJ299" t="str">
        <f t="shared" si="264"/>
        <v>1+0,0405676516538892i</v>
      </c>
      <c r="AK299">
        <f t="shared" si="283"/>
        <v>1.0008225289034571</v>
      </c>
      <c r="AL299">
        <f t="shared" si="284"/>
        <v>4.054541907702628E-2</v>
      </c>
      <c r="AM299" t="str">
        <f t="shared" si="265"/>
        <v>1-0,0266645466332833i</v>
      </c>
      <c r="AN299">
        <f t="shared" si="285"/>
        <v>1.0003554358562552</v>
      </c>
      <c r="AO299">
        <f t="shared" si="286"/>
        <v>-2.6658229847602907E-2</v>
      </c>
      <c r="AP299" s="41" t="str">
        <f t="shared" si="287"/>
        <v>0,0281714687772574-1,39917376964139i</v>
      </c>
      <c r="AQ299">
        <f t="shared" si="288"/>
        <v>2.9191933365993448</v>
      </c>
      <c r="AR299" s="43">
        <f t="shared" si="289"/>
        <v>-88.846541983439266</v>
      </c>
      <c r="AS299" t="str">
        <f t="shared" si="266"/>
        <v>-0,0000166666666666667</v>
      </c>
      <c r="AT299" t="str">
        <f t="shared" si="267"/>
        <v>0,0000406893546088508i</v>
      </c>
      <c r="AU299">
        <f t="shared" si="290"/>
        <v>4.0689354608850797E-5</v>
      </c>
      <c r="AV299">
        <f t="shared" si="291"/>
        <v>1.5707963267948966</v>
      </c>
      <c r="AW299" t="str">
        <f t="shared" si="268"/>
        <v>1+0,0266945663923897i</v>
      </c>
      <c r="AX299">
        <f t="shared" si="292"/>
        <v>1.0003562364852221</v>
      </c>
      <c r="AY299">
        <f t="shared" si="293"/>
        <v>2.6688228253879398E-2</v>
      </c>
      <c r="AZ299" t="str">
        <f t="shared" si="269"/>
        <v>1+8,92488336385562i</v>
      </c>
      <c r="BA299">
        <f t="shared" si="294"/>
        <v>8.9807317663109618</v>
      </c>
      <c r="BB299">
        <f t="shared" si="295"/>
        <v>1.459215434125356</v>
      </c>
      <c r="BC299" s="41" t="str">
        <f t="shared" si="296"/>
        <v>-3,64216986235816+0,506833690638106i</v>
      </c>
      <c r="BD299">
        <f t="shared" si="297"/>
        <v>11.31049978919026</v>
      </c>
      <c r="BE299" s="43">
        <f t="shared" si="298"/>
        <v>172.07776293410402</v>
      </c>
      <c r="BF299" s="41" t="str">
        <f t="shared" si="299"/>
        <v>0,305021781002833+1,53012364821867i</v>
      </c>
      <c r="BG299" s="20">
        <f t="shared" si="300"/>
        <v>3.8637707234566472</v>
      </c>
      <c r="BH299" s="43">
        <f t="shared" si="301"/>
        <v>78.726183235351797</v>
      </c>
      <c r="BI299" s="41" t="str">
        <f t="shared" si="255"/>
        <v>0,606543130952486+5,110306785481i</v>
      </c>
      <c r="BJ299" s="20">
        <f t="shared" si="302"/>
        <v>14.229693125789602</v>
      </c>
      <c r="BK299" s="43">
        <f t="shared" si="256"/>
        <v>83.231220950664763</v>
      </c>
      <c r="BL299">
        <f t="shared" si="303"/>
        <v>3.8637707234566472</v>
      </c>
      <c r="BM299" s="43">
        <f t="shared" si="304"/>
        <v>78.726183235351797</v>
      </c>
    </row>
    <row r="300" spans="14:65" x14ac:dyDescent="0.25">
      <c r="N300" s="9">
        <v>82</v>
      </c>
      <c r="O300" s="34">
        <f t="shared" si="305"/>
        <v>6606.9344800759654</v>
      </c>
      <c r="P300" s="33" t="str">
        <f t="shared" si="257"/>
        <v>66,7780509511648</v>
      </c>
      <c r="Q300" s="4" t="str">
        <f t="shared" si="258"/>
        <v>1+161,791592754369i</v>
      </c>
      <c r="R300" s="4">
        <f t="shared" si="270"/>
        <v>161.79468312029167</v>
      </c>
      <c r="S300" s="4">
        <f t="shared" si="271"/>
        <v>1.5646156146255601</v>
      </c>
      <c r="T300" s="4" t="str">
        <f t="shared" si="259"/>
        <v>1+0,0415125936507115i</v>
      </c>
      <c r="U300" s="4">
        <f t="shared" si="272"/>
        <v>1.0008612768169269</v>
      </c>
      <c r="V300" s="4">
        <f t="shared" si="273"/>
        <v>4.1488772122452409E-2</v>
      </c>
      <c r="W300" t="str">
        <f t="shared" si="260"/>
        <v>1-0,090305329758184i</v>
      </c>
      <c r="X300" s="4">
        <f t="shared" si="274"/>
        <v>1.0040692469061754</v>
      </c>
      <c r="Y300" s="4">
        <f t="shared" si="275"/>
        <v>-9.0061042383708698E-2</v>
      </c>
      <c r="Z300" t="str">
        <f t="shared" si="261"/>
        <v>0,999956348416776+0,0177495435469164i</v>
      </c>
      <c r="AA300" s="4">
        <f t="shared" si="276"/>
        <v>1.0001138660348314</v>
      </c>
      <c r="AB300" s="4">
        <f t="shared" si="277"/>
        <v>1.7748454508655181E-2</v>
      </c>
      <c r="AC300" s="47" t="str">
        <f t="shared" si="278"/>
        <v>-0,0249263842786551-0,413972736772372i</v>
      </c>
      <c r="AD300" s="20">
        <f t="shared" si="279"/>
        <v>-7.6448480578063291</v>
      </c>
      <c r="AE300" s="43">
        <f t="shared" si="280"/>
        <v>-93.445768901876534</v>
      </c>
      <c r="AF300" t="str">
        <f t="shared" si="262"/>
        <v>223,849857273222</v>
      </c>
      <c r="AG300" t="str">
        <f t="shared" si="263"/>
        <v>1+163,870242731433i</v>
      </c>
      <c r="AH300">
        <f t="shared" si="281"/>
        <v>163.87329389762925</v>
      </c>
      <c r="AI300">
        <f t="shared" si="282"/>
        <v>1.5646940133390919</v>
      </c>
      <c r="AJ300" t="str">
        <f t="shared" si="264"/>
        <v>1+0,0415125936507115i</v>
      </c>
      <c r="AK300">
        <f t="shared" si="283"/>
        <v>1.0008612768169269</v>
      </c>
      <c r="AL300">
        <f t="shared" si="284"/>
        <v>4.1488772122452409E-2</v>
      </c>
      <c r="AM300" t="str">
        <f t="shared" si="265"/>
        <v>1-0,0272856437121822i</v>
      </c>
      <c r="AN300">
        <f t="shared" si="285"/>
        <v>1.0003721839159605</v>
      </c>
      <c r="AO300">
        <f t="shared" si="286"/>
        <v>-2.7278875290376984E-2</v>
      </c>
      <c r="AP300" s="41" t="str">
        <f t="shared" si="287"/>
        <v>0,0277786702451856-1,36739672266193i</v>
      </c>
      <c r="AQ300">
        <f t="shared" si="288"/>
        <v>2.7196826541763808</v>
      </c>
      <c r="AR300" s="43">
        <f t="shared" si="289"/>
        <v>-88.836196077922253</v>
      </c>
      <c r="AS300" t="str">
        <f t="shared" si="266"/>
        <v>-0,0000166666666666667</v>
      </c>
      <c r="AT300" t="str">
        <f t="shared" si="267"/>
        <v>0,0000416371314316636i</v>
      </c>
      <c r="AU300">
        <f t="shared" si="290"/>
        <v>4.1637131431663602E-5</v>
      </c>
      <c r="AV300">
        <f t="shared" si="291"/>
        <v>1.5707963267948966</v>
      </c>
      <c r="AW300" t="str">
        <f t="shared" si="268"/>
        <v>1+0,0273163627213057i</v>
      </c>
      <c r="AX300">
        <f t="shared" si="292"/>
        <v>1.0003730222633564</v>
      </c>
      <c r="AY300">
        <f t="shared" si="293"/>
        <v>2.7309571420297975E-2</v>
      </c>
      <c r="AZ300" t="str">
        <f t="shared" si="269"/>
        <v>1+9,13277060315652i</v>
      </c>
      <c r="BA300">
        <f t="shared" si="294"/>
        <v>9.1873553806239521</v>
      </c>
      <c r="BB300">
        <f t="shared" si="295"/>
        <v>1.461735001930742</v>
      </c>
      <c r="BC300" s="41" t="str">
        <f t="shared" si="296"/>
        <v>-3,64204763566679+0,499771233647603i</v>
      </c>
      <c r="BD300">
        <f t="shared" si="297"/>
        <v>11.307929855879536</v>
      </c>
      <c r="BE300" s="43">
        <f t="shared" si="298"/>
        <v>172.18652319448458</v>
      </c>
      <c r="BF300" s="41" t="str">
        <f t="shared" si="299"/>
        <v>0,297674744281+1,49525093737101i</v>
      </c>
      <c r="BG300" s="20">
        <f t="shared" si="300"/>
        <v>3.6630817980732044</v>
      </c>
      <c r="BH300" s="43">
        <f t="shared" si="301"/>
        <v>78.740754292608059</v>
      </c>
      <c r="BI300" s="41" t="str">
        <f t="shared" si="255"/>
        <v>0,582214306681996+4,99400698108693i</v>
      </c>
      <c r="BJ300" s="20">
        <f t="shared" si="302"/>
        <v>14.027612510055924</v>
      </c>
      <c r="BK300" s="43">
        <f t="shared" si="256"/>
        <v>83.35032711656234</v>
      </c>
      <c r="BL300">
        <f t="shared" si="303"/>
        <v>3.6630817980732044</v>
      </c>
      <c r="BM300" s="43">
        <f t="shared" si="304"/>
        <v>78.740754292608059</v>
      </c>
    </row>
    <row r="301" spans="14:65" x14ac:dyDescent="0.25">
      <c r="N301" s="9">
        <v>83</v>
      </c>
      <c r="O301" s="34">
        <f t="shared" si="305"/>
        <v>6760.8297539198229</v>
      </c>
      <c r="P301" s="33" t="str">
        <f t="shared" si="257"/>
        <v>66,7780509511648</v>
      </c>
      <c r="Q301" s="4" t="str">
        <f t="shared" si="258"/>
        <v>1+165,560203075488i</v>
      </c>
      <c r="R301" s="4">
        <f t="shared" si="270"/>
        <v>165.5632230973921</v>
      </c>
      <c r="S301" s="4">
        <f t="shared" si="271"/>
        <v>1.5647563013494175</v>
      </c>
      <c r="T301" s="4" t="str">
        <f t="shared" si="259"/>
        <v>1+0,0424795461741716i</v>
      </c>
      <c r="U301" s="4">
        <f t="shared" si="272"/>
        <v>1.0009018492555419</v>
      </c>
      <c r="V301" s="4">
        <f t="shared" si="273"/>
        <v>4.24540221887569E-2</v>
      </c>
      <c r="W301" t="str">
        <f t="shared" si="260"/>
        <v>1-0,0924088111071524i</v>
      </c>
      <c r="X301" s="4">
        <f t="shared" si="274"/>
        <v>1.0042606177532989</v>
      </c>
      <c r="Y301" s="4">
        <f t="shared" si="275"/>
        <v>-9.2147112410053258E-2</v>
      </c>
      <c r="Z301" t="str">
        <f t="shared" si="261"/>
        <v>0,999954291181039+0,0181629835277416i</v>
      </c>
      <c r="AA301" s="4">
        <f t="shared" si="276"/>
        <v>1.0001192321028545</v>
      </c>
      <c r="AB301" s="4">
        <f t="shared" si="277"/>
        <v>1.8161816609392561E-2</v>
      </c>
      <c r="AC301" s="47" t="str">
        <f t="shared" si="278"/>
        <v>-0,0250421975797881-0,40459987651467i</v>
      </c>
      <c r="AD301" s="20">
        <f t="shared" si="279"/>
        <v>-7.8428797655040752</v>
      </c>
      <c r="AE301" s="43">
        <f t="shared" si="280"/>
        <v>-93.541731814474332</v>
      </c>
      <c r="AF301" t="str">
        <f t="shared" si="262"/>
        <v>223,849857273222</v>
      </c>
      <c r="AG301" t="str">
        <f t="shared" si="263"/>
        <v>1+167,687271030421i</v>
      </c>
      <c r="AH301">
        <f t="shared" si="281"/>
        <v>167.69025274484463</v>
      </c>
      <c r="AI301">
        <f t="shared" si="282"/>
        <v>1.5648329156204162</v>
      </c>
      <c r="AJ301" t="str">
        <f t="shared" si="264"/>
        <v>1+0,0424795461741716i</v>
      </c>
      <c r="AK301">
        <f t="shared" si="283"/>
        <v>1.0009018492555419</v>
      </c>
      <c r="AL301">
        <f t="shared" si="284"/>
        <v>4.24540221887569E-2</v>
      </c>
      <c r="AM301" t="str">
        <f t="shared" si="265"/>
        <v>1-0,0279212080005454i</v>
      </c>
      <c r="AN301">
        <f t="shared" si="285"/>
        <v>1.0003897209868811</v>
      </c>
      <c r="AO301">
        <f t="shared" si="286"/>
        <v>-2.7913955658500331E-2</v>
      </c>
      <c r="AP301" s="41" t="str">
        <f t="shared" si="287"/>
        <v>0,0274035492722427-1,33634447170854i</v>
      </c>
      <c r="AQ301">
        <f t="shared" si="288"/>
        <v>2.5201942972364009</v>
      </c>
      <c r="AR301" s="43">
        <f t="shared" si="289"/>
        <v>-88.825237262177993</v>
      </c>
      <c r="AS301" t="str">
        <f t="shared" si="266"/>
        <v>-0,0000166666666666667</v>
      </c>
      <c r="AT301" t="str">
        <f t="shared" si="267"/>
        <v>0,0000426069848126941i</v>
      </c>
      <c r="AU301">
        <f t="shared" si="290"/>
        <v>4.2606984812694099E-5</v>
      </c>
      <c r="AV301">
        <f t="shared" si="291"/>
        <v>1.5707963267948966</v>
      </c>
      <c r="AW301" t="str">
        <f t="shared" si="268"/>
        <v>1+0,0279526425473113i</v>
      </c>
      <c r="AX301">
        <f t="shared" si="292"/>
        <v>1.0003905988289663</v>
      </c>
      <c r="AY301">
        <f t="shared" si="293"/>
        <v>2.7945365690619541E-2</v>
      </c>
      <c r="AZ301" t="str">
        <f t="shared" si="269"/>
        <v>1+9,34550015831774i</v>
      </c>
      <c r="BA301">
        <f t="shared" si="294"/>
        <v>9.3988495683842554</v>
      </c>
      <c r="BB301">
        <f t="shared" si="295"/>
        <v>1.464198561435901</v>
      </c>
      <c r="BC301" s="41" t="str">
        <f t="shared" si="296"/>
        <v>-3,64191965740122+0,492973447438251i</v>
      </c>
      <c r="BD301">
        <f t="shared" si="297"/>
        <v>11.305460901532356</v>
      </c>
      <c r="BE301" s="43">
        <f t="shared" si="298"/>
        <v>172.2912464283815</v>
      </c>
      <c r="BF301" s="41" t="str">
        <f t="shared" si="299"/>
        <v>0,290658667588883+1,46117510518854i</v>
      </c>
      <c r="BG301" s="20">
        <f t="shared" si="300"/>
        <v>3.4625811360282519</v>
      </c>
      <c r="BH301" s="43">
        <f t="shared" si="301"/>
        <v>78.74951461390711</v>
      </c>
      <c r="BI301" s="41" t="str">
        <f t="shared" si="255"/>
        <v>0,558980816406064+4,88036842273156i</v>
      </c>
      <c r="BJ301" s="20">
        <f t="shared" si="302"/>
        <v>13.825655198768754</v>
      </c>
      <c r="BK301" s="43">
        <f t="shared" si="256"/>
        <v>83.466009166203492</v>
      </c>
      <c r="BL301">
        <f t="shared" si="303"/>
        <v>3.4625811360282519</v>
      </c>
      <c r="BM301" s="43">
        <f t="shared" si="304"/>
        <v>78.74951461390711</v>
      </c>
    </row>
    <row r="302" spans="14:65" x14ac:dyDescent="0.25">
      <c r="N302" s="9">
        <v>84</v>
      </c>
      <c r="O302" s="34">
        <f t="shared" si="305"/>
        <v>6918.3097091893687</v>
      </c>
      <c r="P302" s="33" t="str">
        <f t="shared" si="257"/>
        <v>66,7780509511648</v>
      </c>
      <c r="Q302" s="4" t="str">
        <f t="shared" si="258"/>
        <v>1+169,416595607725i</v>
      </c>
      <c r="R302" s="4">
        <f t="shared" si="270"/>
        <v>169.41954688674926</v>
      </c>
      <c r="S302" s="4">
        <f t="shared" si="271"/>
        <v>1.564893785883505</v>
      </c>
      <c r="T302" s="4" t="str">
        <f t="shared" si="259"/>
        <v>1+0,0434690219152965i</v>
      </c>
      <c r="U302" s="4">
        <f t="shared" si="272"/>
        <v>1.0009443320516245</v>
      </c>
      <c r="V302" s="4">
        <f t="shared" si="273"/>
        <v>4.3441673865554337E-2</v>
      </c>
      <c r="W302" t="str">
        <f t="shared" si="260"/>
        <v>1-0,0945612888309449i</v>
      </c>
      <c r="X302" s="4">
        <f t="shared" si="274"/>
        <v>1.0044609685524717</v>
      </c>
      <c r="Y302" s="4">
        <f t="shared" si="275"/>
        <v>-9.4280940841897434E-2</v>
      </c>
      <c r="Z302" t="str">
        <f t="shared" si="261"/>
        <v>0,999952136990768+0,0185860537628487i</v>
      </c>
      <c r="AA302" s="4">
        <f t="shared" si="276"/>
        <v>1.0001248510395486</v>
      </c>
      <c r="AB302" s="4">
        <f t="shared" si="277"/>
        <v>1.858480339535707E-2</v>
      </c>
      <c r="AC302" s="47" t="str">
        <f t="shared" si="278"/>
        <v>-0,0251528870130639-0,395441476579924i</v>
      </c>
      <c r="AD302" s="20">
        <f t="shared" si="279"/>
        <v>-8.0408201044718393</v>
      </c>
      <c r="AE302" s="43">
        <f t="shared" si="280"/>
        <v>-93.639515546291591</v>
      </c>
      <c r="AF302" t="str">
        <f t="shared" si="262"/>
        <v>223,849857273222</v>
      </c>
      <c r="AG302" t="str">
        <f t="shared" si="263"/>
        <v>1+171,593209340113i</v>
      </c>
      <c r="AH302">
        <f t="shared" si="281"/>
        <v>171.59612318359598</v>
      </c>
      <c r="AI302">
        <f t="shared" si="282"/>
        <v>1.564968656322161</v>
      </c>
      <c r="AJ302" t="str">
        <f t="shared" si="264"/>
        <v>1+0,0434690219152965i</v>
      </c>
      <c r="AK302">
        <f t="shared" si="283"/>
        <v>1.0009443320516245</v>
      </c>
      <c r="AL302">
        <f t="shared" si="284"/>
        <v>4.3441673865554337E-2</v>
      </c>
      <c r="AM302" t="str">
        <f t="shared" si="265"/>
        <v>1-0,0285715764829715i</v>
      </c>
      <c r="AN302">
        <f t="shared" si="285"/>
        <v>1.0004080842249938</v>
      </c>
      <c r="AO302">
        <f t="shared" si="286"/>
        <v>-2.8563805629656668E-2</v>
      </c>
      <c r="AP302" s="41" t="str">
        <f t="shared" si="287"/>
        <v>0,0270453103504441-1,3060005668705i</v>
      </c>
      <c r="AQ302">
        <f t="shared" si="288"/>
        <v>2.3207293463599465</v>
      </c>
      <c r="AR302" s="43">
        <f t="shared" si="289"/>
        <v>-88.813660019450552</v>
      </c>
      <c r="AS302" t="str">
        <f t="shared" si="266"/>
        <v>-0,0000166666666666667</v>
      </c>
      <c r="AT302" t="str">
        <f t="shared" si="267"/>
        <v>0,0000435994289810424i</v>
      </c>
      <c r="AU302">
        <f t="shared" si="290"/>
        <v>4.35994289810424E-5</v>
      </c>
      <c r="AV302">
        <f t="shared" si="291"/>
        <v>1.5707963267948966</v>
      </c>
      <c r="AW302" t="str">
        <f t="shared" si="268"/>
        <v>1+0,0286037432343925i</v>
      </c>
      <c r="AX302">
        <f t="shared" si="292"/>
        <v>1.00040900342161</v>
      </c>
      <c r="AY302">
        <f t="shared" si="293"/>
        <v>2.859594611412589E-2</v>
      </c>
      <c r="AZ302" t="str">
        <f t="shared" si="269"/>
        <v>1+9,56318482136522i</v>
      </c>
      <c r="BA302">
        <f t="shared" si="294"/>
        <v>9.6153265117514426</v>
      </c>
      <c r="BB302">
        <f t="shared" si="295"/>
        <v>1.4666072991743928</v>
      </c>
      <c r="BC302" s="41" t="str">
        <f t="shared" si="296"/>
        <v>-3,64178565734536+0,486436705273536i</v>
      </c>
      <c r="BD302">
        <f t="shared" si="297"/>
        <v>11.303087859445366</v>
      </c>
      <c r="BE302" s="43">
        <f t="shared" si="298"/>
        <v>172.39198142225024</v>
      </c>
      <c r="BF302" s="41" t="str">
        <f t="shared" si="299"/>
        <v>0,283958672161045+1,42787781024149i</v>
      </c>
      <c r="BG302" s="20">
        <f t="shared" si="300"/>
        <v>3.2622677549735495</v>
      </c>
      <c r="BH302" s="43">
        <f t="shared" si="301"/>
        <v>78.752465875958677</v>
      </c>
      <c r="BI302" s="41" t="str">
        <f t="shared" si="255"/>
        <v>0,536793389501155+4,76932996457387i</v>
      </c>
      <c r="BJ302" s="20">
        <f t="shared" si="302"/>
        <v>13.62381720580532</v>
      </c>
      <c r="BK302" s="43">
        <f t="shared" si="256"/>
        <v>83.578321402799702</v>
      </c>
      <c r="BL302">
        <f t="shared" si="303"/>
        <v>3.2622677549735495</v>
      </c>
      <c r="BM302" s="43">
        <f t="shared" si="304"/>
        <v>78.752465875958677</v>
      </c>
    </row>
    <row r="303" spans="14:65" x14ac:dyDescent="0.25">
      <c r="N303" s="9">
        <v>85</v>
      </c>
      <c r="O303" s="34">
        <f t="shared" si="305"/>
        <v>7079.4578438413828</v>
      </c>
      <c r="P303" s="33" t="str">
        <f t="shared" si="257"/>
        <v>66,7780509511648</v>
      </c>
      <c r="Q303" s="4" t="str">
        <f t="shared" si="258"/>
        <v>1+173,362815061447i</v>
      </c>
      <c r="R303" s="4">
        <f t="shared" si="270"/>
        <v>173.36569916228953</v>
      </c>
      <c r="S303" s="4">
        <f t="shared" si="271"/>
        <v>1.5650281411031404</v>
      </c>
      <c r="T303" s="4" t="str">
        <f t="shared" si="259"/>
        <v>1+0,0444815455072214i</v>
      </c>
      <c r="U303" s="4">
        <f t="shared" si="272"/>
        <v>1.0009888150677364</v>
      </c>
      <c r="V303" s="4">
        <f t="shared" si="273"/>
        <v>4.4452243107161914E-2</v>
      </c>
      <c r="W303" t="str">
        <f t="shared" si="260"/>
        <v>1-0,0967639042017422i</v>
      </c>
      <c r="X303" s="4">
        <f t="shared" si="274"/>
        <v>1.0046707187712618</v>
      </c>
      <c r="Y303" s="4">
        <f t="shared" si="275"/>
        <v>-9.6463581294050804E-2</v>
      </c>
      <c r="Z303" t="str">
        <f t="shared" si="261"/>
        <v>0,999949881276637+0,0190189785696764i</v>
      </c>
      <c r="AA303" s="4">
        <f t="shared" si="276"/>
        <v>1.0001307347597084</v>
      </c>
      <c r="AB303" s="4">
        <f t="shared" si="277"/>
        <v>1.9017638785799231E-2</v>
      </c>
      <c r="AC303" s="47" t="str">
        <f t="shared" si="278"/>
        <v>-0,0252586873126455-0,386492685130053i</v>
      </c>
      <c r="AD303" s="20">
        <f t="shared" si="279"/>
        <v>-8.2386648051957287</v>
      </c>
      <c r="AE303" s="43">
        <f t="shared" si="280"/>
        <v>-93.739167908081569</v>
      </c>
      <c r="AF303" t="str">
        <f t="shared" si="262"/>
        <v>223,849857273222</v>
      </c>
      <c r="AG303" t="str">
        <f t="shared" si="263"/>
        <v>1+175,590128640702i</v>
      </c>
      <c r="AH303">
        <f t="shared" si="281"/>
        <v>175.59297615809771</v>
      </c>
      <c r="AI303">
        <f t="shared" si="282"/>
        <v>1.5651013073958229</v>
      </c>
      <c r="AJ303" t="str">
        <f t="shared" si="264"/>
        <v>1+0,0444815455072214i</v>
      </c>
      <c r="AK303">
        <f t="shared" si="283"/>
        <v>1.0009888150677364</v>
      </c>
      <c r="AL303">
        <f t="shared" si="284"/>
        <v>4.4452243107161914E-2</v>
      </c>
      <c r="AM303" t="str">
        <f t="shared" si="265"/>
        <v>1-0,0292370939934383i</v>
      </c>
      <c r="AN303">
        <f t="shared" si="285"/>
        <v>1.0004273125345895</v>
      </c>
      <c r="AO303">
        <f t="shared" si="286"/>
        <v>-2.922876756616653E-2</v>
      </c>
      <c r="AP303" s="41" t="str">
        <f t="shared" si="287"/>
        <v>0,0267031937655996-1,27634893285032i</v>
      </c>
      <c r="AQ303">
        <f t="shared" si="288"/>
        <v>2.1212889313246568</v>
      </c>
      <c r="AR303" s="43">
        <f t="shared" si="289"/>
        <v>-88.801458526168275</v>
      </c>
      <c r="AS303" t="str">
        <f t="shared" si="266"/>
        <v>-0,0000166666666666667</v>
      </c>
      <c r="AT303" t="str">
        <f t="shared" si="267"/>
        <v>0,0000446149901437431i</v>
      </c>
      <c r="AU303">
        <f t="shared" si="290"/>
        <v>4.4614990143743102E-5</v>
      </c>
      <c r="AV303">
        <f t="shared" si="291"/>
        <v>1.5707963267948966</v>
      </c>
      <c r="AW303" t="str">
        <f t="shared" si="268"/>
        <v>1+0,0292700100047519i</v>
      </c>
      <c r="AX303">
        <f t="shared" si="292"/>
        <v>1.0004282750330873</v>
      </c>
      <c r="AY303">
        <f t="shared" si="293"/>
        <v>2.9261655433017338E-2</v>
      </c>
      <c r="AZ303" t="str">
        <f t="shared" si="269"/>
        <v>1+9,7859400115887i</v>
      </c>
      <c r="BA303">
        <f t="shared" si="294"/>
        <v>9.8369010318500543</v>
      </c>
      <c r="BB303">
        <f t="shared" si="295"/>
        <v>1.4689623804255565</v>
      </c>
      <c r="BC303" s="41" t="str">
        <f t="shared" si="296"/>
        <v>-3,64164535262977+0,480157517223943i</v>
      </c>
      <c r="BD303">
        <f t="shared" si="297"/>
        <v>11.300805851726949</v>
      </c>
      <c r="BE303" s="43">
        <f t="shared" si="298"/>
        <v>172.4887753039973</v>
      </c>
      <c r="BF303" s="41" t="str">
        <f t="shared" si="299"/>
        <v>0,277560549382885+1,39534114204088i</v>
      </c>
      <c r="BG303" s="20">
        <f t="shared" si="300"/>
        <v>3.062141046531202</v>
      </c>
      <c r="BH303" s="43">
        <f t="shared" si="301"/>
        <v>78.749607395915717</v>
      </c>
      <c r="BI303" s="41" t="str">
        <f t="shared" si="255"/>
        <v>0,515604973231971+4,66083189886877i</v>
      </c>
      <c r="BJ303" s="20">
        <f t="shared" si="302"/>
        <v>13.422094783051596</v>
      </c>
      <c r="BK303" s="43">
        <f t="shared" si="256"/>
        <v>83.687316777828997</v>
      </c>
      <c r="BL303">
        <f t="shared" si="303"/>
        <v>3.062141046531202</v>
      </c>
      <c r="BM303" s="43">
        <f t="shared" si="304"/>
        <v>78.749607395915717</v>
      </c>
    </row>
    <row r="304" spans="14:65" x14ac:dyDescent="0.25">
      <c r="N304" s="9">
        <v>86</v>
      </c>
      <c r="O304" s="34">
        <f t="shared" si="305"/>
        <v>7244.3596007499036</v>
      </c>
      <c r="P304" s="33" t="str">
        <f t="shared" si="257"/>
        <v>66,7780509511648</v>
      </c>
      <c r="Q304" s="4" t="str">
        <f t="shared" si="258"/>
        <v>1+177,400953774444i</v>
      </c>
      <c r="R304" s="4">
        <f t="shared" si="270"/>
        <v>177.40377222619145</v>
      </c>
      <c r="S304" s="4">
        <f t="shared" si="271"/>
        <v>1.5651594382258265</v>
      </c>
      <c r="T304" s="4" t="str">
        <f t="shared" si="259"/>
        <v>1+0,0455176538033572i</v>
      </c>
      <c r="U304" s="4">
        <f t="shared" si="272"/>
        <v>1.0010353923851856</v>
      </c>
      <c r="V304" s="4">
        <f t="shared" si="273"/>
        <v>4.5486257469714762E-2</v>
      </c>
      <c r="W304" t="str">
        <f t="shared" si="260"/>
        <v>1-0,0990178250753692i</v>
      </c>
      <c r="X304" s="4">
        <f t="shared" si="274"/>
        <v>1.0048903072886395</v>
      </c>
      <c r="Y304" s="4">
        <f t="shared" si="275"/>
        <v>-9.8696107802181535E-2</v>
      </c>
      <c r="Z304" t="str">
        <f t="shared" si="261"/>
        <v>0,999947519253975+0,0194619874906878i</v>
      </c>
      <c r="AA304" s="4">
        <f t="shared" si="276"/>
        <v>1.0001368957394114</v>
      </c>
      <c r="AB304" s="4">
        <f t="shared" si="277"/>
        <v>1.9460551896528809E-2</v>
      </c>
      <c r="AC304" s="47" t="str">
        <f t="shared" si="278"/>
        <v>-0,0253598228462663-0,377748761178678i</v>
      </c>
      <c r="AD304" s="20">
        <f t="shared" si="279"/>
        <v>-8.4364094047659375</v>
      </c>
      <c r="AE304" s="43">
        <f t="shared" si="280"/>
        <v>-93.84073741864627</v>
      </c>
      <c r="AF304" t="str">
        <f t="shared" si="262"/>
        <v>223,849857273222</v>
      </c>
      <c r="AG304" t="str">
        <f t="shared" si="263"/>
        <v>1+179,680148151707i</v>
      </c>
      <c r="AH304">
        <f t="shared" si="281"/>
        <v>179.68293085270892</v>
      </c>
      <c r="AI304">
        <f t="shared" si="282"/>
        <v>1.565230939156073</v>
      </c>
      <c r="AJ304" t="str">
        <f t="shared" si="264"/>
        <v>1+0,0455176538033572i</v>
      </c>
      <c r="AK304">
        <f t="shared" si="283"/>
        <v>1.0010353923851856</v>
      </c>
      <c r="AL304">
        <f t="shared" si="284"/>
        <v>4.5486257469714762E-2</v>
      </c>
      <c r="AM304" t="str">
        <f t="shared" si="265"/>
        <v>1-0,0299181133981392i</v>
      </c>
      <c r="AN304">
        <f t="shared" si="285"/>
        <v>1.0004474466503994</v>
      </c>
      <c r="AO304">
        <f t="shared" si="286"/>
        <v>-2.9909191686071448E-2</v>
      </c>
      <c r="AP304" s="41" t="str">
        <f t="shared" si="287"/>
        <v>0,0263764739872037-1,2473738605045i</v>
      </c>
      <c r="AQ304">
        <f t="shared" si="288"/>
        <v>1.9218742334579817</v>
      </c>
      <c r="AR304" s="43">
        <f t="shared" si="289"/>
        <v>-88.788626650340717</v>
      </c>
      <c r="AS304" t="str">
        <f t="shared" si="266"/>
        <v>-0,0000166666666666667</v>
      </c>
      <c r="AT304" t="str">
        <f t="shared" si="267"/>
        <v>0,0000456542067647672i</v>
      </c>
      <c r="AU304">
        <f t="shared" si="290"/>
        <v>4.56542067647672E-5</v>
      </c>
      <c r="AV304">
        <f t="shared" si="291"/>
        <v>1.5707963267948966</v>
      </c>
      <c r="AW304" t="str">
        <f t="shared" si="268"/>
        <v>1+0,0299517961218502i</v>
      </c>
      <c r="AX304">
        <f t="shared" si="292"/>
        <v>1.0004484544897478</v>
      </c>
      <c r="AY304">
        <f t="shared" si="293"/>
        <v>2.9942844253662428E-2</v>
      </c>
      <c r="AZ304" t="str">
        <f t="shared" si="269"/>
        <v>1+10,0138838367386i</v>
      </c>
      <c r="BA304">
        <f t="shared" si="294"/>
        <v>10.063690649840872</v>
      </c>
      <c r="BB304">
        <f t="shared" si="295"/>
        <v>1.4712649493295853</v>
      </c>
      <c r="BC304" s="41" t="str">
        <f t="shared" si="296"/>
        <v>-3,64149844714334+0,474132528202499i</v>
      </c>
      <c r="BD304">
        <f t="shared" si="297"/>
        <v>11.29861018022404</v>
      </c>
      <c r="BE304" s="43">
        <f t="shared" si="298"/>
        <v>172.58167353976174</v>
      </c>
      <c r="BF304" s="41" t="str">
        <f t="shared" si="299"/>
        <v>0,271450730677518+1,36354761032161i</v>
      </c>
      <c r="BG304" s="20">
        <f t="shared" si="300"/>
        <v>2.862200775458112</v>
      </c>
      <c r="BH304" s="43">
        <f t="shared" si="301"/>
        <v>78.740936121115453</v>
      </c>
      <c r="BI304" s="41" t="str">
        <f t="shared" si="255"/>
        <v>0,495370633029191+4,55481592033095i</v>
      </c>
      <c r="BJ304" s="20">
        <f t="shared" si="302"/>
        <v>13.220484413682023</v>
      </c>
      <c r="BK304" s="43">
        <f t="shared" si="256"/>
        <v>83.793046889421007</v>
      </c>
      <c r="BL304">
        <f t="shared" si="303"/>
        <v>2.862200775458112</v>
      </c>
      <c r="BM304" s="43">
        <f t="shared" si="304"/>
        <v>78.740936121115453</v>
      </c>
    </row>
    <row r="305" spans="14:65" x14ac:dyDescent="0.25">
      <c r="N305" s="9">
        <v>87</v>
      </c>
      <c r="O305" s="34">
        <f t="shared" si="305"/>
        <v>7413.1024130091773</v>
      </c>
      <c r="P305" s="33" t="str">
        <f t="shared" si="257"/>
        <v>66,7780509511648</v>
      </c>
      <c r="Q305" s="4" t="str">
        <f t="shared" si="258"/>
        <v>1+181,53315282131i</v>
      </c>
      <c r="R305" s="4">
        <f t="shared" si="270"/>
        <v>181.53590711824782</v>
      </c>
      <c r="S305" s="4">
        <f t="shared" si="271"/>
        <v>1.5652877468489172</v>
      </c>
      <c r="T305" s="4" t="str">
        <f t="shared" si="259"/>
        <v>1+0,0465778961620368i</v>
      </c>
      <c r="U305" s="4">
        <f t="shared" si="272"/>
        <v>1.0010841625012761</v>
      </c>
      <c r="V305" s="4">
        <f t="shared" si="273"/>
        <v>4.6544256351853698E-2</v>
      </c>
      <c r="W305" t="str">
        <f t="shared" si="260"/>
        <v>1-0,101324246510507i</v>
      </c>
      <c r="X305" s="4">
        <f t="shared" si="274"/>
        <v>1.0051201932758698</v>
      </c>
      <c r="Y305" s="4">
        <f t="shared" si="275"/>
        <v>-0.10097961501405862</v>
      </c>
      <c r="Z305" t="str">
        <f t="shared" si="261"/>
        <v>0,999945045912614+0,0199153154150765i</v>
      </c>
      <c r="AA305" s="4">
        <f t="shared" si="276"/>
        <v>1.0001433470424437</v>
      </c>
      <c r="AB305" s="4">
        <f t="shared" si="277"/>
        <v>1.9913777159586785E-2</v>
      </c>
      <c r="AC305" s="47" t="str">
        <f t="shared" si="278"/>
        <v>-0,0254565080907305-0,369205072095435i</v>
      </c>
      <c r="AD305" s="20">
        <f t="shared" si="279"/>
        <v>-8.6340492383067851</v>
      </c>
      <c r="AE305" s="43">
        <f t="shared" si="280"/>
        <v>-93.944273311018577</v>
      </c>
      <c r="AF305" t="str">
        <f t="shared" si="262"/>
        <v>223,849857273222</v>
      </c>
      <c r="AG305" t="str">
        <f t="shared" si="263"/>
        <v>1+183,865436455609i</v>
      </c>
      <c r="AH305">
        <f t="shared" si="281"/>
        <v>183.86815581555058</v>
      </c>
      <c r="AI305">
        <f t="shared" si="282"/>
        <v>1.5653576203179493</v>
      </c>
      <c r="AJ305" t="str">
        <f t="shared" si="264"/>
        <v>1+0,0465778961620368i</v>
      </c>
      <c r="AK305">
        <f t="shared" si="283"/>
        <v>1.0010841625012761</v>
      </c>
      <c r="AL305">
        <f t="shared" si="284"/>
        <v>4.6544256351853698E-2</v>
      </c>
      <c r="AM305" t="str">
        <f t="shared" si="265"/>
        <v>1-0,0306149957825767i</v>
      </c>
      <c r="AN305">
        <f t="shared" si="285"/>
        <v>1.0004685292235669</v>
      </c>
      <c r="AO305">
        <f t="shared" si="286"/>
        <v>-3.0605436237638395E-2</v>
      </c>
      <c r="AP305" s="41" t="str">
        <f t="shared" si="287"/>
        <v>0,0260644581307162-1,21905999857428i</v>
      </c>
      <c r="AQ305">
        <f t="shared" si="288"/>
        <v>1.7224864880959903</v>
      </c>
      <c r="AR305" s="43">
        <f t="shared" si="289"/>
        <v>-88.775157949897704</v>
      </c>
      <c r="AS305" t="str">
        <f t="shared" si="266"/>
        <v>-0,0000166666666666667</v>
      </c>
      <c r="AT305" t="str">
        <f t="shared" si="267"/>
        <v>0,0000467176298505229i</v>
      </c>
      <c r="AU305">
        <f t="shared" si="290"/>
        <v>4.67176298505229E-5</v>
      </c>
      <c r="AV305">
        <f t="shared" si="291"/>
        <v>1.5707963267948966</v>
      </c>
      <c r="AW305" t="str">
        <f t="shared" si="268"/>
        <v>1+0,0306494630777111i</v>
      </c>
      <c r="AX305">
        <f t="shared" si="292"/>
        <v>1.0004695845386566</v>
      </c>
      <c r="AY305">
        <f t="shared" si="293"/>
        <v>3.0639871221271375E-2</v>
      </c>
      <c r="AZ305" t="str">
        <f t="shared" si="269"/>
        <v>1+10,2471371556481i</v>
      </c>
      <c r="BA305">
        <f t="shared" si="294"/>
        <v>10.295815649411358</v>
      </c>
      <c r="BB305">
        <f t="shared" si="295"/>
        <v>1.4735161290229604</v>
      </c>
      <c r="BC305" s="41" t="str">
        <f t="shared" si="296"/>
        <v>-3,64134463091756+0,468358516063718i</v>
      </c>
      <c r="BD305">
        <f t="shared" si="297"/>
        <v>11.296496317721946</v>
      </c>
      <c r="BE305" s="43">
        <f t="shared" si="298"/>
        <v>172.67071993166687</v>
      </c>
      <c r="BF305" s="41" t="str">
        <f t="shared" si="299"/>
        <v>0,265616258747907+1,3324801346287i</v>
      </c>
      <c r="BG305" s="20">
        <f t="shared" si="300"/>
        <v>2.6624470794151378</v>
      </c>
      <c r="BH305" s="43">
        <f t="shared" si="301"/>
        <v>78.726446620648261</v>
      </c>
      <c r="BI305" s="41" t="str">
        <f t="shared" si="255"/>
        <v>0,476047457252829+4,45122509150693i</v>
      </c>
      <c r="BJ305" s="20">
        <f t="shared" si="302"/>
        <v>13.018982805817938</v>
      </c>
      <c r="BK305" s="43">
        <f t="shared" si="256"/>
        <v>83.895561981769177</v>
      </c>
      <c r="BL305">
        <f t="shared" si="303"/>
        <v>2.6624470794151378</v>
      </c>
      <c r="BM305" s="43">
        <f t="shared" si="304"/>
        <v>78.726446620648261</v>
      </c>
    </row>
    <row r="306" spans="14:65" x14ac:dyDescent="0.25">
      <c r="N306" s="9">
        <v>88</v>
      </c>
      <c r="O306" s="34">
        <f t="shared" si="305"/>
        <v>7585.7757502918394</v>
      </c>
      <c r="P306" s="33" t="str">
        <f t="shared" si="257"/>
        <v>66,7780509511648</v>
      </c>
      <c r="Q306" s="4" t="str">
        <f t="shared" si="258"/>
        <v>1+185,761603148678i</v>
      </c>
      <c r="R306" s="4">
        <f t="shared" si="270"/>
        <v>185.76429475108219</v>
      </c>
      <c r="S306" s="4">
        <f t="shared" si="271"/>
        <v>1.5654131349864351</v>
      </c>
      <c r="T306" s="4" t="str">
        <f t="shared" si="259"/>
        <v>1+0,0476628347377929i</v>
      </c>
      <c r="U306" s="4">
        <f t="shared" si="272"/>
        <v>1.0011352285357069</v>
      </c>
      <c r="V306" s="4">
        <f t="shared" si="273"/>
        <v>4.7626791238933652E-2</v>
      </c>
      <c r="W306" t="str">
        <f t="shared" si="260"/>
        <v>1-0,103684391402329i</v>
      </c>
      <c r="X306" s="4">
        <f t="shared" si="274"/>
        <v>1.005360857115728</v>
      </c>
      <c r="Y306" s="4">
        <f t="shared" si="275"/>
        <v>-0.10331521836613654</v>
      </c>
      <c r="Z306" t="str">
        <f t="shared" si="261"/>
        <v>0,999942456006266+0,0203792027033086i</v>
      </c>
      <c r="AA306" s="4">
        <f t="shared" si="276"/>
        <v>1.0001501023479755</v>
      </c>
      <c r="AB306" s="4">
        <f t="shared" si="277"/>
        <v>2.0377554445607762E-2</v>
      </c>
      <c r="AC306" s="47" t="str">
        <f t="shared" si="278"/>
        <v>-0,0255489480864611-0,36085709116644i</v>
      </c>
      <c r="AD306" s="20">
        <f t="shared" si="279"/>
        <v>-8.8315794300629751</v>
      </c>
      <c r="AE306" s="43">
        <f t="shared" si="280"/>
        <v>-94.049825537707704</v>
      </c>
      <c r="AF306" t="str">
        <f t="shared" si="262"/>
        <v>223,849857273222</v>
      </c>
      <c r="AG306" t="str">
        <f t="shared" si="263"/>
        <v>1+188,148212647667i</v>
      </c>
      <c r="AH306">
        <f t="shared" si="281"/>
        <v>188.15087010830359</v>
      </c>
      <c r="AI306">
        <f t="shared" si="282"/>
        <v>1.5654814180332075</v>
      </c>
      <c r="AJ306" t="str">
        <f t="shared" si="264"/>
        <v>1+0,0476628347377929i</v>
      </c>
      <c r="AK306">
        <f t="shared" si="283"/>
        <v>1.0011352285357069</v>
      </c>
      <c r="AL306">
        <f t="shared" si="284"/>
        <v>4.7626791238933652E-2</v>
      </c>
      <c r="AM306" t="str">
        <f t="shared" si="265"/>
        <v>1-0,0313281106430156i</v>
      </c>
      <c r="AN306">
        <f t="shared" si="285"/>
        <v>1.0004906049116409</v>
      </c>
      <c r="AO306">
        <f t="shared" si="286"/>
        <v>-3.1317867677327645E-2</v>
      </c>
      <c r="AP306" s="41" t="str">
        <f t="shared" si="287"/>
        <v>0,0257664844889795-1,19139234560197i</v>
      </c>
      <c r="AQ306">
        <f t="shared" si="288"/>
        <v>1.5231269871508955</v>
      </c>
      <c r="AR306" s="43">
        <f t="shared" si="289"/>
        <v>-88.761045670976628</v>
      </c>
      <c r="AS306" t="str">
        <f t="shared" si="266"/>
        <v>-0,0000166666666666667</v>
      </c>
      <c r="AT306" t="str">
        <f t="shared" si="267"/>
        <v>0,0000478058232420063i</v>
      </c>
      <c r="AU306">
        <f t="shared" si="290"/>
        <v>4.7805823242006297E-5</v>
      </c>
      <c r="AV306">
        <f t="shared" si="291"/>
        <v>1.5707963267948966</v>
      </c>
      <c r="AW306" t="str">
        <f t="shared" si="268"/>
        <v>1+0,0313633807845895i</v>
      </c>
      <c r="AX306">
        <f t="shared" si="292"/>
        <v>1.0004917099377881</v>
      </c>
      <c r="AY306">
        <f t="shared" si="293"/>
        <v>3.1353103198033576E-2</v>
      </c>
      <c r="AZ306" t="str">
        <f t="shared" si="269"/>
        <v>1+10,4858236423144i</v>
      </c>
      <c r="BA306">
        <f t="shared" si="294"/>
        <v>10.533399140719943</v>
      </c>
      <c r="BB306">
        <f t="shared" si="295"/>
        <v>1.4757170217924263</v>
      </c>
      <c r="BC306" s="41" t="str">
        <f t="shared" si="296"/>
        <v>-3,64118357948316+0,462832389764383i</v>
      </c>
      <c r="BD306">
        <f t="shared" si="297"/>
        <v>11.294459899409874</v>
      </c>
      <c r="BE306" s="43">
        <f t="shared" si="298"/>
        <v>172.75595661643592</v>
      </c>
      <c r="BF306" s="41" t="str">
        <f t="shared" si="299"/>
        <v>0,260044760113477+1,30212203419648i</v>
      </c>
      <c r="BG306" s="20">
        <f t="shared" si="300"/>
        <v>2.4628804693469246</v>
      </c>
      <c r="BH306" s="43">
        <f t="shared" si="301"/>
        <v>78.706131078728248</v>
      </c>
      <c r="BI306" s="41" t="str">
        <f t="shared" ref="BI306:BI369" si="306">IMPRODUCT(AP306,BC306)</f>
        <v>0,457594466239674+4,35000380911968i</v>
      </c>
      <c r="BJ306" s="20">
        <f t="shared" si="302"/>
        <v>12.817586886560768</v>
      </c>
      <c r="BK306" s="43">
        <f t="shared" ref="BK306:BK369" si="307">(180/PI())*IMARGUMENT(BI306)</f>
        <v>83.994910945459296</v>
      </c>
      <c r="BL306">
        <f t="shared" si="303"/>
        <v>2.4628804693469246</v>
      </c>
      <c r="BM306" s="43">
        <f t="shared" si="304"/>
        <v>78.706131078728248</v>
      </c>
    </row>
    <row r="307" spans="14:65" x14ac:dyDescent="0.25">
      <c r="N307" s="9">
        <v>89</v>
      </c>
      <c r="O307" s="34">
        <f t="shared" si="305"/>
        <v>7762.4711662869322</v>
      </c>
      <c r="P307" s="33" t="str">
        <f t="shared" si="257"/>
        <v>66,7780509511648</v>
      </c>
      <c r="Q307" s="4" t="str">
        <f t="shared" si="258"/>
        <v>1+190,08854673688i</v>
      </c>
      <c r="R307" s="4">
        <f t="shared" si="270"/>
        <v>190.09117707179101</v>
      </c>
      <c r="S307" s="4">
        <f t="shared" si="271"/>
        <v>1.5655356691050497</v>
      </c>
      <c r="T307" s="4" t="str">
        <f t="shared" si="259"/>
        <v>1+0,0487730447794192i</v>
      </c>
      <c r="U307" s="4">
        <f t="shared" si="272"/>
        <v>1.0011886984465292</v>
      </c>
      <c r="V307" s="4">
        <f t="shared" si="273"/>
        <v>4.8734425950686486E-2</v>
      </c>
      <c r="W307" t="str">
        <f t="shared" si="260"/>
        <v>1-0,106099511130898i</v>
      </c>
      <c r="X307" s="4">
        <f t="shared" si="274"/>
        <v>1.0056128013615457</v>
      </c>
      <c r="Y307" s="4">
        <f t="shared" si="275"/>
        <v>-0.10570405424392031</v>
      </c>
      <c r="Z307" t="str">
        <f t="shared" si="261"/>
        <v>0,999939744041393+0,0208538953145648i</v>
      </c>
      <c r="AA307" s="4">
        <f t="shared" si="276"/>
        <v>1.0001571759795345</v>
      </c>
      <c r="AB307" s="4">
        <f t="shared" si="277"/>
        <v>2.0852129188926902E-2</v>
      </c>
      <c r="AC307" s="47" t="str">
        <f t="shared" si="278"/>
        <v>-0,0256373388720655-0,352700395209773i</v>
      </c>
      <c r="AD307" s="20">
        <f t="shared" si="279"/>
        <v>-9.0289948841290411</v>
      </c>
      <c r="AE307" s="43">
        <f t="shared" si="280"/>
        <v>-94.157444774927171</v>
      </c>
      <c r="AF307" t="str">
        <f t="shared" si="262"/>
        <v>223,849857273222</v>
      </c>
      <c r="AG307" t="str">
        <f t="shared" si="263"/>
        <v>1+192,530747512507i</v>
      </c>
      <c r="AH307">
        <f t="shared" si="281"/>
        <v>192.53334448277971</v>
      </c>
      <c r="AI307">
        <f t="shared" si="282"/>
        <v>1.5656023979258475</v>
      </c>
      <c r="AJ307" t="str">
        <f t="shared" si="264"/>
        <v>1+0,0487730447794192i</v>
      </c>
      <c r="AK307">
        <f t="shared" si="283"/>
        <v>1.0011886984465292</v>
      </c>
      <c r="AL307">
        <f t="shared" si="284"/>
        <v>4.8734425950686486E-2</v>
      </c>
      <c r="AM307" t="str">
        <f t="shared" si="265"/>
        <v>1-0,032057836082394i</v>
      </c>
      <c r="AN307">
        <f t="shared" si="285"/>
        <v>1.0005137204727808</v>
      </c>
      <c r="AO307">
        <f t="shared" si="286"/>
        <v>-3.2046860851258616E-2</v>
      </c>
      <c r="AP307" s="41" t="str">
        <f t="shared" si="287"/>
        <v>0,0254819211296717-1,16435624202922i</v>
      </c>
      <c r="AQ307">
        <f t="shared" si="288"/>
        <v>1.3237970817950315</v>
      </c>
      <c r="AR307" s="43">
        <f t="shared" si="289"/>
        <v>-88.746282746165306</v>
      </c>
      <c r="AS307" t="str">
        <f t="shared" si="266"/>
        <v>-0,0000166666666666667</v>
      </c>
      <c r="AT307" t="str">
        <f t="shared" si="267"/>
        <v>0,0000489193639137575i</v>
      </c>
      <c r="AU307">
        <f t="shared" si="290"/>
        <v>4.8919363913757497E-5</v>
      </c>
      <c r="AV307">
        <f t="shared" si="291"/>
        <v>1.5707963267948966</v>
      </c>
      <c r="AW307" t="str">
        <f t="shared" si="268"/>
        <v>1+0,0320939277711034i</v>
      </c>
      <c r="AX307">
        <f t="shared" si="292"/>
        <v>1.0005148775504424</v>
      </c>
      <c r="AY307">
        <f t="shared" si="293"/>
        <v>3.208291544475568E-2</v>
      </c>
      <c r="AZ307" t="str">
        <f t="shared" si="269"/>
        <v>1+10,7300698514722i</v>
      </c>
      <c r="BA307">
        <f t="shared" si="294"/>
        <v>10.776567125827809</v>
      </c>
      <c r="BB307">
        <f t="shared" si="295"/>
        <v>1.4778687092457858</v>
      </c>
      <c r="BC307" s="41" t="str">
        <f t="shared" si="296"/>
        <v>-3,64101495319686+0,457551187584553i</v>
      </c>
      <c r="BD307">
        <f t="shared" si="297"/>
        <v>11.292496714600071</v>
      </c>
      <c r="BE307" s="43">
        <f t="shared" si="298"/>
        <v>172.83742406477052</v>
      </c>
      <c r="BF307" s="41" t="str">
        <f t="shared" si="299"/>
        <v>0,254724418883138+1,2724570181098i</v>
      </c>
      <c r="BG307" s="20">
        <f t="shared" si="300"/>
        <v>2.263501830471002</v>
      </c>
      <c r="BH307" s="43">
        <f t="shared" si="301"/>
        <v>78.679979289843331</v>
      </c>
      <c r="BI307" s="41" t="str">
        <f t="shared" si="306"/>
        <v>0,439972525442639+4,25109777135131i</v>
      </c>
      <c r="BJ307" s="20">
        <f t="shared" si="302"/>
        <v>12.616293796395103</v>
      </c>
      <c r="BK307" s="43">
        <f t="shared" si="307"/>
        <v>84.091141318605224</v>
      </c>
      <c r="BL307">
        <f t="shared" si="303"/>
        <v>2.263501830471002</v>
      </c>
      <c r="BM307" s="43">
        <f t="shared" si="304"/>
        <v>78.679979289843331</v>
      </c>
    </row>
    <row r="308" spans="14:65" x14ac:dyDescent="0.25">
      <c r="N308" s="9">
        <v>90</v>
      </c>
      <c r="O308" s="34">
        <f t="shared" si="305"/>
        <v>7943.2823472428154</v>
      </c>
      <c r="P308" s="33" t="str">
        <f t="shared" si="257"/>
        <v>66,7780509511648</v>
      </c>
      <c r="Q308" s="4" t="str">
        <f t="shared" si="258"/>
        <v>1+194,516277788682i</v>
      </c>
      <c r="R308" s="4">
        <f t="shared" si="270"/>
        <v>194.51884825066108</v>
      </c>
      <c r="S308" s="4">
        <f t="shared" si="271"/>
        <v>1.565655414159246</v>
      </c>
      <c r="T308" s="4" t="str">
        <f t="shared" si="259"/>
        <v>1+0,049909114934975i</v>
      </c>
      <c r="U308" s="4">
        <f t="shared" si="272"/>
        <v>1.0012446852561028</v>
      </c>
      <c r="V308" s="4">
        <f t="shared" si="273"/>
        <v>4.9867736892264272E-2</v>
      </c>
      <c r="W308" t="str">
        <f t="shared" si="260"/>
        <v>1-0,108570886224662i</v>
      </c>
      <c r="X308" s="4">
        <f t="shared" si="274"/>
        <v>1.0058765517376416</v>
      </c>
      <c r="Y308" s="4">
        <f t="shared" si="275"/>
        <v>-0.10814728012443421</v>
      </c>
      <c r="Z308" t="str">
        <f t="shared" si="261"/>
        <v>0,999936904265552+0,0213396449371505i</v>
      </c>
      <c r="AA308" s="4">
        <f t="shared" si="276"/>
        <v>1.0001645829353385</v>
      </c>
      <c r="AB308" s="4">
        <f t="shared" si="277"/>
        <v>2.1337752515488192E-2</v>
      </c>
      <c r="AC308" s="47" t="str">
        <f t="shared" si="278"/>
        <v>-0,0257218678998254-0,344730662244671i</v>
      </c>
      <c r="AD308" s="20">
        <f t="shared" si="279"/>
        <v>-9.2262902748135431</v>
      </c>
      <c r="AE308" s="43">
        <f t="shared" si="280"/>
        <v>-94.267182425717408</v>
      </c>
      <c r="AF308" t="str">
        <f t="shared" si="262"/>
        <v>223,849857273222</v>
      </c>
      <c r="AG308" t="str">
        <f t="shared" si="263"/>
        <v>1+197,015364728124i</v>
      </c>
      <c r="AH308">
        <f t="shared" si="281"/>
        <v>197.01790258490658</v>
      </c>
      <c r="AI308">
        <f t="shared" si="282"/>
        <v>1.5657206241268364</v>
      </c>
      <c r="AJ308" t="str">
        <f t="shared" si="264"/>
        <v>1+0,049909114934975i</v>
      </c>
      <c r="AK308">
        <f t="shared" si="283"/>
        <v>1.0012446852561028</v>
      </c>
      <c r="AL308">
        <f t="shared" si="284"/>
        <v>4.9867736892264272E-2</v>
      </c>
      <c r="AM308" t="str">
        <f t="shared" si="265"/>
        <v>1-0,0328045590107988i</v>
      </c>
      <c r="AN308">
        <f t="shared" si="285"/>
        <v>1.0005379248643667</v>
      </c>
      <c r="AO308">
        <f t="shared" si="286"/>
        <v>-3.2792799180212225E-2</v>
      </c>
      <c r="AP308" s="41" t="str">
        <f t="shared" si="287"/>
        <v>0,0252101645558238-1,13793736247296i</v>
      </c>
      <c r="AQ308">
        <f t="shared" si="288"/>
        <v>1.1244981852641365</v>
      </c>
      <c r="AR308" s="43">
        <f t="shared" si="289"/>
        <v>-88.730861792707515</v>
      </c>
      <c r="AS308" t="str">
        <f t="shared" si="266"/>
        <v>-0,0000166666666666667</v>
      </c>
      <c r="AT308" t="str">
        <f t="shared" si="267"/>
        <v>0,00005005884227978i</v>
      </c>
      <c r="AU308">
        <f t="shared" si="290"/>
        <v>5.0058842279780001E-5</v>
      </c>
      <c r="AV308">
        <f t="shared" si="291"/>
        <v>1.5707963267948966</v>
      </c>
      <c r="AW308" t="str">
        <f t="shared" si="268"/>
        <v>1+0,0328414913829347i</v>
      </c>
      <c r="AX308">
        <f t="shared" si="292"/>
        <v>1.000539136444075</v>
      </c>
      <c r="AY308">
        <f t="shared" si="293"/>
        <v>3.2829691806037245E-2</v>
      </c>
      <c r="AZ308" t="str">
        <f t="shared" si="269"/>
        <v>1+10,9800052856945i</v>
      </c>
      <c r="BA308">
        <f t="shared" si="294"/>
        <v>11.025448565653878</v>
      </c>
      <c r="BB308">
        <f t="shared" si="295"/>
        <v>1.479972252497916</v>
      </c>
      <c r="BC308" s="41" t="str">
        <f t="shared" si="296"/>
        <v>-3,64083839653762+0,452512075407209i</v>
      </c>
      <c r="BD308">
        <f t="shared" si="297"/>
        <v>11.290602698692386</v>
      </c>
      <c r="BE308" s="43">
        <f t="shared" si="298"/>
        <v>172.91516108139922</v>
      </c>
      <c r="BF308" s="41" t="str">
        <f t="shared" si="299"/>
        <v>0,24964395170919+1,24346917573754i</v>
      </c>
      <c r="BG308" s="20">
        <f t="shared" si="300"/>
        <v>2.064312423878842</v>
      </c>
      <c r="BH308" s="43">
        <f t="shared" si="301"/>
        <v>78.64797865568184</v>
      </c>
      <c r="BI308" s="41" t="str">
        <f t="shared" si="306"/>
        <v>0,42314426247817+4,15445394603081i</v>
      </c>
      <c r="BJ308" s="20">
        <f t="shared" si="302"/>
        <v>12.415100883956514</v>
      </c>
      <c r="BK308" s="43">
        <f t="shared" si="307"/>
        <v>84.184299288691719</v>
      </c>
      <c r="BL308">
        <f t="shared" si="303"/>
        <v>2.064312423878842</v>
      </c>
      <c r="BM308" s="43">
        <f t="shared" si="304"/>
        <v>78.64797865568184</v>
      </c>
    </row>
    <row r="309" spans="14:65" x14ac:dyDescent="0.25">
      <c r="N309" s="9">
        <v>91</v>
      </c>
      <c r="O309" s="34">
        <f t="shared" si="305"/>
        <v>8128.3051616410066</v>
      </c>
      <c r="P309" s="33" t="str">
        <f t="shared" si="257"/>
        <v>66,7780509511648</v>
      </c>
      <c r="Q309" s="4" t="str">
        <f t="shared" si="258"/>
        <v>1+199,047143945695i</v>
      </c>
      <c r="R309" s="4">
        <f t="shared" si="270"/>
        <v>199.04965589756299</v>
      </c>
      <c r="S309" s="4">
        <f t="shared" si="271"/>
        <v>1.5657724336256928</v>
      </c>
      <c r="T309" s="4" t="str">
        <f t="shared" si="259"/>
        <v>1+0,0510716475638948i</v>
      </c>
      <c r="U309" s="4">
        <f t="shared" si="272"/>
        <v>1.0013033072875024</v>
      </c>
      <c r="V309" s="4">
        <f t="shared" si="273"/>
        <v>5.1027313308575149E-2</v>
      </c>
      <c r="W309" t="str">
        <f t="shared" si="260"/>
        <v>1-0,111099827039408i</v>
      </c>
      <c r="X309" s="4">
        <f t="shared" si="274"/>
        <v>1.0061526581827365</v>
      </c>
      <c r="Y309" s="4">
        <f t="shared" si="275"/>
        <v>-0.11064607469901866</v>
      </c>
      <c r="Z309" t="str">
        <f t="shared" si="261"/>
        <v>0,999933930655199+0,0218367091219457i</v>
      </c>
      <c r="AA309" s="4">
        <f t="shared" si="276"/>
        <v>1.0001723389200647</v>
      </c>
      <c r="AB309" s="4">
        <f t="shared" si="277"/>
        <v>2.183468137361359E-2</v>
      </c>
      <c r="AC309" s="47" t="str">
        <f t="shared" si="278"/>
        <v>-0,0258027144330007-0,336943669213372i</v>
      </c>
      <c r="AD309" s="20">
        <f t="shared" si="279"/>
        <v>-9.4234600366242809</v>
      </c>
      <c r="AE309" s="43">
        <f t="shared" si="280"/>
        <v>-94.379090621870887</v>
      </c>
      <c r="AF309" t="str">
        <f t="shared" si="262"/>
        <v>223,849857273222</v>
      </c>
      <c r="AG309" t="str">
        <f t="shared" si="263"/>
        <v>1+201,604442097926i</v>
      </c>
      <c r="AH309">
        <f t="shared" si="281"/>
        <v>201.6069221867543</v>
      </c>
      <c r="AI309">
        <f t="shared" si="282"/>
        <v>1.565836159308043</v>
      </c>
      <c r="AJ309" t="str">
        <f t="shared" si="264"/>
        <v>1+0,0510716475638948i</v>
      </c>
      <c r="AK309">
        <f t="shared" si="283"/>
        <v>1.0013033072875024</v>
      </c>
      <c r="AL309">
        <f t="shared" si="284"/>
        <v>5.1027313308575149E-2</v>
      </c>
      <c r="AM309" t="str">
        <f t="shared" si="265"/>
        <v>1-0,033568675350611i</v>
      </c>
      <c r="AN309">
        <f t="shared" si="285"/>
        <v>1.0005632693462192</v>
      </c>
      <c r="AO309">
        <f t="shared" si="286"/>
        <v>-3.3556074848202222E-2</v>
      </c>
      <c r="AP309" s="41" t="str">
        <f t="shared" si="287"/>
        <v>0,0249506384265715-1,11212170817528i</v>
      </c>
      <c r="AQ309">
        <f t="shared" si="288"/>
        <v>0.92523177578628724</v>
      </c>
      <c r="AR309" s="43">
        <f t="shared" si="289"/>
        <v>-88.71477511067927</v>
      </c>
      <c r="AS309" t="str">
        <f t="shared" si="266"/>
        <v>-0,0000166666666666667</v>
      </c>
      <c r="AT309" t="str">
        <f t="shared" si="267"/>
        <v>0,0000512248625065865i</v>
      </c>
      <c r="AU309">
        <f t="shared" si="290"/>
        <v>5.12248625065865E-5</v>
      </c>
      <c r="AV309">
        <f t="shared" si="291"/>
        <v>1.5707963267948966</v>
      </c>
      <c r="AW309" t="str">
        <f t="shared" si="268"/>
        <v>1+0,0336064679882059i</v>
      </c>
      <c r="AX309">
        <f t="shared" si="292"/>
        <v>1.000564537993748</v>
      </c>
      <c r="AY309">
        <f t="shared" si="293"/>
        <v>3.3593824899017681E-2</v>
      </c>
      <c r="AZ309" t="str">
        <f t="shared" si="269"/>
        <v>1+11,2357624640568i</v>
      </c>
      <c r="BA309">
        <f t="shared" si="294"/>
        <v>11.28017544848961</v>
      </c>
      <c r="BB309">
        <f t="shared" si="295"/>
        <v>1.482028692370511</v>
      </c>
      <c r="BC309" s="41" t="str">
        <f t="shared" si="296"/>
        <v>-3,64065353737076+0,447712345054948i</v>
      </c>
      <c r="BD309">
        <f t="shared" si="297"/>
        <v>11.288773925373587</v>
      </c>
      <c r="BE309" s="43">
        <f t="shared" si="298"/>
        <v>172.98920480570732</v>
      </c>
      <c r="BF309" s="41" t="str">
        <f t="shared" si="299"/>
        <v>0,244792583869209+1,21514296742876i</v>
      </c>
      <c r="BG309" s="20">
        <f t="shared" si="300"/>
        <v>1.8653138887492784</v>
      </c>
      <c r="BH309" s="43">
        <f t="shared" si="301"/>
        <v>78.610114183836373</v>
      </c>
      <c r="BI309" s="41" t="str">
        <f t="shared" si="306"/>
        <v>0,407073987906313+4,06002053969572i</v>
      </c>
      <c r="BJ309" s="20">
        <f t="shared" si="302"/>
        <v>12.214005701159866</v>
      </c>
      <c r="BK309" s="43">
        <f t="shared" si="307"/>
        <v>84.274429695028019</v>
      </c>
      <c r="BL309">
        <f t="shared" si="303"/>
        <v>1.8653138887492784</v>
      </c>
      <c r="BM309" s="43">
        <f t="shared" si="304"/>
        <v>78.610114183836373</v>
      </c>
    </row>
    <row r="310" spans="14:65" x14ac:dyDescent="0.25">
      <c r="N310" s="9">
        <v>92</v>
      </c>
      <c r="O310" s="34">
        <f t="shared" si="305"/>
        <v>8317.6377110267094</v>
      </c>
      <c r="P310" s="33" t="str">
        <f t="shared" si="257"/>
        <v>66,7780509511648</v>
      </c>
      <c r="Q310" s="4" t="str">
        <f t="shared" si="258"/>
        <v>1+203,683547533128i</v>
      </c>
      <c r="R310" s="4">
        <f t="shared" si="270"/>
        <v>203.68600230668778</v>
      </c>
      <c r="S310" s="4">
        <f t="shared" si="271"/>
        <v>1.5658867895368334</v>
      </c>
      <c r="T310" s="4" t="str">
        <f t="shared" si="259"/>
        <v>1+0,0522612590563659i</v>
      </c>
      <c r="U310" s="4">
        <f t="shared" si="272"/>
        <v>1.0013646884118477</v>
      </c>
      <c r="V310" s="4">
        <f t="shared" si="273"/>
        <v>5.2213757541807654E-2</v>
      </c>
      <c r="W310" t="str">
        <f t="shared" si="260"/>
        <v>1-0,11368767445303i</v>
      </c>
      <c r="X310" s="4">
        <f t="shared" si="274"/>
        <v>1.0064416959379903</v>
      </c>
      <c r="Y310" s="4">
        <f t="shared" si="275"/>
        <v>-0.1132016379745501</v>
      </c>
      <c r="Z310" t="str">
        <f t="shared" si="261"/>
        <v>0,999930816902908+0,0223453514189602i</v>
      </c>
      <c r="AA310" s="4">
        <f t="shared" si="276"/>
        <v>1.0001804603781028</v>
      </c>
      <c r="AB310" s="4">
        <f t="shared" si="277"/>
        <v>2.2343178667686311E-2</v>
      </c>
      <c r="AC310" s="47" t="str">
        <f t="shared" si="278"/>
        <v>-0,0258800499257808-0,329335289754405i</v>
      </c>
      <c r="AD310" s="20">
        <f t="shared" si="279"/>
        <v>-9.6204983538646811</v>
      </c>
      <c r="AE310" s="43">
        <f t="shared" si="280"/>
        <v>-94.49322222456054</v>
      </c>
      <c r="AF310" t="str">
        <f t="shared" si="262"/>
        <v>223,849857273222</v>
      </c>
      <c r="AG310" t="str">
        <f t="shared" si="263"/>
        <v>1+206,300412811479i</v>
      </c>
      <c r="AH310">
        <f t="shared" si="281"/>
        <v>206.30283644726421</v>
      </c>
      <c r="AI310">
        <f t="shared" si="282"/>
        <v>1.5659490647154053</v>
      </c>
      <c r="AJ310" t="str">
        <f t="shared" si="264"/>
        <v>1+0,0522612590563659i</v>
      </c>
      <c r="AK310">
        <f t="shared" si="283"/>
        <v>1.0013646884118477</v>
      </c>
      <c r="AL310">
        <f t="shared" si="284"/>
        <v>5.2213757541807654E-2</v>
      </c>
      <c r="AM310" t="str">
        <f t="shared" si="265"/>
        <v>1-0,0343505902464279i</v>
      </c>
      <c r="AN310">
        <f t="shared" si="285"/>
        <v>1.0005898075886432</v>
      </c>
      <c r="AO310">
        <f t="shared" si="286"/>
        <v>-3.4337088994644605E-2</v>
      </c>
      <c r="AP310" s="41" t="str">
        <f t="shared" si="287"/>
        <v>0,0247027923354332-1,08689559962353i</v>
      </c>
      <c r="AQ310">
        <f t="shared" si="288"/>
        <v>0.72599939964265447</v>
      </c>
      <c r="AR310" s="43">
        <f t="shared" si="289"/>
        <v>-88.698014681144628</v>
      </c>
      <c r="AS310" t="str">
        <f t="shared" si="266"/>
        <v>-0,0000166666666666667</v>
      </c>
      <c r="AT310" t="str">
        <f t="shared" si="267"/>
        <v>0,000052418042833535i</v>
      </c>
      <c r="AU310">
        <f t="shared" si="290"/>
        <v>5.2418042833535003E-5</v>
      </c>
      <c r="AV310">
        <f t="shared" si="291"/>
        <v>1.5707963267948966</v>
      </c>
      <c r="AW310" t="str">
        <f t="shared" si="268"/>
        <v>1+0,0343892631876386i</v>
      </c>
      <c r="AX310">
        <f t="shared" si="292"/>
        <v>1.0005911359904147</v>
      </c>
      <c r="AY310">
        <f t="shared" si="293"/>
        <v>3.4375716305722268E-2</v>
      </c>
      <c r="AZ310" t="str">
        <f t="shared" si="269"/>
        <v>1+11,4974769924005i</v>
      </c>
      <c r="BA310">
        <f t="shared" si="294"/>
        <v>11.540882860109916</v>
      </c>
      <c r="BB310">
        <f t="shared" si="295"/>
        <v>1.4840390496041469</v>
      </c>
      <c r="BC310" s="41" t="str">
        <f t="shared" si="296"/>
        <v>-3,64045998617861+0,443149412682058i</v>
      </c>
      <c r="BD310">
        <f t="shared" si="297"/>
        <v>11.28700659904165</v>
      </c>
      <c r="BE310" s="43">
        <f t="shared" si="298"/>
        <v>173.05959071286648</v>
      </c>
      <c r="BF310" s="41" t="str">
        <f t="shared" si="299"/>
        <v>0,24016002642525+1,18746321546266i</v>
      </c>
      <c r="BG310" s="20">
        <f t="shared" si="300"/>
        <v>1.6665082451769835</v>
      </c>
      <c r="BH310" s="43">
        <f t="shared" si="301"/>
        <v>78.566368488305969</v>
      </c>
      <c r="BI310" s="41" t="str">
        <f t="shared" si="306"/>
        <v>0,391727619575856+3,96774696749812i</v>
      </c>
      <c r="BJ310" s="20">
        <f t="shared" si="302"/>
        <v>12.013005998684294</v>
      </c>
      <c r="BK310" s="43">
        <f t="shared" si="307"/>
        <v>84.361576031721867</v>
      </c>
      <c r="BL310">
        <f t="shared" si="303"/>
        <v>1.6665082451769835</v>
      </c>
      <c r="BM310" s="43">
        <f t="shared" si="304"/>
        <v>78.566368488305969</v>
      </c>
    </row>
    <row r="311" spans="14:65" x14ac:dyDescent="0.25">
      <c r="N311" s="9">
        <v>93</v>
      </c>
      <c r="O311" s="34">
        <f t="shared" si="305"/>
        <v>8511.3803820237772</v>
      </c>
      <c r="P311" s="33" t="str">
        <f t="shared" si="257"/>
        <v>66,7780509511648</v>
      </c>
      <c r="Q311" s="4" t="str">
        <f t="shared" si="258"/>
        <v>1+208,427946833534i</v>
      </c>
      <c r="R311" s="4">
        <f t="shared" si="270"/>
        <v>208.43034573027623</v>
      </c>
      <c r="S311" s="4">
        <f t="shared" si="271"/>
        <v>1.5659985425137151</v>
      </c>
      <c r="T311" s="4" t="str">
        <f t="shared" si="259"/>
        <v>1+0,0534785801601484i</v>
      </c>
      <c r="U311" s="4">
        <f t="shared" si="272"/>
        <v>1.001428958307051</v>
      </c>
      <c r="V311" s="4">
        <f t="shared" si="273"/>
        <v>5.3427685292032366E-2</v>
      </c>
      <c r="W311" t="str">
        <f t="shared" si="260"/>
        <v>1-0,116335800576481i</v>
      </c>
      <c r="X311" s="4">
        <f t="shared" si="274"/>
        <v>1.0067442666813509</v>
      </c>
      <c r="Y311" s="4">
        <f t="shared" si="275"/>
        <v>-0.11581519135105967</v>
      </c>
      <c r="Z311" t="str">
        <f t="shared" si="261"/>
        <v>0,999927556403992+0,0228658415170728i</v>
      </c>
      <c r="AA311" s="4">
        <f t="shared" si="276"/>
        <v>1.0001889645283746</v>
      </c>
      <c r="AB311" s="4">
        <f t="shared" si="277"/>
        <v>2.2863513394812986E-2</v>
      </c>
      <c r="AC311" s="47" t="str">
        <f t="shared" si="278"/>
        <v>-0,0259540383866892-0,321901492026212i</v>
      </c>
      <c r="AD311" s="20">
        <f t="shared" si="279"/>
        <v>-9.8173991498301341</v>
      </c>
      <c r="AE311" s="43">
        <f t="shared" si="280"/>
        <v>-94.609630823566803</v>
      </c>
      <c r="AF311" t="str">
        <f t="shared" si="262"/>
        <v>223,849857273222</v>
      </c>
      <c r="AG311" t="str">
        <f t="shared" si="263"/>
        <v>1+211,105766734613i</v>
      </c>
      <c r="AH311">
        <f t="shared" si="281"/>
        <v>211.10813520233856</v>
      </c>
      <c r="AI311">
        <f t="shared" si="282"/>
        <v>1.5660594002013435</v>
      </c>
      <c r="AJ311" t="str">
        <f t="shared" si="264"/>
        <v>1+0,0534785801601484i</v>
      </c>
      <c r="AK311">
        <f t="shared" si="283"/>
        <v>1.001428958307051</v>
      </c>
      <c r="AL311">
        <f t="shared" si="284"/>
        <v>5.3427685292032366E-2</v>
      </c>
      <c r="AM311" t="str">
        <f t="shared" si="265"/>
        <v>1-0,0351507182798773i</v>
      </c>
      <c r="AN311">
        <f t="shared" si="285"/>
        <v>1.0006175957855186</v>
      </c>
      <c r="AO311">
        <f t="shared" si="286"/>
        <v>-3.5136251910156568E-2</v>
      </c>
      <c r="AP311" s="41" t="str">
        <f t="shared" si="287"/>
        <v>0,0244661006435311-1,06224566933682i</v>
      </c>
      <c r="AQ311">
        <f t="shared" si="288"/>
        <v>0.52680267436515038</v>
      </c>
      <c r="AR311" s="43">
        <f t="shared" si="289"/>
        <v>-88.680572164299932</v>
      </c>
      <c r="AS311" t="str">
        <f t="shared" si="266"/>
        <v>-0,0000166666666666667</v>
      </c>
      <c r="AT311" t="str">
        <f t="shared" si="267"/>
        <v>0,0000536390159006288i</v>
      </c>
      <c r="AU311">
        <f t="shared" si="290"/>
        <v>5.3639015900628801E-5</v>
      </c>
      <c r="AV311">
        <f t="shared" si="291"/>
        <v>1.5707963267948966</v>
      </c>
      <c r="AW311" t="str">
        <f t="shared" si="268"/>
        <v>1+0,0351902920296091i</v>
      </c>
      <c r="AX311">
        <f t="shared" si="292"/>
        <v>1.0006189867542636</v>
      </c>
      <c r="AY311">
        <f t="shared" si="293"/>
        <v>3.5175776769038589E-2</v>
      </c>
      <c r="AZ311" t="str">
        <f t="shared" si="269"/>
        <v>1+11,7652876352326i</v>
      </c>
      <c r="BA311">
        <f t="shared" si="294"/>
        <v>11.807709055517799</v>
      </c>
      <c r="BB311">
        <f t="shared" si="295"/>
        <v>1.4860043250813582</v>
      </c>
      <c r="BC311" s="41" t="str">
        <f t="shared" si="296"/>
        <v>-3,64025733525612+0,438820817220346i</v>
      </c>
      <c r="BD311">
        <f t="shared" si="297"/>
        <v>11.285297047444542</v>
      </c>
      <c r="BE311" s="43">
        <f t="shared" si="298"/>
        <v>173.12635261538796</v>
      </c>
      <c r="BF311" s="41" t="str">
        <f t="shared" si="299"/>
        <v>0,235736454412055+1,16041509524329i</v>
      </c>
      <c r="BG311" s="20">
        <f t="shared" si="300"/>
        <v>1.4678978976143899</v>
      </c>
      <c r="BH311" s="43">
        <f t="shared" si="301"/>
        <v>78.516721791821155</v>
      </c>
      <c r="BI311" s="41" t="str">
        <f t="shared" si="306"/>
        <v>0,377072610374428+3,877583823926i</v>
      </c>
      <c r="BJ311" s="20">
        <f t="shared" si="302"/>
        <v>11.812099721809702</v>
      </c>
      <c r="BK311" s="43">
        <f t="shared" si="307"/>
        <v>84.445780451088069</v>
      </c>
      <c r="BL311">
        <f t="shared" si="303"/>
        <v>1.4678978976143899</v>
      </c>
      <c r="BM311" s="43">
        <f t="shared" si="304"/>
        <v>78.516721791821155</v>
      </c>
    </row>
    <row r="312" spans="14:65" x14ac:dyDescent="0.25">
      <c r="N312" s="9">
        <v>94</v>
      </c>
      <c r="O312" s="34">
        <f t="shared" si="305"/>
        <v>8709.6358995608189</v>
      </c>
      <c r="P312" s="33" t="str">
        <f t="shared" si="257"/>
        <v>66,7780509511648</v>
      </c>
      <c r="Q312" s="4" t="str">
        <f t="shared" si="258"/>
        <v>1+213,282857390221i</v>
      </c>
      <c r="R312" s="4">
        <f t="shared" si="270"/>
        <v>213.28520168201393</v>
      </c>
      <c r="S312" s="4">
        <f t="shared" si="271"/>
        <v>1.5661077517980735</v>
      </c>
      <c r="T312" s="4" t="str">
        <f t="shared" si="259"/>
        <v>1+0,0547242563150044i</v>
      </c>
      <c r="U312" s="4">
        <f t="shared" si="272"/>
        <v>1.0014962527285014</v>
      </c>
      <c r="V312" s="4">
        <f t="shared" si="273"/>
        <v>5.4669725880742946E-2</v>
      </c>
      <c r="W312" t="str">
        <f t="shared" si="260"/>
        <v>1-0,119045609481285i</v>
      </c>
      <c r="X312" s="4">
        <f t="shared" si="274"/>
        <v>1.0070609997099336</v>
      </c>
      <c r="Y312" s="4">
        <f t="shared" si="275"/>
        <v>-0.11848797767359363</v>
      </c>
      <c r="Z312" t="str">
        <f t="shared" si="261"/>
        <v>0,999924142242497+0,0233984553870229i</v>
      </c>
      <c r="AA312" s="4">
        <f t="shared" si="276"/>
        <v>1.0001978694007962</v>
      </c>
      <c r="AB312" s="4">
        <f t="shared" si="277"/>
        <v>2.3395960784518409E-2</v>
      </c>
      <c r="AC312" s="47" t="str">
        <f t="shared" si="278"/>
        <v>-0,0260248367262099-0,314638336580026i</v>
      </c>
      <c r="AD312" s="20">
        <f t="shared" si="279"/>
        <v>-10.014156075592604</v>
      </c>
      <c r="AE312" s="43">
        <f t="shared" si="280"/>
        <v>-94.728370734991501</v>
      </c>
      <c r="AF312" t="str">
        <f t="shared" si="262"/>
        <v>223,849857273222</v>
      </c>
      <c r="AG312" t="str">
        <f t="shared" si="263"/>
        <v>1+216,023051729585i</v>
      </c>
      <c r="AH312">
        <f t="shared" si="281"/>
        <v>216.0253662849874</v>
      </c>
      <c r="AI312">
        <f t="shared" si="282"/>
        <v>1.5661672242564411</v>
      </c>
      <c r="AJ312" t="str">
        <f t="shared" si="264"/>
        <v>1+0,0547242563150044i</v>
      </c>
      <c r="AK312">
        <f t="shared" si="283"/>
        <v>1.0014962527285014</v>
      </c>
      <c r="AL312">
        <f t="shared" si="284"/>
        <v>5.4669725880742946E-2</v>
      </c>
      <c r="AM312" t="str">
        <f t="shared" si="265"/>
        <v>1-0,0359694836894334i</v>
      </c>
      <c r="AN312">
        <f t="shared" si="285"/>
        <v>1.0006466927726712</v>
      </c>
      <c r="AO312">
        <f t="shared" si="286"/>
        <v>-3.5953983236005446E-2</v>
      </c>
      <c r="AP312" s="41" t="str">
        <f t="shared" si="287"/>
        <v>0,0242400613652842-1,0381588548153i</v>
      </c>
      <c r="AQ312">
        <f t="shared" si="288"/>
        <v>0.32764329207712284</v>
      </c>
      <c r="AR312" s="43">
        <f t="shared" si="289"/>
        <v>-88.662438897616724</v>
      </c>
      <c r="AS312" t="str">
        <f t="shared" si="266"/>
        <v>-0,0000166666666666667</v>
      </c>
      <c r="AT312" t="str">
        <f t="shared" si="267"/>
        <v>0,0000548884290839494i</v>
      </c>
      <c r="AU312">
        <f t="shared" si="290"/>
        <v>5.4888429083949402E-5</v>
      </c>
      <c r="AV312">
        <f t="shared" si="291"/>
        <v>1.5707963267948966</v>
      </c>
      <c r="AW312" t="str">
        <f t="shared" si="268"/>
        <v>1+0,0360099792302123i</v>
      </c>
      <c r="AX312">
        <f t="shared" si="292"/>
        <v>1.0006481492533528</v>
      </c>
      <c r="AY312">
        <f t="shared" si="293"/>
        <v>3.5994426392345E-2</v>
      </c>
      <c r="AZ312" t="str">
        <f t="shared" si="269"/>
        <v>1+12,039336389301i</v>
      </c>
      <c r="BA312">
        <f t="shared" si="294"/>
        <v>12.0807955323624</v>
      </c>
      <c r="BB312">
        <f t="shared" si="295"/>
        <v>1.4879255000595162</v>
      </c>
      <c r="BC312" s="41" t="str">
        <f t="shared" si="296"/>
        <v>-3,64004515787016+0,434724218877054i</v>
      </c>
      <c r="BD312">
        <f t="shared" si="297"/>
        <v>11.283641714524208</v>
      </c>
      <c r="BE312" s="43">
        <f t="shared" si="298"/>
        <v>173.18952266502711</v>
      </c>
      <c r="BF312" s="41" t="str">
        <f t="shared" si="299"/>
        <v>0,231512486008129+1,13398412673124i</v>
      </c>
      <c r="BG312" s="20">
        <f t="shared" si="300"/>
        <v>1.2694856389316003</v>
      </c>
      <c r="BH312" s="43">
        <f t="shared" si="301"/>
        <v>78.461151930035626</v>
      </c>
      <c r="BI312" s="41" t="str">
        <f t="shared" si="306"/>
        <v>0,3630778792307+3,78948285431302i</v>
      </c>
      <c r="BJ312" s="20">
        <f t="shared" si="302"/>
        <v>11.611285006601337</v>
      </c>
      <c r="BK312" s="43">
        <f t="shared" si="307"/>
        <v>84.527083767410403</v>
      </c>
      <c r="BL312">
        <f t="shared" si="303"/>
        <v>1.2694856389316003</v>
      </c>
      <c r="BM312" s="43">
        <f t="shared" si="304"/>
        <v>78.461151930035626</v>
      </c>
    </row>
    <row r="313" spans="14:65" x14ac:dyDescent="0.25">
      <c r="N313" s="9">
        <v>95</v>
      </c>
      <c r="O313" s="34">
        <f t="shared" si="305"/>
        <v>8912.5093813374679</v>
      </c>
      <c r="P313" s="33" t="str">
        <f t="shared" si="257"/>
        <v>66,7780509511648</v>
      </c>
      <c r="Q313" s="4" t="str">
        <f t="shared" si="258"/>
        <v>1+218,250853341029i</v>
      </c>
      <c r="R313" s="4">
        <f t="shared" si="270"/>
        <v>218.25314427079246</v>
      </c>
      <c r="S313" s="4">
        <f t="shared" si="271"/>
        <v>1.5662144752836913</v>
      </c>
      <c r="T313" s="4" t="str">
        <f t="shared" si="259"/>
        <v>1+0,0559989479949198i</v>
      </c>
      <c r="U313" s="4">
        <f t="shared" si="272"/>
        <v>1.0015667137922155</v>
      </c>
      <c r="V313" s="4">
        <f t="shared" si="273"/>
        <v>5.5940522517193503E-2</v>
      </c>
      <c r="W313" t="str">
        <f t="shared" si="260"/>
        <v>1-0,12181853794399i</v>
      </c>
      <c r="X313" s="4">
        <f t="shared" si="274"/>
        <v>1.0073925531722039</v>
      </c>
      <c r="Y313" s="4">
        <f t="shared" si="275"/>
        <v>-0.12122126125601868</v>
      </c>
      <c r="Z313" t="str">
        <f t="shared" si="261"/>
        <v>0,999920567176528+0,0239434754277344i</v>
      </c>
      <c r="AA313" s="4">
        <f t="shared" si="276"/>
        <v>1.0002071938744432</v>
      </c>
      <c r="AB313" s="4">
        <f t="shared" si="277"/>
        <v>2.3940802441537457E-2</v>
      </c>
      <c r="AC313" s="47" t="str">
        <f t="shared" si="278"/>
        <v>-0,0260925950893686-0,307541974280905i</v>
      </c>
      <c r="AD313" s="20">
        <f t="shared" si="279"/>
        <v>-10.210762498363295</v>
      </c>
      <c r="AE313" s="43">
        <f t="shared" si="280"/>
        <v>-94.849496997339742</v>
      </c>
      <c r="AF313" t="str">
        <f t="shared" si="262"/>
        <v>223,849857273222</v>
      </c>
      <c r="AG313" t="str">
        <f t="shared" si="263"/>
        <v>1+221,054875005987i</v>
      </c>
      <c r="AH313">
        <f t="shared" si="281"/>
        <v>221.05713687622148</v>
      </c>
      <c r="AI313">
        <f t="shared" si="282"/>
        <v>1.5662725940404048</v>
      </c>
      <c r="AJ313" t="str">
        <f t="shared" si="264"/>
        <v>1+0,0559989479949198i</v>
      </c>
      <c r="AK313">
        <f t="shared" si="283"/>
        <v>1.0015667137922155</v>
      </c>
      <c r="AL313">
        <f t="shared" si="284"/>
        <v>5.5940522517193503E-2</v>
      </c>
      <c r="AM313" t="str">
        <f t="shared" si="265"/>
        <v>1-0,0368073205953541i</v>
      </c>
      <c r="AN313">
        <f t="shared" si="285"/>
        <v>1.000677160151769</v>
      </c>
      <c r="AO313">
        <f t="shared" si="286"/>
        <v>-3.6790712167231523E-2</v>
      </c>
      <c r="AP313" s="41" t="str">
        <f t="shared" si="287"/>
        <v>0,024024195104218-1,01462239164872i</v>
      </c>
      <c r="AQ313">
        <f t="shared" si="288"/>
        <v>0.12852302298395851</v>
      </c>
      <c r="AR313" s="43">
        <f t="shared" si="289"/>
        <v>-88.643605893993765</v>
      </c>
      <c r="AS313" t="str">
        <f t="shared" si="266"/>
        <v>-0,0000166666666666667</v>
      </c>
      <c r="AT313" t="str">
        <f t="shared" si="267"/>
        <v>0,0000561669448389046i</v>
      </c>
      <c r="AU313">
        <f t="shared" si="290"/>
        <v>5.6166944838904602E-5</v>
      </c>
      <c r="AV313">
        <f t="shared" si="291"/>
        <v>1.5707963267948966</v>
      </c>
      <c r="AW313" t="str">
        <f t="shared" si="268"/>
        <v>1+0,0368487593984517i</v>
      </c>
      <c r="AX313">
        <f t="shared" si="292"/>
        <v>1.0006786852277834</v>
      </c>
      <c r="AY313">
        <f t="shared" si="293"/>
        <v>3.6832094842812885E-2</v>
      </c>
      <c r="AZ313" t="str">
        <f t="shared" si="269"/>
        <v>1+12,3197685588823i</v>
      </c>
      <c r="BA313">
        <f t="shared" si="294"/>
        <v>12.360287106067757</v>
      </c>
      <c r="BB313">
        <f t="shared" si="295"/>
        <v>1.4898035364123583</v>
      </c>
      <c r="BC313" s="41" t="str">
        <f t="shared" si="296"/>
        <v>-3,63982300738051+0,430857397683094i</v>
      </c>
      <c r="BD313">
        <f t="shared" si="297"/>
        <v>11.28203715345445</v>
      </c>
      <c r="BE313" s="43">
        <f t="shared" si="298"/>
        <v>173.24913135497408</v>
      </c>
      <c r="BF313" s="41" t="str">
        <f t="shared" si="299"/>
        <v>0,227479162645539+1,10815616610386i</v>
      </c>
      <c r="BG313" s="20">
        <f t="shared" si="300"/>
        <v>1.0712746550911607</v>
      </c>
      <c r="BH313" s="43">
        <f t="shared" si="301"/>
        <v>78.399634357634355</v>
      </c>
      <c r="BI313" s="41" t="str">
        <f t="shared" si="306"/>
        <v>0,349713745222634+3,70339692711048i</v>
      </c>
      <c r="BJ313" s="20">
        <f t="shared" si="302"/>
        <v>11.410560176438398</v>
      </c>
      <c r="BK313" s="43">
        <f t="shared" si="307"/>
        <v>84.605525460980303</v>
      </c>
      <c r="BL313">
        <f t="shared" si="303"/>
        <v>1.0712746550911607</v>
      </c>
      <c r="BM313" s="43">
        <f t="shared" si="304"/>
        <v>78.399634357634355</v>
      </c>
    </row>
    <row r="314" spans="14:65" x14ac:dyDescent="0.25">
      <c r="N314" s="9">
        <v>96</v>
      </c>
      <c r="O314" s="34">
        <f t="shared" si="305"/>
        <v>9120.1083935591087</v>
      </c>
      <c r="P314" s="33" t="str">
        <f t="shared" si="257"/>
        <v>66,7780509511648</v>
      </c>
      <c r="Q314" s="4" t="str">
        <f t="shared" si="258"/>
        <v>1+223,334568783169i</v>
      </c>
      <c r="R314" s="4">
        <f t="shared" si="270"/>
        <v>223.33680756553326</v>
      </c>
      <c r="S314" s="4">
        <f t="shared" si="271"/>
        <v>1.5663187695470426</v>
      </c>
      <c r="T314" s="4" t="str">
        <f t="shared" si="259"/>
        <v>1+0,0573033310582958i</v>
      </c>
      <c r="U314" s="4">
        <f t="shared" si="272"/>
        <v>1.0016404902710236</v>
      </c>
      <c r="V314" s="4">
        <f t="shared" si="273"/>
        <v>5.7240732567361355E-2</v>
      </c>
      <c r="W314" t="str">
        <f t="shared" si="260"/>
        <v>1-0,124656056207972i</v>
      </c>
      <c r="X314" s="4">
        <f t="shared" si="274"/>
        <v>1.0077396153517659</v>
      </c>
      <c r="Y314" s="4">
        <f t="shared" si="275"/>
        <v>-0.12401632787435195</v>
      </c>
      <c r="Z314" t="str">
        <f t="shared" si="261"/>
        <v>0,99991682362289+0,024501190616047i</v>
      </c>
      <c r="AA314" s="4">
        <f t="shared" si="276"/>
        <v>1.0002169577175211</v>
      </c>
      <c r="AB314" s="4">
        <f t="shared" si="277"/>
        <v>2.4498326491762118E-2</v>
      </c>
      <c r="AC314" s="47" t="str">
        <f t="shared" si="278"/>
        <v>-0,0261574571739764-0,300608644275871i</v>
      </c>
      <c r="AD314" s="20">
        <f t="shared" si="279"/>
        <v>-10.407211489422611</v>
      </c>
      <c r="AE314" s="43">
        <f t="shared" si="280"/>
        <v>-94.9730653658454</v>
      </c>
      <c r="AF314" t="str">
        <f t="shared" si="262"/>
        <v>223,849857273222</v>
      </c>
      <c r="AG314" t="str">
        <f t="shared" si="263"/>
        <v>1+226,203904503125i</v>
      </c>
      <c r="AH314">
        <f t="shared" si="281"/>
        <v>226.20611488741611</v>
      </c>
      <c r="AI314">
        <f t="shared" si="282"/>
        <v>1.5663755654123246</v>
      </c>
      <c r="AJ314" t="str">
        <f t="shared" si="264"/>
        <v>1+0,0573033310582958i</v>
      </c>
      <c r="AK314">
        <f t="shared" si="283"/>
        <v>1.0016404902710236</v>
      </c>
      <c r="AL314">
        <f t="shared" si="284"/>
        <v>5.7240732567361355E-2</v>
      </c>
      <c r="AM314" t="str">
        <f t="shared" si="265"/>
        <v>1-0,0376646732298569i</v>
      </c>
      <c r="AN314">
        <f t="shared" si="285"/>
        <v>1.0007090624199981</v>
      </c>
      <c r="AO314">
        <f t="shared" si="286"/>
        <v>-3.7646877659459677E-2</v>
      </c>
      <c r="AP314" s="41" t="str">
        <f t="shared" si="287"/>
        <v>0,0238180440366359-0,991623806780725i</v>
      </c>
      <c r="AQ314">
        <f t="shared" si="288"/>
        <v>-7.0556280980280633E-2</v>
      </c>
      <c r="AR314" s="43">
        <f t="shared" si="289"/>
        <v>-88.624063839929747</v>
      </c>
      <c r="AS314" t="str">
        <f t="shared" si="266"/>
        <v>-0,0000166666666666667</v>
      </c>
      <c r="AT314" t="str">
        <f t="shared" si="267"/>
        <v>0,0000574752410514707i</v>
      </c>
      <c r="AU314">
        <f t="shared" si="290"/>
        <v>5.7475241051470703E-5</v>
      </c>
      <c r="AV314">
        <f t="shared" si="291"/>
        <v>1.5707963267948966</v>
      </c>
      <c r="AW314" t="str">
        <f t="shared" si="268"/>
        <v>1+0,0377070772666752i</v>
      </c>
      <c r="AX314">
        <f t="shared" si="292"/>
        <v>1.0007106593196633</v>
      </c>
      <c r="AY314">
        <f t="shared" si="293"/>
        <v>3.7689221558399613E-2</v>
      </c>
      <c r="AZ314" t="str">
        <f t="shared" si="269"/>
        <v>1+12,6067328328251i</v>
      </c>
      <c r="BA314">
        <f t="shared" si="294"/>
        <v>12.646331986715769</v>
      </c>
      <c r="BB314">
        <f t="shared" si="295"/>
        <v>1.4916393768791292</v>
      </c>
      <c r="BC314" s="41" t="str">
        <f t="shared" si="296"/>
        <v>-3,63959041632151+0,427218252089946i</v>
      </c>
      <c r="BD314">
        <f t="shared" si="297"/>
        <v>11.280480019864187</v>
      </c>
      <c r="BE314" s="43">
        <f t="shared" si="298"/>
        <v>173.30520752226832</v>
      </c>
      <c r="BF314" s="41" t="str">
        <f t="shared" si="299"/>
        <v>0,223627930016411+1,08291739763688i</v>
      </c>
      <c r="BG314" s="20">
        <f t="shared" si="300"/>
        <v>0.87326853044159369</v>
      </c>
      <c r="BH314" s="43">
        <f t="shared" si="301"/>
        <v>78.332142156422933</v>
      </c>
      <c r="BI314" s="41" t="str">
        <f t="shared" si="306"/>
        <v>0,336951864652376+3,61928000689691i</v>
      </c>
      <c r="BJ314" s="20">
        <f t="shared" si="302"/>
        <v>11.209923738883905</v>
      </c>
      <c r="BK314" s="43">
        <f t="shared" si="307"/>
        <v>84.681143682338572</v>
      </c>
      <c r="BL314">
        <f t="shared" si="303"/>
        <v>0.87326853044159369</v>
      </c>
      <c r="BM314" s="43">
        <f t="shared" si="304"/>
        <v>78.332142156422933</v>
      </c>
    </row>
    <row r="315" spans="14:65" x14ac:dyDescent="0.25">
      <c r="N315" s="9">
        <v>97</v>
      </c>
      <c r="O315" s="34">
        <f t="shared" si="305"/>
        <v>9332.5430079699217</v>
      </c>
      <c r="P315" s="33" t="str">
        <f t="shared" si="257"/>
        <v>66,7780509511648</v>
      </c>
      <c r="Q315" s="4" t="str">
        <f t="shared" si="258"/>
        <v>1+228,536699169861i</v>
      </c>
      <c r="R315" s="4">
        <f t="shared" si="270"/>
        <v>228.53888699181053</v>
      </c>
      <c r="S315" s="4">
        <f t="shared" si="271"/>
        <v>1.5664206898772457</v>
      </c>
      <c r="T315" s="4" t="str">
        <f t="shared" si="259"/>
        <v>1+0,0586380971062982i</v>
      </c>
      <c r="U315" s="4">
        <f t="shared" si="272"/>
        <v>1.0017177379043698</v>
      </c>
      <c r="V315" s="4">
        <f t="shared" si="273"/>
        <v>5.8571027825350876E-2</v>
      </c>
      <c r="W315" t="str">
        <f t="shared" si="260"/>
        <v>1-0,127559668762974i</v>
      </c>
      <c r="X315" s="4">
        <f t="shared" si="274"/>
        <v>1.0081029060046001</v>
      </c>
      <c r="Y315" s="4">
        <f t="shared" si="275"/>
        <v>-0.12687448472701288</v>
      </c>
      <c r="Z315" t="str">
        <f t="shared" si="261"/>
        <v>0,999912903641004+0,0250718966599359i</v>
      </c>
      <c r="AA315" s="4">
        <f t="shared" si="276"/>
        <v>1.0002271816292088</v>
      </c>
      <c r="AB315" s="4">
        <f t="shared" si="277"/>
        <v>2.5068827731406822E-2</v>
      </c>
      <c r="AC315" s="47" t="str">
        <f t="shared" si="278"/>
        <v>-0,0262195605352043-0,293834672008126i</v>
      </c>
      <c r="AD315" s="20">
        <f t="shared" si="279"/>
        <v>-10.603495811606994</v>
      </c>
      <c r="AE315" s="43">
        <f t="shared" si="280"/>
        <v>-95.09913230490605</v>
      </c>
      <c r="AF315" t="str">
        <f t="shared" si="262"/>
        <v>223,849857273222</v>
      </c>
      <c r="AG315" t="str">
        <f t="shared" si="263"/>
        <v>1+231,472870304593i</v>
      </c>
      <c r="AH315">
        <f t="shared" si="281"/>
        <v>231.47503037486987</v>
      </c>
      <c r="AI315">
        <f t="shared" si="282"/>
        <v>1.5664761929602449</v>
      </c>
      <c r="AJ315" t="str">
        <f t="shared" si="264"/>
        <v>1+0,0586380971062982i</v>
      </c>
      <c r="AK315">
        <f t="shared" si="283"/>
        <v>1.0017177379043698</v>
      </c>
      <c r="AL315">
        <f t="shared" si="284"/>
        <v>5.8571027825350876E-2</v>
      </c>
      <c r="AM315" t="str">
        <f t="shared" si="265"/>
        <v>1-0,0385419961726571i</v>
      </c>
      <c r="AN315">
        <f t="shared" si="285"/>
        <v>1.000742467105785</v>
      </c>
      <c r="AO315">
        <f t="shared" si="286"/>
        <v>-3.8522928639413666E-2</v>
      </c>
      <c r="AP315" s="41" t="str">
        <f t="shared" si="287"/>
        <v>0,0236211709410026-0,969150911925494i</v>
      </c>
      <c r="AQ315">
        <f t="shared" si="288"/>
        <v>-0.26959268234311101</v>
      </c>
      <c r="AR315" s="43">
        <f t="shared" si="289"/>
        <v>-88.603803093728928</v>
      </c>
      <c r="AS315" t="str">
        <f t="shared" si="266"/>
        <v>-0,0000166666666666667</v>
      </c>
      <c r="AT315" t="str">
        <f t="shared" si="267"/>
        <v>0,0000588140113976171i</v>
      </c>
      <c r="AU315">
        <f t="shared" si="290"/>
        <v>5.8814011397617099E-5</v>
      </c>
      <c r="AV315">
        <f t="shared" si="291"/>
        <v>1.5707963267948966</v>
      </c>
      <c r="AW315" t="str">
        <f t="shared" si="268"/>
        <v>1+0,0385853879263777i</v>
      </c>
      <c r="AX315">
        <f t="shared" si="292"/>
        <v>1.0007441392091332</v>
      </c>
      <c r="AY315">
        <f t="shared" si="293"/>
        <v>3.8566255958543329E-2</v>
      </c>
      <c r="AZ315" t="str">
        <f t="shared" si="269"/>
        <v>1+12,9003813633856i</v>
      </c>
      <c r="BA315">
        <f t="shared" si="294"/>
        <v>12.939081857720298</v>
      </c>
      <c r="BB315">
        <f t="shared" si="295"/>
        <v>1.4934339453203254</v>
      </c>
      <c r="BC315" s="41" t="str">
        <f t="shared" si="296"/>
        <v>-3,63934689544181+0,423804797613316i</v>
      </c>
      <c r="BD315">
        <f t="shared" si="297"/>
        <v>11.278967065233987</v>
      </c>
      <c r="BE315" s="43">
        <f t="shared" si="298"/>
        <v>173.35777835038022</v>
      </c>
      <c r="BF315" s="41" t="str">
        <f t="shared" si="299"/>
        <v>0,219950619935823+1,0582543257998i</v>
      </c>
      <c r="BG315" s="20">
        <f t="shared" si="300"/>
        <v>0.6754712536269627</v>
      </c>
      <c r="BH315" s="43">
        <f t="shared" si="301"/>
        <v>78.258646045474123</v>
      </c>
      <c r="BI315" s="41" t="str">
        <f t="shared" si="306"/>
        <v>0,324765170954507+3,53708712810069i</v>
      </c>
      <c r="BJ315" s="20">
        <f t="shared" si="302"/>
        <v>11.009374382890886</v>
      </c>
      <c r="BK315" s="43">
        <f t="shared" si="307"/>
        <v>84.753975256651259</v>
      </c>
      <c r="BL315">
        <f t="shared" si="303"/>
        <v>0.6754712536269627</v>
      </c>
      <c r="BM315" s="43">
        <f t="shared" si="304"/>
        <v>78.258646045474123</v>
      </c>
    </row>
    <row r="316" spans="14:65" x14ac:dyDescent="0.25">
      <c r="N316" s="9">
        <v>98</v>
      </c>
      <c r="O316" s="34">
        <f t="shared" si="305"/>
        <v>9549.9258602143691</v>
      </c>
      <c r="P316" s="33" t="str">
        <f t="shared" si="257"/>
        <v>66,7780509511648</v>
      </c>
      <c r="Q316" s="4" t="str">
        <f t="shared" si="258"/>
        <v>1+233,860002739494i</v>
      </c>
      <c r="R316" s="4">
        <f t="shared" si="270"/>
        <v>233.86214076099648</v>
      </c>
      <c r="S316" s="4">
        <f t="shared" si="271"/>
        <v>1.5665202903053344</v>
      </c>
      <c r="T316" s="4" t="str">
        <f t="shared" si="259"/>
        <v>1+0,0600039538495533i</v>
      </c>
      <c r="U316" s="4">
        <f t="shared" si="272"/>
        <v>1.0017986197223367</v>
      </c>
      <c r="V316" s="4">
        <f t="shared" si="273"/>
        <v>5.9932094787029599E-2</v>
      </c>
      <c r="W316" t="str">
        <f t="shared" si="260"/>
        <v>1-0,130530915142805i</v>
      </c>
      <c r="X316" s="4">
        <f t="shared" si="274"/>
        <v>1.0084831777516263</v>
      </c>
      <c r="Y316" s="4">
        <f t="shared" si="275"/>
        <v>-0.12979706035926952</v>
      </c>
      <c r="Z316" t="str">
        <f t="shared" si="261"/>
        <v>0,999908798916064+0,0256558961552997i</v>
      </c>
      <c r="AA316" s="4">
        <f t="shared" si="276"/>
        <v>1.000237887283469</v>
      </c>
      <c r="AB316" s="4">
        <f t="shared" si="277"/>
        <v>2.5652607779452708E-2</v>
      </c>
      <c r="AC316" s="47" t="str">
        <f t="shared" si="278"/>
        <v>-0,0262790368771354-0,287216467276338i</v>
      </c>
      <c r="AD316" s="20">
        <f t="shared" si="279"/>
        <v>-10.799607906342509</v>
      </c>
      <c r="AE316" s="43">
        <f t="shared" si="280"/>
        <v>-95.227754978487383</v>
      </c>
      <c r="AF316" t="str">
        <f t="shared" si="262"/>
        <v>223,849857273222</v>
      </c>
      <c r="AG316" t="str">
        <f t="shared" si="263"/>
        <v>1+236,864566085801i</v>
      </c>
      <c r="AH316">
        <f t="shared" si="281"/>
        <v>236.8666769873187</v>
      </c>
      <c r="AI316">
        <f t="shared" si="282"/>
        <v>1.5665745300300677</v>
      </c>
      <c r="AJ316" t="str">
        <f t="shared" si="264"/>
        <v>1+0,0600039538495533i</v>
      </c>
      <c r="AK316">
        <f t="shared" si="283"/>
        <v>1.0017986197223367</v>
      </c>
      <c r="AL316">
        <f t="shared" si="284"/>
        <v>5.9932094787029599E-2</v>
      </c>
      <c r="AM316" t="str">
        <f t="shared" si="265"/>
        <v>1-0,0394397545919917i</v>
      </c>
      <c r="AN316">
        <f t="shared" si="285"/>
        <v>1.0007774449108435</v>
      </c>
      <c r="AO316">
        <f t="shared" si="286"/>
        <v>-3.9419324219139587E-2</v>
      </c>
      <c r="AP316" s="41" t="str">
        <f t="shared" si="287"/>
        <v>0,0234331582709843-0,947191797133346i</v>
      </c>
      <c r="AQ316">
        <f t="shared" si="288"/>
        <v>-0.46858415411393767</v>
      </c>
      <c r="AR316" s="43">
        <f t="shared" si="289"/>
        <v>-88.582813683753059</v>
      </c>
      <c r="AS316" t="str">
        <f t="shared" si="266"/>
        <v>-0,0000166666666666667</v>
      </c>
      <c r="AT316" t="str">
        <f t="shared" si="267"/>
        <v>0,000060183965711102i</v>
      </c>
      <c r="AU316">
        <f t="shared" si="290"/>
        <v>6.0183965711101997E-5</v>
      </c>
      <c r="AV316">
        <f t="shared" si="291"/>
        <v>1.5707963267948966</v>
      </c>
      <c r="AW316" t="str">
        <f t="shared" si="268"/>
        <v>1+0,0394841570694967i</v>
      </c>
      <c r="AX316">
        <f t="shared" si="292"/>
        <v>1.0007791957567307</v>
      </c>
      <c r="AY316">
        <f t="shared" si="293"/>
        <v>3.9463657658567991E-2</v>
      </c>
      <c r="AZ316" t="str">
        <f t="shared" si="269"/>
        <v>1+13,2008698469017i</v>
      </c>
      <c r="BA316">
        <f t="shared" si="294"/>
        <v>13.238691956339135</v>
      </c>
      <c r="BB316">
        <f t="shared" si="295"/>
        <v>1.4951881469791566</v>
      </c>
      <c r="BC316" s="41" t="str">
        <f t="shared" si="296"/>
        <v>-3,63909193270151+0,420615165521843i</v>
      </c>
      <c r="BD316">
        <f t="shared" si="297"/>
        <v>11.277495130458268</v>
      </c>
      <c r="BE316" s="43">
        <f t="shared" si="298"/>
        <v>173.40686937190679</v>
      </c>
      <c r="BF316" s="41" t="str">
        <f t="shared" si="299"/>
        <v>0,216439433022785+1,03415376755852i</v>
      </c>
      <c r="BG316" s="20">
        <f t="shared" si="300"/>
        <v>0.47788722411577772</v>
      </c>
      <c r="BH316" s="43">
        <f t="shared" si="301"/>
        <v>78.179114393419439</v>
      </c>
      <c r="BI316" s="41" t="str">
        <f t="shared" si="306"/>
        <v>0,313127817310518+3,45677436941385i</v>
      </c>
      <c r="BJ316" s="20">
        <f t="shared" si="302"/>
        <v>10.808910976344322</v>
      </c>
      <c r="BK316" s="43">
        <f t="shared" si="307"/>
        <v>84.824055688153749</v>
      </c>
      <c r="BL316">
        <f t="shared" si="303"/>
        <v>0.47788722411577772</v>
      </c>
      <c r="BM316" s="43">
        <f t="shared" si="304"/>
        <v>78.179114393419439</v>
      </c>
    </row>
    <row r="317" spans="14:65" x14ac:dyDescent="0.25">
      <c r="N317" s="9">
        <v>99</v>
      </c>
      <c r="O317" s="34">
        <f t="shared" si="305"/>
        <v>9772.3722095581161</v>
      </c>
      <c r="P317" s="33" t="str">
        <f t="shared" si="257"/>
        <v>66,7780509511648</v>
      </c>
      <c r="Q317" s="4" t="str">
        <f t="shared" si="258"/>
        <v>1+239,307301978082i</v>
      </c>
      <c r="R317" s="4">
        <f t="shared" si="270"/>
        <v>239.30939133270331</v>
      </c>
      <c r="S317" s="4">
        <f t="shared" si="271"/>
        <v>1.5666176236328646</v>
      </c>
      <c r="T317" s="4" t="str">
        <f t="shared" si="259"/>
        <v>1+0,0614016254833857i</v>
      </c>
      <c r="U317" s="4">
        <f t="shared" si="272"/>
        <v>1.0018833063845318</v>
      </c>
      <c r="V317" s="4">
        <f t="shared" si="273"/>
        <v>6.1324634925667178E-2</v>
      </c>
      <c r="W317" t="str">
        <f t="shared" si="260"/>
        <v>1-0,133571370741626i</v>
      </c>
      <c r="X317" s="4">
        <f t="shared" si="274"/>
        <v>1.0088812175285042</v>
      </c>
      <c r="Y317" s="4">
        <f t="shared" si="275"/>
        <v>-0.13278540454898419</v>
      </c>
      <c r="Z317" t="str">
        <f t="shared" si="261"/>
        <v>0,999904500741398+0,0262534987464009i</v>
      </c>
      <c r="AA317" s="4">
        <f t="shared" si="276"/>
        <v>1.0002490973749147</v>
      </c>
      <c r="AB317" s="4">
        <f t="shared" si="277"/>
        <v>2.6249975233434475E-2</v>
      </c>
      <c r="AC317" s="47" t="str">
        <f t="shared" si="278"/>
        <v>-0,0263360123319122-0,280750522337979i</v>
      </c>
      <c r="AD317" s="20">
        <f t="shared" si="279"/>
        <v>-10.995539880216452</v>
      </c>
      <c r="AE317" s="43">
        <f t="shared" si="280"/>
        <v>-95.358991238349063</v>
      </c>
      <c r="AF317" t="str">
        <f t="shared" si="262"/>
        <v>223,849857273222</v>
      </c>
      <c r="AG317" t="str">
        <f t="shared" si="263"/>
        <v>1+242,381850595222i</v>
      </c>
      <c r="AH317">
        <f t="shared" si="281"/>
        <v>242.38391344716862</v>
      </c>
      <c r="AI317">
        <f t="shared" si="282"/>
        <v>1.566670628753797</v>
      </c>
      <c r="AJ317" t="str">
        <f t="shared" si="264"/>
        <v>1+0,0614016254833857i</v>
      </c>
      <c r="AK317">
        <f t="shared" si="283"/>
        <v>1.0018833063845318</v>
      </c>
      <c r="AL317">
        <f t="shared" si="284"/>
        <v>6.1324634925667178E-2</v>
      </c>
      <c r="AM317" t="str">
        <f t="shared" si="265"/>
        <v>1-0,0403584244912578i</v>
      </c>
      <c r="AN317">
        <f t="shared" si="285"/>
        <v>1.0008140698588408</v>
      </c>
      <c r="AO317">
        <f t="shared" si="286"/>
        <v>-4.0336533913941375E-2</v>
      </c>
      <c r="AP317" s="41" t="str">
        <f t="shared" si="287"/>
        <v>0,0232536072701836-0,925734824502066i</v>
      </c>
      <c r="AQ317">
        <f t="shared" si="288"/>
        <v>-0.66752857562682433</v>
      </c>
      <c r="AR317" s="43">
        <f t="shared" si="289"/>
        <v>-88.561085306733474</v>
      </c>
      <c r="AS317" t="str">
        <f t="shared" si="266"/>
        <v>-0,0000166666666666667</v>
      </c>
      <c r="AT317" t="str">
        <f t="shared" si="267"/>
        <v>0,0000615858303598358i</v>
      </c>
      <c r="AU317">
        <f t="shared" si="290"/>
        <v>6.1585830359835796E-5</v>
      </c>
      <c r="AV317">
        <f t="shared" si="291"/>
        <v>1.5707963267948966</v>
      </c>
      <c r="AW317" t="str">
        <f t="shared" si="268"/>
        <v>1+0,0404038612353286i</v>
      </c>
      <c r="AX317">
        <f t="shared" si="292"/>
        <v>1.0008159031523849</v>
      </c>
      <c r="AY317">
        <f t="shared" si="293"/>
        <v>4.0381896687800602E-2</v>
      </c>
      <c r="AZ317" t="str">
        <f t="shared" si="269"/>
        <v>1+13,5083576063448i</v>
      </c>
      <c r="BA317">
        <f t="shared" si="294"/>
        <v>13.545321156063205</v>
      </c>
      <c r="BB317">
        <f t="shared" si="295"/>
        <v>1.4969028687478541</v>
      </c>
      <c r="BC317" s="41" t="str">
        <f t="shared" si="296"/>
        <v>-3,63882499222372+0,417647601568848i</v>
      </c>
      <c r="BD317">
        <f t="shared" si="297"/>
        <v>11.276061139560618</v>
      </c>
      <c r="BE317" s="43">
        <f t="shared" si="298"/>
        <v>173.45250447133316</v>
      </c>
      <c r="BF317" s="41" t="str">
        <f t="shared" si="299"/>
        <v>0,213086922162532+1,01060284487799i</v>
      </c>
      <c r="BG317" s="20">
        <f t="shared" si="300"/>
        <v>0.28052125934415989</v>
      </c>
      <c r="BH317" s="43">
        <f t="shared" si="301"/>
        <v>78.093513232984108</v>
      </c>
      <c r="BI317" s="41" t="str">
        <f t="shared" si="306"/>
        <v>0,302015121847947+3,37829882887417i</v>
      </c>
      <c r="BJ317" s="20">
        <f t="shared" si="302"/>
        <v>10.608532563933789</v>
      </c>
      <c r="BK317" s="43">
        <f t="shared" si="307"/>
        <v>84.891419164599682</v>
      </c>
      <c r="BL317">
        <f t="shared" si="303"/>
        <v>0.28052125934415989</v>
      </c>
      <c r="BM317" s="43">
        <f t="shared" si="304"/>
        <v>78.093513232984108</v>
      </c>
    </row>
    <row r="318" spans="14:65" x14ac:dyDescent="0.25">
      <c r="N318" s="9">
        <v>100</v>
      </c>
      <c r="O318" s="34">
        <f t="shared" si="305"/>
        <v>10000</v>
      </c>
      <c r="P318" s="33" t="str">
        <f t="shared" si="257"/>
        <v>66,7780509511648</v>
      </c>
      <c r="Q318" s="4" t="str">
        <f t="shared" si="258"/>
        <v>1+244,881485115785i</v>
      </c>
      <c r="R318" s="4">
        <f t="shared" si="270"/>
        <v>244.88352691128989</v>
      </c>
      <c r="S318" s="4">
        <f t="shared" si="271"/>
        <v>1.5667127414598738</v>
      </c>
      <c r="T318" s="4" t="str">
        <f t="shared" si="259"/>
        <v>1+0,0628318530717959i</v>
      </c>
      <c r="U318" s="4">
        <f t="shared" si="272"/>
        <v>1.0019719765344917</v>
      </c>
      <c r="V318" s="4">
        <f t="shared" si="273"/>
        <v>6.2749364969321514E-2</v>
      </c>
      <c r="W318" t="str">
        <f t="shared" si="260"/>
        <v>1-0,13668264764924i</v>
      </c>
      <c r="X318" s="4">
        <f t="shared" si="274"/>
        <v>1.009297848094608</v>
      </c>
      <c r="Y318" s="4">
        <f t="shared" si="275"/>
        <v>-0.13584088815057624</v>
      </c>
      <c r="Z318" t="str">
        <f t="shared" si="261"/>
        <v>0,9999+0,0268650212900436i</v>
      </c>
      <c r="AA318" s="4">
        <f t="shared" si="276"/>
        <v>1.0002608356668345</v>
      </c>
      <c r="AB318" s="4">
        <f t="shared" si="277"/>
        <v>2.6861245828632436E-2</v>
      </c>
      <c r="AC318" s="47" t="str">
        <f t="shared" si="278"/>
        <v>-0,0263906077270647-0,274433410055765i</v>
      </c>
      <c r="AD318" s="20">
        <f t="shared" si="279"/>
        <v>-11.191283491077593</v>
      </c>
      <c r="AE318" s="43">
        <f t="shared" si="280"/>
        <v>-95.492899609934227</v>
      </c>
      <c r="AF318" t="str">
        <f t="shared" si="262"/>
        <v>223,849857273222</v>
      </c>
      <c r="AG318" t="str">
        <f t="shared" si="263"/>
        <v>1+248,027649170131i</v>
      </c>
      <c r="AH318">
        <f t="shared" si="281"/>
        <v>248.02966506622064</v>
      </c>
      <c r="AI318">
        <f t="shared" si="282"/>
        <v>1.5667645400771446</v>
      </c>
      <c r="AJ318" t="str">
        <f t="shared" si="264"/>
        <v>1+0,0628318530717959i</v>
      </c>
      <c r="AK318">
        <f t="shared" si="283"/>
        <v>1.0019719765344917</v>
      </c>
      <c r="AL318">
        <f t="shared" si="284"/>
        <v>6.2749364969321514E-2</v>
      </c>
      <c r="AM318" t="str">
        <f t="shared" si="265"/>
        <v>1-0,041298492961396i</v>
      </c>
      <c r="AN318">
        <f t="shared" si="285"/>
        <v>1.0008524194509809</v>
      </c>
      <c r="AO318">
        <f t="shared" si="286"/>
        <v>-4.1275037864024887E-2</v>
      </c>
      <c r="AP318" s="41" t="str">
        <f t="shared" si="287"/>
        <v>0,0230821371266946-0,904768622030744i</v>
      </c>
      <c r="AQ318">
        <f t="shared" si="288"/>
        <v>-0.8664237281979853</v>
      </c>
      <c r="AR318" s="43">
        <f t="shared" si="289"/>
        <v>-88.53860732615901</v>
      </c>
      <c r="AS318" t="str">
        <f t="shared" si="266"/>
        <v>-0,0000166666666666667</v>
      </c>
      <c r="AT318" t="str">
        <f t="shared" si="267"/>
        <v>0,0000630203486310113i</v>
      </c>
      <c r="AU318">
        <f t="shared" si="290"/>
        <v>6.3020348631011297E-5</v>
      </c>
      <c r="AV318">
        <f t="shared" si="291"/>
        <v>1.5707963267948966</v>
      </c>
      <c r="AW318" t="str">
        <f t="shared" si="268"/>
        <v>1+0,0413449880631957i</v>
      </c>
      <c r="AX318">
        <f t="shared" si="292"/>
        <v>1.0008543390713485</v>
      </c>
      <c r="AY318">
        <f t="shared" si="293"/>
        <v>4.1321453711395631E-2</v>
      </c>
      <c r="AZ318" t="str">
        <f t="shared" si="269"/>
        <v>1+13,8230076757951i</v>
      </c>
      <c r="BA318">
        <f t="shared" si="294"/>
        <v>13.8591320509291</v>
      </c>
      <c r="BB318">
        <f t="shared" si="295"/>
        <v>1.4985789794380477</v>
      </c>
      <c r="BC318" s="41" t="str">
        <f t="shared" si="296"/>
        <v>-3,63854551319966+0,414900464765263i</v>
      </c>
      <c r="BD318">
        <f t="shared" si="297"/>
        <v>11.2746620935546</v>
      </c>
      <c r="BE318" s="43">
        <f t="shared" si="298"/>
        <v>173.49470588781415</v>
      </c>
      <c r="BF318" s="41" t="str">
        <f t="shared" si="299"/>
        <v>0,209885976715176+0,987588977419089i</v>
      </c>
      <c r="BG318" s="20">
        <f t="shared" si="300"/>
        <v>8.3378602477004127E-2</v>
      </c>
      <c r="BH318" s="43">
        <f t="shared" si="301"/>
        <v>78.00180627787995</v>
      </c>
      <c r="BI318" s="41" t="str">
        <f t="shared" si="306"/>
        <v>0,291403515308188+3,30161859959544i</v>
      </c>
      <c r="BJ318" s="20">
        <f t="shared" si="302"/>
        <v>10.408238365356606</v>
      </c>
      <c r="BK318" s="43">
        <f t="shared" si="307"/>
        <v>84.956098561655139</v>
      </c>
      <c r="BL318">
        <f t="shared" si="303"/>
        <v>8.3378602477004127E-2</v>
      </c>
      <c r="BM318" s="43">
        <f t="shared" si="304"/>
        <v>78.00180627787995</v>
      </c>
    </row>
    <row r="319" spans="14:65" x14ac:dyDescent="0.25">
      <c r="N319" s="9">
        <v>1</v>
      </c>
      <c r="O319" s="34">
        <f>10^(4+(N319/100))</f>
        <v>10232.929922807549</v>
      </c>
      <c r="P319" s="33" t="str">
        <f t="shared" si="257"/>
        <v>66,7780509511648</v>
      </c>
      <c r="Q319" s="4" t="str">
        <f t="shared" si="258"/>
        <v>1+250,585507658287i</v>
      </c>
      <c r="R319" s="4">
        <f t="shared" si="270"/>
        <v>250.58750297722634</v>
      </c>
      <c r="S319" s="4">
        <f t="shared" si="271"/>
        <v>1.5668056942122046</v>
      </c>
      <c r="T319" s="4" t="str">
        <f t="shared" si="259"/>
        <v>1+0,0642953949403827i</v>
      </c>
      <c r="U319" s="4">
        <f t="shared" si="272"/>
        <v>1.0020648171702966</v>
      </c>
      <c r="V319" s="4">
        <f t="shared" si="273"/>
        <v>6.4207017179692599E-2</v>
      </c>
      <c r="W319" t="str">
        <f t="shared" si="260"/>
        <v>1-0,139866395505847i</v>
      </c>
      <c r="X319" s="4">
        <f t="shared" si="274"/>
        <v>1.0097339296031396</v>
      </c>
      <c r="Y319" s="4">
        <f t="shared" si="275"/>
        <v>-0.13896490289398142</v>
      </c>
      <c r="Z319" t="str">
        <f t="shared" si="261"/>
        <v>0,999895287145195+0,0274907880235749i</v>
      </c>
      <c r="AA319" s="4">
        <f t="shared" si="276"/>
        <v>1.0002731270414742</v>
      </c>
      <c r="AB319" s="4">
        <f t="shared" si="277"/>
        <v>2.7486742600732389E-2</v>
      </c>
      <c r="AC319" s="47" t="str">
        <f t="shared" si="278"/>
        <v>-0,0264429388415907-0,268261782086243i</v>
      </c>
      <c r="AD319" s="20">
        <f t="shared" si="279"/>
        <v>-11.386830133656796</v>
      </c>
      <c r="AE319" s="43">
        <f t="shared" si="280"/>
        <v>-95.629539275758844</v>
      </c>
      <c r="AF319" t="str">
        <f t="shared" si="262"/>
        <v>223,849857273222</v>
      </c>
      <c r="AG319" t="str">
        <f t="shared" si="263"/>
        <v>1+253,804955287665i</v>
      </c>
      <c r="AH319">
        <f t="shared" si="281"/>
        <v>253.80692529671765</v>
      </c>
      <c r="AI319">
        <f t="shared" si="282"/>
        <v>1.566856313786507</v>
      </c>
      <c r="AJ319" t="str">
        <f t="shared" si="264"/>
        <v>1+0,0642953949403827i</v>
      </c>
      <c r="AK319">
        <f t="shared" si="283"/>
        <v>1.0020648171702966</v>
      </c>
      <c r="AL319">
        <f t="shared" si="284"/>
        <v>6.4207017179692599E-2</v>
      </c>
      <c r="AM319" t="str">
        <f t="shared" si="265"/>
        <v>1-0,0422604584391526i</v>
      </c>
      <c r="AN319">
        <f t="shared" si="285"/>
        <v>1.0008925748288311</v>
      </c>
      <c r="AO319">
        <f t="shared" si="286"/>
        <v>-4.2235327059840518E-2</v>
      </c>
      <c r="AP319" s="41" t="str">
        <f t="shared" si="287"/>
        <v>0,0229183841656873-0,884282077612934i</v>
      </c>
      <c r="AQ319">
        <f t="shared" si="288"/>
        <v>-1.0652672905906271</v>
      </c>
      <c r="AR319" s="43">
        <f t="shared" si="289"/>
        <v>-88.515368770755828</v>
      </c>
      <c r="AS319" t="str">
        <f t="shared" si="266"/>
        <v>-0,0000166666666666667</v>
      </c>
      <c r="AT319" t="str">
        <f t="shared" si="267"/>
        <v>0,0000644882811252039i</v>
      </c>
      <c r="AU319">
        <f t="shared" si="290"/>
        <v>6.4488281125203896E-5</v>
      </c>
      <c r="AV319">
        <f t="shared" si="291"/>
        <v>1.5707963267948966</v>
      </c>
      <c r="AW319" t="str">
        <f t="shared" si="268"/>
        <v>1+0,0423080365509996i</v>
      </c>
      <c r="AX319">
        <f t="shared" si="292"/>
        <v>1.0008945848373847</v>
      </c>
      <c r="AY319">
        <f t="shared" si="293"/>
        <v>4.2282820255858514E-2</v>
      </c>
      <c r="AZ319" t="str">
        <f t="shared" si="269"/>
        <v>1+14,1449868868842i</v>
      </c>
      <c r="BA319">
        <f t="shared" si="294"/>
        <v>14.180291041799034</v>
      </c>
      <c r="BB319">
        <f t="shared" si="295"/>
        <v>1.5002173300544863</v>
      </c>
      <c r="BC319" s="41" t="str">
        <f t="shared" si="296"/>
        <v>-3,63825290874446+0,412372226191674i</v>
      </c>
      <c r="BD319">
        <f t="shared" si="297"/>
        <v>11.273295064438173</v>
      </c>
      <c r="BE319" s="43">
        <f t="shared" si="298"/>
        <v>173.53349421793595</v>
      </c>
      <c r="BF319" s="41" t="str">
        <f t="shared" si="299"/>
        <v>0,206829807437219+0,965099875423089i</v>
      </c>
      <c r="BG319" s="20">
        <f t="shared" si="300"/>
        <v>-0.11353506921862608</v>
      </c>
      <c r="BH319" s="43">
        <f t="shared" si="301"/>
        <v>77.903954942177108</v>
      </c>
      <c r="BI319" s="41" t="str">
        <f t="shared" si="306"/>
        <v>0,281270491072109+3,22669274612497i</v>
      </c>
      <c r="BJ319" s="20">
        <f t="shared" si="302"/>
        <v>10.208027773847538</v>
      </c>
      <c r="BK319" s="43">
        <f t="shared" si="307"/>
        <v>85.01812544718014</v>
      </c>
      <c r="BL319">
        <f t="shared" si="303"/>
        <v>-0.11353506921862608</v>
      </c>
      <c r="BM319" s="43">
        <f t="shared" si="304"/>
        <v>77.903954942177108</v>
      </c>
    </row>
    <row r="320" spans="14:65" x14ac:dyDescent="0.25">
      <c r="N320" s="9">
        <v>2</v>
      </c>
      <c r="O320" s="34">
        <f t="shared" ref="O320:O383" si="308">10^(4+(N320/100))</f>
        <v>10471.285480509003</v>
      </c>
      <c r="P320" s="33" t="str">
        <f t="shared" si="257"/>
        <v>66,7780509511648</v>
      </c>
      <c r="Q320" s="4" t="str">
        <f t="shared" si="258"/>
        <v>1+256,42239395384i</v>
      </c>
      <c r="R320" s="4">
        <f t="shared" si="270"/>
        <v>256.42434385412463</v>
      </c>
      <c r="S320" s="4">
        <f t="shared" si="271"/>
        <v>1.5668965311682079</v>
      </c>
      <c r="T320" s="4" t="str">
        <f t="shared" si="259"/>
        <v>1+0,0657930270784171i</v>
      </c>
      <c r="U320" s="4">
        <f t="shared" si="272"/>
        <v>1.002162024032113</v>
      </c>
      <c r="V320" s="4">
        <f t="shared" si="273"/>
        <v>6.5698339632133701E-2</v>
      </c>
      <c r="W320" t="str">
        <f t="shared" si="260"/>
        <v>1-0,143124302376702i</v>
      </c>
      <c r="X320" s="4">
        <f t="shared" si="274"/>
        <v>1.0101903612343655</v>
      </c>
      <c r="Y320" s="4">
        <f t="shared" si="275"/>
        <v>-0.14215886113517504</v>
      </c>
      <c r="Z320" t="str">
        <f t="shared" si="261"/>
        <v>0,999890352180386+0,0281311307367998i</v>
      </c>
      <c r="AA320" s="4">
        <f t="shared" si="276"/>
        <v>1.0002859975526734</v>
      </c>
      <c r="AB320" s="4">
        <f t="shared" si="277"/>
        <v>2.8126796052018149E-2</v>
      </c>
      <c r="AC320" s="47" t="str">
        <f t="shared" si="278"/>
        <v>-0,026493116651325-0,262232367109579i</v>
      </c>
      <c r="AD320" s="20">
        <f t="shared" si="279"/>
        <v>-11.582170824701141</v>
      </c>
      <c r="AE320" s="43">
        <f t="shared" si="280"/>
        <v>-95.768970056126577</v>
      </c>
      <c r="AF320" t="str">
        <f t="shared" si="262"/>
        <v>223,849857273222</v>
      </c>
      <c r="AG320" t="str">
        <f t="shared" si="263"/>
        <v>1+259,716832151998i</v>
      </c>
      <c r="AH320">
        <f t="shared" si="281"/>
        <v>259.71875731850622</v>
      </c>
      <c r="AI320">
        <f t="shared" si="282"/>
        <v>1.5669459985353329</v>
      </c>
      <c r="AJ320" t="str">
        <f t="shared" si="264"/>
        <v>1+0,0657930270784171i</v>
      </c>
      <c r="AK320">
        <f t="shared" si="283"/>
        <v>1.002162024032113</v>
      </c>
      <c r="AL320">
        <f t="shared" si="284"/>
        <v>6.5698339632133701E-2</v>
      </c>
      <c r="AM320" t="str">
        <f t="shared" si="265"/>
        <v>1-0,0432448309713569i</v>
      </c>
      <c r="AN320">
        <f t="shared" si="285"/>
        <v>1.0009346209447154</v>
      </c>
      <c r="AO320">
        <f t="shared" si="286"/>
        <v>-4.3217903571106976E-2</v>
      </c>
      <c r="AP320" s="41" t="str">
        <f t="shared" si="287"/>
        <v>0,0227620010783144-0,864264333166139i</v>
      </c>
      <c r="AQ320">
        <f t="shared" si="288"/>
        <v>-1.2640568342780858</v>
      </c>
      <c r="AR320" s="43">
        <f t="shared" si="289"/>
        <v>-88.491358333076519</v>
      </c>
      <c r="AS320" t="str">
        <f t="shared" si="266"/>
        <v>-0,0000166666666666667</v>
      </c>
      <c r="AT320" t="str">
        <f t="shared" si="267"/>
        <v>0,0000659904061596524i</v>
      </c>
      <c r="AU320">
        <f t="shared" si="290"/>
        <v>6.5990406159652403E-5</v>
      </c>
      <c r="AV320">
        <f t="shared" si="291"/>
        <v>1.5707963267948966</v>
      </c>
      <c r="AW320" t="str">
        <f t="shared" si="268"/>
        <v>1+0,0432935173197959i</v>
      </c>
      <c r="AX320">
        <f t="shared" si="292"/>
        <v>1.0009367255935409</v>
      </c>
      <c r="AY320">
        <f t="shared" si="293"/>
        <v>4.3266498938248625E-2</v>
      </c>
      <c r="AZ320" t="str">
        <f t="shared" si="269"/>
        <v>1+14,4744659572517i</v>
      </c>
      <c r="BA320">
        <f t="shared" si="294"/>
        <v>14.508968424655091</v>
      </c>
      <c r="BB320">
        <f t="shared" si="295"/>
        <v>1.501818754071423</v>
      </c>
      <c r="BC320" s="41" t="str">
        <f t="shared" si="296"/>
        <v>-3,63794656470234+0,410061467847419i</v>
      </c>
      <c r="BD320">
        <f t="shared" si="297"/>
        <v>11.2719571893136</v>
      </c>
      <c r="BE320" s="43">
        <f t="shared" si="298"/>
        <v>173.56888841841933</v>
      </c>
      <c r="BF320" s="41" t="str">
        <f t="shared" si="299"/>
        <v>0,203911932084003+0,943123532778161i</v>
      </c>
      <c r="BG320" s="20">
        <f t="shared" si="300"/>
        <v>-0.31021363538753977</v>
      </c>
      <c r="BH320" s="43">
        <f t="shared" si="301"/>
        <v>77.799918362292814</v>
      </c>
      <c r="BI320" s="41" t="str">
        <f t="shared" si="306"/>
        <v>0,271594557437673+3,15348128140983i</v>
      </c>
      <c r="BJ320" s="20">
        <f t="shared" si="302"/>
        <v>10.007900355035508</v>
      </c>
      <c r="BK320" s="43">
        <f t="shared" si="307"/>
        <v>85.077530085342829</v>
      </c>
      <c r="BL320">
        <f t="shared" si="303"/>
        <v>-0.31021363538753977</v>
      </c>
      <c r="BM320" s="43">
        <f t="shared" si="304"/>
        <v>77.799918362292814</v>
      </c>
    </row>
    <row r="321" spans="14:65" x14ac:dyDescent="0.25">
      <c r="N321" s="9">
        <v>3</v>
      </c>
      <c r="O321" s="34">
        <f t="shared" si="308"/>
        <v>10715.193052376071</v>
      </c>
      <c r="P321" s="33" t="str">
        <f t="shared" si="257"/>
        <v>66,7780509511648</v>
      </c>
      <c r="Q321" s="4" t="str">
        <f t="shared" si="258"/>
        <v>1+262,39523879682i</v>
      </c>
      <c r="R321" s="4">
        <f t="shared" si="270"/>
        <v>262.39714431228134</v>
      </c>
      <c r="S321" s="4">
        <f t="shared" si="271"/>
        <v>1.5669853004848404</v>
      </c>
      <c r="T321" s="4" t="str">
        <f t="shared" si="259"/>
        <v>1+0,0673255435502821i</v>
      </c>
      <c r="U321" s="4">
        <f t="shared" si="272"/>
        <v>1.0022638020074062</v>
      </c>
      <c r="V321" s="4">
        <f t="shared" si="273"/>
        <v>6.7224096496482422E-2</v>
      </c>
      <c r="W321" t="str">
        <f t="shared" si="260"/>
        <v>1-0,146458095647151i</v>
      </c>
      <c r="X321" s="4">
        <f t="shared" si="274"/>
        <v>1.0106680828939787</v>
      </c>
      <c r="Y321" s="4">
        <f t="shared" si="275"/>
        <v>-0.14542419555467057</v>
      </c>
      <c r="Z321" t="str">
        <f t="shared" si="261"/>
        <v>0,99988518463785+0,028786388947901i</v>
      </c>
      <c r="AA321" s="4">
        <f t="shared" si="276"/>
        <v>1.0002994744809812</v>
      </c>
      <c r="AB321" s="4">
        <f t="shared" si="277"/>
        <v>2.8781744321160718E-2</v>
      </c>
      <c r="AC321" s="47" t="str">
        <f t="shared" si="278"/>
        <v>-0,0265412475641176-0,256341969099648i</v>
      </c>
      <c r="AD321" s="20">
        <f t="shared" si="279"/>
        <v>-11.77729618761456</v>
      </c>
      <c r="AE321" s="43">
        <f t="shared" si="280"/>
        <v>-95.91125238698676</v>
      </c>
      <c r="AF321" t="str">
        <f t="shared" si="262"/>
        <v>223,849857273222</v>
      </c>
      <c r="AG321" t="str">
        <f t="shared" si="263"/>
        <v>1+265,766414318496i</v>
      </c>
      <c r="AH321">
        <f t="shared" si="281"/>
        <v>265.76829566317815</v>
      </c>
      <c r="AI321">
        <f t="shared" si="282"/>
        <v>1.5670336418698887</v>
      </c>
      <c r="AJ321" t="str">
        <f t="shared" si="264"/>
        <v>1+0,0673255435502821i</v>
      </c>
      <c r="AK321">
        <f t="shared" si="283"/>
        <v>1.0022638020074062</v>
      </c>
      <c r="AL321">
        <f t="shared" si="284"/>
        <v>6.7224096496482422E-2</v>
      </c>
      <c r="AM321" t="str">
        <f t="shared" si="265"/>
        <v>1-0,0442521324853552i</v>
      </c>
      <c r="AN321">
        <f t="shared" si="285"/>
        <v>1.0009786467400297</v>
      </c>
      <c r="AO321">
        <f t="shared" si="286"/>
        <v>-4.4223280779493362E-2</v>
      </c>
      <c r="AP321" s="41" t="str">
        <f t="shared" si="287"/>
        <v>0,0226126561853025-0,844704778894524i</v>
      </c>
      <c r="AQ321">
        <f t="shared" si="288"/>
        <v>-1.4627898184976542</v>
      </c>
      <c r="AR321" s="43">
        <f t="shared" si="289"/>
        <v>-88.466564368217917</v>
      </c>
      <c r="AS321" t="str">
        <f t="shared" si="266"/>
        <v>-0,0000166666666666667</v>
      </c>
      <c r="AT321" t="str">
        <f t="shared" si="267"/>
        <v>0,000067527520180933i</v>
      </c>
      <c r="AU321">
        <f t="shared" si="290"/>
        <v>6.7527520180933002E-5</v>
      </c>
      <c r="AV321">
        <f t="shared" si="291"/>
        <v>1.5707963267948966</v>
      </c>
      <c r="AW321" t="str">
        <f t="shared" si="268"/>
        <v>1+0,0443019528845326i</v>
      </c>
      <c r="AX321">
        <f t="shared" si="292"/>
        <v>1.0009808504808588</v>
      </c>
      <c r="AY321">
        <f t="shared" si="293"/>
        <v>4.427300369903929E-2</v>
      </c>
      <c r="AZ321" t="str">
        <f t="shared" si="269"/>
        <v>1+14,8116195810621i</v>
      </c>
      <c r="BA321">
        <f t="shared" si="294"/>
        <v>14.845338480954291</v>
      </c>
      <c r="BB321">
        <f t="shared" si="295"/>
        <v>1.5033840677110464</v>
      </c>
      <c r="BC321" s="41" t="str">
        <f t="shared" si="296"/>
        <v>-3,63762583839859+0,407966881534556i</v>
      </c>
      <c r="BD321">
        <f t="shared" si="297"/>
        <v>11.270645664621984</v>
      </c>
      <c r="BE321" s="43">
        <f t="shared" si="298"/>
        <v>173.60090580873086</v>
      </c>
      <c r="BF321" s="41" t="str">
        <f t="shared" si="299"/>
        <v>0,201126161662579+0,921648220262083i</v>
      </c>
      <c r="BG321" s="20">
        <f t="shared" si="300"/>
        <v>-0.50665052299257829</v>
      </c>
      <c r="BH321" s="43">
        <f t="shared" si="301"/>
        <v>77.689653421744111</v>
      </c>
      <c r="BI321" s="41" t="str">
        <f t="shared" si="306"/>
        <v>0,262355192048456+3,08194514435262i</v>
      </c>
      <c r="BJ321" s="20">
        <f t="shared" si="302"/>
        <v>9.8078558461243279</v>
      </c>
      <c r="BK321" s="43">
        <f t="shared" si="307"/>
        <v>85.134341440512969</v>
      </c>
      <c r="BL321">
        <f t="shared" si="303"/>
        <v>-0.50665052299257829</v>
      </c>
      <c r="BM321" s="43">
        <f t="shared" si="304"/>
        <v>77.689653421744111</v>
      </c>
    </row>
    <row r="322" spans="14:65" x14ac:dyDescent="0.25">
      <c r="N322" s="9">
        <v>4</v>
      </c>
      <c r="O322" s="34">
        <f t="shared" si="308"/>
        <v>10964.781961431856</v>
      </c>
      <c r="P322" s="33" t="str">
        <f t="shared" si="257"/>
        <v>66,7780509511648</v>
      </c>
      <c r="Q322" s="4" t="str">
        <f t="shared" si="258"/>
        <v>1+268,507209068621i</v>
      </c>
      <c r="R322" s="4">
        <f t="shared" si="270"/>
        <v>268.50907120955924</v>
      </c>
      <c r="S322" s="4">
        <f t="shared" si="271"/>
        <v>1.5670720492231698</v>
      </c>
      <c r="T322" s="4" t="str">
        <f t="shared" si="259"/>
        <v>1+0,0688937569164964i</v>
      </c>
      <c r="U322" s="4">
        <f t="shared" si="272"/>
        <v>1.0023703655546035</v>
      </c>
      <c r="V322" s="4">
        <f t="shared" si="273"/>
        <v>6.8785068318340331E-2</v>
      </c>
      <c r="W322" t="str">
        <f t="shared" si="260"/>
        <v>1-0,149869542938514i</v>
      </c>
      <c r="X322" s="4">
        <f t="shared" si="274"/>
        <v>1.0111680769785996</v>
      </c>
      <c r="Y322" s="4">
        <f t="shared" si="275"/>
        <v>-0.1487623588001992</v>
      </c>
      <c r="Z322" t="str">
        <f t="shared" si="261"/>
        <v>0,999879773556538+0,0294569100834552i</v>
      </c>
      <c r="AA322" s="4">
        <f t="shared" si="276"/>
        <v>1.0003135863913568</v>
      </c>
      <c r="AB322" s="4">
        <f t="shared" si="277"/>
        <v>2.9451933356666612E-2</v>
      </c>
      <c r="AC322" s="47" t="str">
        <f t="shared" si="278"/>
        <v>-0,0265874336453192-0,250587465633521i</v>
      </c>
      <c r="AD322" s="20">
        <f t="shared" si="279"/>
        <v>-11.972196436599972</v>
      </c>
      <c r="AE322" s="43">
        <f t="shared" si="280"/>
        <v>-96.0564472947447</v>
      </c>
      <c r="AF322" t="str">
        <f t="shared" si="262"/>
        <v>223,849857273222</v>
      </c>
      <c r="AG322" t="str">
        <f t="shared" si="263"/>
        <v>1+271,9569093557i</v>
      </c>
      <c r="AH322">
        <f t="shared" si="281"/>
        <v>271.95874787604168</v>
      </c>
      <c r="AI322">
        <f t="shared" si="282"/>
        <v>1.567119290254442</v>
      </c>
      <c r="AJ322" t="str">
        <f t="shared" si="264"/>
        <v>1+0,0688937569164964i</v>
      </c>
      <c r="AK322">
        <f t="shared" si="283"/>
        <v>1.0023703655546035</v>
      </c>
      <c r="AL322">
        <f t="shared" si="284"/>
        <v>6.8785068318340331E-2</v>
      </c>
      <c r="AM322" t="str">
        <f t="shared" si="265"/>
        <v>1-0,0452828970657435i</v>
      </c>
      <c r="AN322">
        <f t="shared" si="285"/>
        <v>1.0010247453318357</v>
      </c>
      <c r="AO322">
        <f t="shared" si="286"/>
        <v>-4.5251983614925752E-2</v>
      </c>
      <c r="AP322" s="41" t="str">
        <f t="shared" si="287"/>
        <v>0,0224700327336727-0,825593047681969i</v>
      </c>
      <c r="AQ322">
        <f t="shared" si="288"/>
        <v>-1.6614635850856774</v>
      </c>
      <c r="AR322" s="43">
        <f t="shared" si="289"/>
        <v>-88.440974892687038</v>
      </c>
      <c r="AS322" t="str">
        <f t="shared" si="266"/>
        <v>-0,0000166666666666667</v>
      </c>
      <c r="AT322" t="str">
        <f t="shared" si="267"/>
        <v>0,0000691004381872459i</v>
      </c>
      <c r="AU322">
        <f t="shared" si="290"/>
        <v>6.91004381872459E-5</v>
      </c>
      <c r="AV322">
        <f t="shared" si="291"/>
        <v>1.5707963267948966</v>
      </c>
      <c r="AW322" t="str">
        <f t="shared" si="268"/>
        <v>1+0,0453338779310943i</v>
      </c>
      <c r="AX322">
        <f t="shared" si="292"/>
        <v>1.0010270528253826</v>
      </c>
      <c r="AY322">
        <f t="shared" si="293"/>
        <v>4.5302860038600415E-2</v>
      </c>
      <c r="AZ322" t="str">
        <f t="shared" si="269"/>
        <v>1+15,1566265216292i</v>
      </c>
      <c r="BA322">
        <f t="shared" si="294"/>
        <v>15.189579570091915</v>
      </c>
      <c r="BB322">
        <f t="shared" si="295"/>
        <v>1.5049140702233781</v>
      </c>
      <c r="BC322" s="41" t="str">
        <f t="shared" si="296"/>
        <v>-3,63729005733612+0,406087267774449i</v>
      </c>
      <c r="BD322">
        <f t="shared" si="297"/>
        <v>11.26935774048259</v>
      </c>
      <c r="BE322" s="43">
        <f t="shared" si="298"/>
        <v>173.6295620735703</v>
      </c>
      <c r="BF322" s="41" t="str">
        <f t="shared" si="299"/>
        <v>0,198466587305844+0,900662478955701i</v>
      </c>
      <c r="BG322" s="20">
        <f t="shared" si="300"/>
        <v>-0.70283869611737948</v>
      </c>
      <c r="BH322" s="43">
        <f t="shared" si="301"/>
        <v>77.573114778825556</v>
      </c>
      <c r="BI322" s="41" t="str">
        <f t="shared" si="306"/>
        <v>0,253532798376546+3,01204617793907i</v>
      </c>
      <c r="BJ322" s="20">
        <f t="shared" si="302"/>
        <v>9.6078941553969095</v>
      </c>
      <c r="BK322" s="43">
        <f t="shared" si="307"/>
        <v>85.18858718088326</v>
      </c>
      <c r="BL322">
        <f t="shared" si="303"/>
        <v>-0.70283869611737948</v>
      </c>
      <c r="BM322" s="43">
        <f t="shared" si="304"/>
        <v>77.573114778825556</v>
      </c>
    </row>
    <row r="323" spans="14:65" x14ac:dyDescent="0.25">
      <c r="N323" s="9">
        <v>5</v>
      </c>
      <c r="O323" s="34">
        <f t="shared" si="308"/>
        <v>11220.184543019639</v>
      </c>
      <c r="P323" s="33" t="str">
        <f t="shared" si="257"/>
        <v>66,7780509511648</v>
      </c>
      <c r="Q323" s="4" t="str">
        <f t="shared" si="258"/>
        <v>1+274,761545416783i</v>
      </c>
      <c r="R323" s="4">
        <f t="shared" si="270"/>
        <v>274.76336517050248</v>
      </c>
      <c r="S323" s="4">
        <f t="shared" si="271"/>
        <v>1.5671568233732993</v>
      </c>
      <c r="T323" s="4" t="str">
        <f t="shared" si="259"/>
        <v>1+0,0704984986645445i</v>
      </c>
      <c r="U323" s="4">
        <f t="shared" si="272"/>
        <v>1.0024819391460151</v>
      </c>
      <c r="V323" s="4">
        <f t="shared" si="273"/>
        <v>7.0382052300395292E-2</v>
      </c>
      <c r="W323" t="str">
        <f t="shared" si="260"/>
        <v>1-0,153360453045301i</v>
      </c>
      <c r="X323" s="4">
        <f t="shared" si="274"/>
        <v>1.0116913702104313</v>
      </c>
      <c r="Y323" s="4">
        <f t="shared" si="275"/>
        <v>-0.15217482306959082</v>
      </c>
      <c r="Z323" t="str">
        <f t="shared" si="261"/>
        <v>0,999874107458821+0,030143049662644i</v>
      </c>
      <c r="AA323" s="4">
        <f t="shared" si="276"/>
        <v>1.000328363193576</v>
      </c>
      <c r="AB323" s="4">
        <f t="shared" si="277"/>
        <v>3.0137717094052635E-2</v>
      </c>
      <c r="AC323" s="47" t="str">
        <f t="shared" si="278"/>
        <v>-0,0266317728340485-0,24496580623947i</v>
      </c>
      <c r="AD323" s="20">
        <f t="shared" si="279"/>
        <v>-12.166861360298693</v>
      </c>
      <c r="AE323" s="43">
        <f t="shared" si="280"/>
        <v>-96.204616367823462</v>
      </c>
      <c r="AF323" t="str">
        <f t="shared" si="262"/>
        <v>223,849857273222</v>
      </c>
      <c r="AG323" t="str">
        <f t="shared" si="263"/>
        <v>1+278,291599546021i</v>
      </c>
      <c r="AH323">
        <f t="shared" si="281"/>
        <v>278.29339621680379</v>
      </c>
      <c r="AI323">
        <f t="shared" si="282"/>
        <v>1.5672029890958703</v>
      </c>
      <c r="AJ323" t="str">
        <f t="shared" si="264"/>
        <v>1+0,0704984986645445i</v>
      </c>
      <c r="AK323">
        <f t="shared" si="283"/>
        <v>1.0024819391460151</v>
      </c>
      <c r="AL323">
        <f t="shared" si="284"/>
        <v>7.0382052300395292E-2</v>
      </c>
      <c r="AM323" t="str">
        <f t="shared" si="265"/>
        <v>1-0,0463376712375461i</v>
      </c>
      <c r="AN323">
        <f t="shared" si="285"/>
        <v>1.0010730142081141</v>
      </c>
      <c r="AO323">
        <f t="shared" si="286"/>
        <v>-4.630454879547715E-2</v>
      </c>
      <c r="AP323" s="41" t="str">
        <f t="shared" si="287"/>
        <v>0,0223338282250998-0,806919009612565i</v>
      </c>
      <c r="AQ323">
        <f t="shared" si="288"/>
        <v>-1.8600753530849472</v>
      </c>
      <c r="AR323" s="43">
        <f t="shared" si="289"/>
        <v>-88.414577583437293</v>
      </c>
      <c r="AS323" t="str">
        <f t="shared" si="266"/>
        <v>-0,0000166666666666667</v>
      </c>
      <c r="AT323" t="str">
        <f t="shared" si="267"/>
        <v>0,0000707099941605381i</v>
      </c>
      <c r="AU323">
        <f t="shared" si="290"/>
        <v>7.0709994160538103E-5</v>
      </c>
      <c r="AV323">
        <f t="shared" si="291"/>
        <v>1.5707963267948966</v>
      </c>
      <c r="AW323" t="str">
        <f t="shared" si="268"/>
        <v>1+0,0463898395998i</v>
      </c>
      <c r="AX323">
        <f t="shared" si="292"/>
        <v>1.0010754303338461</v>
      </c>
      <c r="AY323">
        <f t="shared" si="293"/>
        <v>4.6356605257262748E-2</v>
      </c>
      <c r="AZ323" t="str">
        <f t="shared" si="269"/>
        <v>1+15,5096697061998i</v>
      </c>
      <c r="BA323">
        <f t="shared" si="294"/>
        <v>15.541874224024971</v>
      </c>
      <c r="BB323">
        <f t="shared" si="295"/>
        <v>1.506409544167121</v>
      </c>
      <c r="BC323" s="41" t="str">
        <f t="shared" si="296"/>
        <v>-3,63693851783482+0,404421534754649i</v>
      </c>
      <c r="BD323">
        <f t="shared" si="297"/>
        <v>11.268090715128574</v>
      </c>
      <c r="BE323" s="43">
        <f t="shared" si="298"/>
        <v>173.65487126520711</v>
      </c>
      <c r="BF323" s="41" t="str">
        <f t="shared" si="299"/>
        <v>0,195927567740154+0,880155113822007i</v>
      </c>
      <c r="BG323" s="20">
        <f t="shared" si="300"/>
        <v>-0.89877064517011807</v>
      </c>
      <c r="BH323" s="43">
        <f t="shared" si="301"/>
        <v>77.450254897383644</v>
      </c>
      <c r="BI323" s="41" t="str">
        <f t="shared" si="306"/>
        <v>0,245108664167643+2,9437471079208i</v>
      </c>
      <c r="BJ323" s="20">
        <f t="shared" si="302"/>
        <v>9.4080153620436153</v>
      </c>
      <c r="BK323" s="43">
        <f t="shared" si="307"/>
        <v>85.240293681769799</v>
      </c>
      <c r="BL323">
        <f t="shared" si="303"/>
        <v>-0.89877064517011807</v>
      </c>
      <c r="BM323" s="43">
        <f t="shared" si="304"/>
        <v>77.450254897383644</v>
      </c>
    </row>
    <row r="324" spans="14:65" x14ac:dyDescent="0.25">
      <c r="N324" s="9">
        <v>6</v>
      </c>
      <c r="O324" s="34">
        <f t="shared" si="308"/>
        <v>11481.536214968832</v>
      </c>
      <c r="P324" s="33" t="str">
        <f t="shared" si="257"/>
        <v>66,7780509511648</v>
      </c>
      <c r="Q324" s="4" t="str">
        <f t="shared" si="258"/>
        <v>1+281,161563973224i</v>
      </c>
      <c r="R324" s="4">
        <f t="shared" si="270"/>
        <v>281.16334230455675</v>
      </c>
      <c r="S324" s="4">
        <f t="shared" si="271"/>
        <v>1.5672396678787295</v>
      </c>
      <c r="T324" s="4" t="str">
        <f t="shared" si="259"/>
        <v>1+0,0721406196497425i</v>
      </c>
      <c r="U324" s="4">
        <f t="shared" si="272"/>
        <v>1.0025987577308526</v>
      </c>
      <c r="V324" s="4">
        <f t="shared" si="273"/>
        <v>7.2015862583345081E-2</v>
      </c>
      <c r="W324" t="str">
        <f t="shared" si="260"/>
        <v>1-0,156932676894258i</v>
      </c>
      <c r="X324" s="4">
        <f t="shared" si="274"/>
        <v>1.0122390355430864</v>
      </c>
      <c r="Y324" s="4">
        <f t="shared" si="275"/>
        <v>-0.15566307962968062</v>
      </c>
      <c r="Z324" t="str">
        <f t="shared" si="261"/>
        <v>0,999868174326144+0,0308451714857544i</v>
      </c>
      <c r="AA324" s="4">
        <f t="shared" si="276"/>
        <v>1.0003438362054728</v>
      </c>
      <c r="AB324" s="4">
        <f t="shared" si="277"/>
        <v>3.0839457636808475E-2</v>
      </c>
      <c r="AC324" s="47" t="str">
        <f t="shared" si="278"/>
        <v>-0,0266743591506991-0,239474010782652i</v>
      </c>
      <c r="AD324" s="20">
        <f t="shared" si="279"/>
        <v>-12.361280304923731</v>
      </c>
      <c r="AE324" s="43">
        <f t="shared" si="280"/>
        <v>-96.355821724767452</v>
      </c>
      <c r="AF324" t="str">
        <f t="shared" si="262"/>
        <v>223,849857273222</v>
      </c>
      <c r="AG324" t="str">
        <f t="shared" si="263"/>
        <v>1+284,773843626045i</v>
      </c>
      <c r="AH324">
        <f t="shared" si="281"/>
        <v>284.77559939986276</v>
      </c>
      <c r="AI324">
        <f t="shared" si="282"/>
        <v>1.5672847827677143</v>
      </c>
      <c r="AJ324" t="str">
        <f t="shared" si="264"/>
        <v>1+0,0721406196497425i</v>
      </c>
      <c r="AK324">
        <f t="shared" si="283"/>
        <v>1.0025987577308526</v>
      </c>
      <c r="AL324">
        <f t="shared" si="284"/>
        <v>7.2015862583345081E-2</v>
      </c>
      <c r="AM324" t="str">
        <f t="shared" si="265"/>
        <v>1-0,0474170142559904i</v>
      </c>
      <c r="AN324">
        <f t="shared" si="285"/>
        <v>1.0011235554320719</v>
      </c>
      <c r="AO324">
        <f t="shared" si="286"/>
        <v>-4.7381525070790104E-2</v>
      </c>
      <c r="AP324" s="41" t="str">
        <f t="shared" si="287"/>
        <v>0,0222037537744857-0,788672766615724i</v>
      </c>
      <c r="AQ324">
        <f t="shared" si="288"/>
        <v>-2.0586222131150524</v>
      </c>
      <c r="AR324" s="43">
        <f t="shared" si="289"/>
        <v>-88.387359777097885</v>
      </c>
      <c r="AS324" t="str">
        <f t="shared" si="266"/>
        <v>-0,0000166666666666667</v>
      </c>
      <c r="AT324" t="str">
        <f t="shared" si="267"/>
        <v>0,0000723570415086917i</v>
      </c>
      <c r="AU324">
        <f t="shared" si="290"/>
        <v>7.2357041508691705E-5</v>
      </c>
      <c r="AV324">
        <f t="shared" si="291"/>
        <v>1.5707963267948966</v>
      </c>
      <c r="AW324" t="str">
        <f t="shared" si="268"/>
        <v>1+0,0474703977755035i</v>
      </c>
      <c r="AX324">
        <f t="shared" si="292"/>
        <v>1.0011260852984327</v>
      </c>
      <c r="AY324">
        <f t="shared" si="293"/>
        <v>4.7434788698910997E-2</v>
      </c>
      <c r="AZ324" t="str">
        <f t="shared" si="269"/>
        <v>1+15,8709363229433i</v>
      </c>
      <c r="BA324">
        <f t="shared" si="294"/>
        <v>15.902409244102637</v>
      </c>
      <c r="BB324">
        <f t="shared" si="295"/>
        <v>1.5078712556909522</v>
      </c>
      <c r="BC324" s="41" t="str">
        <f t="shared" si="296"/>
        <v>-3,63657048361071+0,402968697303553i</v>
      </c>
      <c r="BD324">
        <f t="shared" si="297"/>
        <v>11.266841929427811</v>
      </c>
      <c r="BE324" s="43">
        <f t="shared" si="298"/>
        <v>173.67684580564094</v>
      </c>
      <c r="BF324" s="41" t="str">
        <f t="shared" si="299"/>
        <v>0,193503717319806+0,860115187445701i</v>
      </c>
      <c r="BG324" s="20">
        <f t="shared" si="300"/>
        <v>-1.0944383754959195</v>
      </c>
      <c r="BH324" s="43">
        <f t="shared" si="301"/>
        <v>77.321024080873485</v>
      </c>
      <c r="BI324" s="41" t="str">
        <f t="shared" si="306"/>
        <v>0,237064921760273+2,87701152203609i</v>
      </c>
      <c r="BJ324" s="20">
        <f t="shared" si="302"/>
        <v>9.2082197163127475</v>
      </c>
      <c r="BK324" s="43">
        <f t="shared" si="307"/>
        <v>85.289486028543052</v>
      </c>
      <c r="BL324">
        <f t="shared" si="303"/>
        <v>-1.0944383754959195</v>
      </c>
      <c r="BM324" s="43">
        <f t="shared" si="304"/>
        <v>77.321024080873485</v>
      </c>
    </row>
    <row r="325" spans="14:65" x14ac:dyDescent="0.25">
      <c r="N325" s="9">
        <v>7</v>
      </c>
      <c r="O325" s="34">
        <f t="shared" si="308"/>
        <v>11748.975549395318</v>
      </c>
      <c r="P325" s="33" t="str">
        <f t="shared" si="257"/>
        <v>66,7780509511648</v>
      </c>
      <c r="Q325" s="4" t="str">
        <f t="shared" si="258"/>
        <v>1+287,710658112498i</v>
      </c>
      <c r="R325" s="4">
        <f t="shared" si="270"/>
        <v>287.71239596431485</v>
      </c>
      <c r="S325" s="4">
        <f t="shared" si="271"/>
        <v>1.5673206266601618</v>
      </c>
      <c r="T325" s="4" t="str">
        <f t="shared" si="259"/>
        <v>1+0,0738209905463729i</v>
      </c>
      <c r="U325" s="4">
        <f t="shared" si="272"/>
        <v>1.0027210672192182</v>
      </c>
      <c r="V325" s="4">
        <f t="shared" si="273"/>
        <v>7.3687330525940425E-2</v>
      </c>
      <c r="W325" t="str">
        <f t="shared" si="260"/>
        <v>1-0,160588108525754i</v>
      </c>
      <c r="X325" s="4">
        <f t="shared" si="274"/>
        <v>1.0128121941405916</v>
      </c>
      <c r="Y325" s="4">
        <f t="shared" si="275"/>
        <v>-0.15922863826686875</v>
      </c>
      <c r="Z325" t="str">
        <f t="shared" si="261"/>
        <v>0,99986196157354+0,0315636478270707i</v>
      </c>
      <c r="AA325" s="4">
        <f t="shared" si="276"/>
        <v>1.0003600382191595</v>
      </c>
      <c r="AB325" s="4">
        <f t="shared" si="277"/>
        <v>3.1557525441213076E-2</v>
      </c>
      <c r="AC325" s="47" t="str">
        <f t="shared" si="278"/>
        <v>-0,0267152828961241-0,234109167887599i</v>
      </c>
      <c r="AD325" s="20">
        <f t="shared" si="279"/>
        <v>-12.5554421568867</v>
      </c>
      <c r="AE325" s="43">
        <f t="shared" si="280"/>
        <v>-96.510125978669834</v>
      </c>
      <c r="AF325" t="str">
        <f t="shared" si="262"/>
        <v>223,849857273222</v>
      </c>
      <c r="AG325" t="str">
        <f t="shared" si="263"/>
        <v>1+291,407078567387i</v>
      </c>
      <c r="AH325">
        <f t="shared" si="281"/>
        <v>291.40879437515139</v>
      </c>
      <c r="AI325">
        <f t="shared" si="282"/>
        <v>1.5673647146336807</v>
      </c>
      <c r="AJ325" t="str">
        <f t="shared" si="264"/>
        <v>1+0,0738209905463729i</v>
      </c>
      <c r="AK325">
        <f t="shared" si="283"/>
        <v>1.0027210672192182</v>
      </c>
      <c r="AL325">
        <f t="shared" si="284"/>
        <v>7.3687330525940425E-2</v>
      </c>
      <c r="AM325" t="str">
        <f t="shared" si="265"/>
        <v>1-0,0485214984030316i</v>
      </c>
      <c r="AN325">
        <f t="shared" si="285"/>
        <v>1.0011764758559178</v>
      </c>
      <c r="AO325">
        <f t="shared" si="286"/>
        <v>-4.8483473468970271E-2</v>
      </c>
      <c r="AP325" s="41" t="str">
        <f t="shared" si="287"/>
        <v>0,0220795334973896-0,77084464723311i</v>
      </c>
      <c r="AQ325">
        <f t="shared" si="288"/>
        <v>-2.2571011214962424</v>
      </c>
      <c r="AR325" s="43">
        <f t="shared" si="289"/>
        <v>-88.359308469421151</v>
      </c>
      <c r="AS325" t="str">
        <f t="shared" si="266"/>
        <v>-0,0000166666666666667</v>
      </c>
      <c r="AT325" t="str">
        <f t="shared" si="267"/>
        <v>0,000074042453518012i</v>
      </c>
      <c r="AU325">
        <f t="shared" si="290"/>
        <v>7.4042453518011997E-5</v>
      </c>
      <c r="AV325">
        <f t="shared" si="291"/>
        <v>1.5707963267948966</v>
      </c>
      <c r="AW325" t="str">
        <f t="shared" si="268"/>
        <v>1+0,0485761253844527i</v>
      </c>
      <c r="AX325">
        <f t="shared" si="292"/>
        <v>1.0011791248110231</v>
      </c>
      <c r="AY325">
        <f t="shared" si="293"/>
        <v>4.8537971998045971E-2</v>
      </c>
      <c r="AZ325" t="str">
        <f t="shared" si="269"/>
        <v>1+16,240617920202i</v>
      </c>
      <c r="BA325">
        <f t="shared" si="294"/>
        <v>16.27137580015858</v>
      </c>
      <c r="BB325">
        <f t="shared" si="295"/>
        <v>1.5092999548148343</v>
      </c>
      <c r="BC325" s="41" t="str">
        <f t="shared" si="296"/>
        <v>-3,63618518429309+0,401727875890351i</v>
      </c>
      <c r="BD325">
        <f t="shared" si="297"/>
        <v>11.265608761480848</v>
      </c>
      <c r="BE325" s="43">
        <f t="shared" si="298"/>
        <v>173.69549648856361</v>
      </c>
      <c r="BF325" s="41" t="str">
        <f t="shared" si="299"/>
        <v>0,191189894603028+0,840532013928401i</v>
      </c>
      <c r="BG325" s="20">
        <f t="shared" si="300"/>
        <v>-1.2898333954058572</v>
      </c>
      <c r="BH325" s="43">
        <f t="shared" si="301"/>
        <v>77.185370509893772</v>
      </c>
      <c r="BI325" s="41" t="str">
        <f t="shared" si="306"/>
        <v>0,229384510195093+2,81180384975322i</v>
      </c>
      <c r="BJ325" s="20">
        <f t="shared" si="302"/>
        <v>9.0085076399845896</v>
      </c>
      <c r="BK325" s="43">
        <f t="shared" si="307"/>
        <v>85.336188019142455</v>
      </c>
      <c r="BL325">
        <f t="shared" si="303"/>
        <v>-1.2898333954058572</v>
      </c>
      <c r="BM325" s="43">
        <f t="shared" si="304"/>
        <v>77.185370509893772</v>
      </c>
    </row>
    <row r="326" spans="14:65" x14ac:dyDescent="0.25">
      <c r="N326" s="9">
        <v>8</v>
      </c>
      <c r="O326" s="34">
        <f t="shared" si="308"/>
        <v>12022.644346174151</v>
      </c>
      <c r="P326" s="33" t="str">
        <f t="shared" si="257"/>
        <v>66,7780509511648</v>
      </c>
      <c r="Q326" s="4" t="str">
        <f t="shared" si="258"/>
        <v>1+294,412300251002i</v>
      </c>
      <c r="R326" s="4">
        <f t="shared" si="270"/>
        <v>294.41399854471285</v>
      </c>
      <c r="S326" s="4">
        <f t="shared" si="271"/>
        <v>1.5673997426387665</v>
      </c>
      <c r="T326" s="4" t="str">
        <f t="shared" si="259"/>
        <v>1+0,0755405023093271i</v>
      </c>
      <c r="U326" s="4">
        <f t="shared" si="272"/>
        <v>1.0028491249879743</v>
      </c>
      <c r="V326" s="4">
        <f t="shared" si="273"/>
        <v>7.5397304983623639E-2</v>
      </c>
      <c r="W326" t="str">
        <f t="shared" si="260"/>
        <v>1-0,164328686098025i</v>
      </c>
      <c r="X326" s="4">
        <f t="shared" si="274"/>
        <v>1.0134120174315593</v>
      </c>
      <c r="Y326" s="4">
        <f t="shared" si="275"/>
        <v>-0.16287302666475537</v>
      </c>
      <c r="Z326" t="str">
        <f t="shared" si="261"/>
        <v>0,999855456022925+0,032298859632259i</v>
      </c>
      <c r="AA326" s="4">
        <f t="shared" si="276"/>
        <v>1.0003770035703317</v>
      </c>
      <c r="AB326" s="4">
        <f t="shared" si="277"/>
        <v>3.2292299505068539E-2</v>
      </c>
      <c r="AC326" s="47" t="str">
        <f t="shared" si="278"/>
        <v>-0,0267546308429184-0,22886843339672i</v>
      </c>
      <c r="AD326" s="20">
        <f t="shared" si="279"/>
        <v>-12.749335324917768</v>
      </c>
      <c r="AE326" s="43">
        <f t="shared" si="280"/>
        <v>-96.667592197695427</v>
      </c>
      <c r="AF326" t="str">
        <f t="shared" si="262"/>
        <v>223,849857273222</v>
      </c>
      <c r="AG326" t="str">
        <f t="shared" si="263"/>
        <v>1+298,194821399014i</v>
      </c>
      <c r="AH326">
        <f t="shared" si="281"/>
        <v>298.19649815044755</v>
      </c>
      <c r="AI326">
        <f t="shared" si="282"/>
        <v>1.5674428270706153</v>
      </c>
      <c r="AJ326" t="str">
        <f t="shared" si="264"/>
        <v>1+0,0755405023093271i</v>
      </c>
      <c r="AK326">
        <f t="shared" si="283"/>
        <v>1.0028491249879743</v>
      </c>
      <c r="AL326">
        <f t="shared" si="284"/>
        <v>7.5397304983623639E-2</v>
      </c>
      <c r="AM326" t="str">
        <f t="shared" si="265"/>
        <v>1-0,049651709290784i</v>
      </c>
      <c r="AN326">
        <f t="shared" si="285"/>
        <v>1.0012318873445336</v>
      </c>
      <c r="AO326">
        <f t="shared" si="286"/>
        <v>-4.9610967546877785E-2</v>
      </c>
      <c r="AP326" s="41" t="str">
        <f t="shared" si="287"/>
        <v>0,0219609039250179-0,753425201504756i</v>
      </c>
      <c r="AQ326">
        <f t="shared" si="288"/>
        <v>-2.4555088941161132</v>
      </c>
      <c r="AR326" s="43">
        <f t="shared" si="289"/>
        <v>-88.330410314974657</v>
      </c>
      <c r="AS326" t="str">
        <f t="shared" si="266"/>
        <v>-0,0000166666666666667</v>
      </c>
      <c r="AT326" t="str">
        <f t="shared" si="267"/>
        <v>0,0000757671238162551i</v>
      </c>
      <c r="AU326">
        <f t="shared" si="290"/>
        <v>7.5767123816255095E-5</v>
      </c>
      <c r="AV326">
        <f t="shared" si="291"/>
        <v>1.5707963267948966</v>
      </c>
      <c r="AW326" t="str">
        <f t="shared" si="268"/>
        <v>1+0,0497076086980617i</v>
      </c>
      <c r="AX326">
        <f t="shared" si="292"/>
        <v>1.001234660987363</v>
      </c>
      <c r="AY326">
        <f t="shared" si="293"/>
        <v>4.9666729330239093E-2</v>
      </c>
      <c r="AZ326" t="str">
        <f t="shared" si="269"/>
        <v>1+16,6189105080519i</v>
      </c>
      <c r="BA326">
        <f t="shared" si="294"/>
        <v>16.648969531915114</v>
      </c>
      <c r="BB326">
        <f t="shared" si="295"/>
        <v>1.510696375710918</v>
      </c>
      <c r="BC326" s="41" t="str">
        <f t="shared" si="296"/>
        <v>-3,63578181387674+0,400698295647496i</v>
      </c>
      <c r="BD326">
        <f t="shared" si="297"/>
        <v>11.264388621285356</v>
      </c>
      <c r="BE326" s="43">
        <f t="shared" si="298"/>
        <v>173.71083248110401</v>
      </c>
      <c r="BF326" s="41" t="str">
        <f t="shared" si="299"/>
        <v>0,188981191445247+0,821395152934819i</v>
      </c>
      <c r="BG326" s="20">
        <f t="shared" si="300"/>
        <v>-1.4849467036324135</v>
      </c>
      <c r="BH326" s="43">
        <f t="shared" si="301"/>
        <v>77.043240283408537</v>
      </c>
      <c r="BI326" s="41" t="str">
        <f t="shared" si="306"/>
        <v>0,222051139033953+2,74808934252104i</v>
      </c>
      <c r="BJ326" s="20">
        <f t="shared" si="302"/>
        <v>8.8088797271692325</v>
      </c>
      <c r="BK326" s="43">
        <f t="shared" si="307"/>
        <v>85.380422166129321</v>
      </c>
      <c r="BL326">
        <f t="shared" si="303"/>
        <v>-1.4849467036324135</v>
      </c>
      <c r="BM326" s="43">
        <f t="shared" si="304"/>
        <v>77.043240283408537</v>
      </c>
    </row>
    <row r="327" spans="14:65" x14ac:dyDescent="0.25">
      <c r="N327" s="9">
        <v>9</v>
      </c>
      <c r="O327" s="34">
        <f t="shared" si="308"/>
        <v>12302.687708123816</v>
      </c>
      <c r="P327" s="33" t="str">
        <f t="shared" si="257"/>
        <v>66,7780509511648</v>
      </c>
      <c r="Q327" s="4" t="str">
        <f t="shared" si="258"/>
        <v>1+301,270043688108i</v>
      </c>
      <c r="R327" s="4">
        <f t="shared" si="270"/>
        <v>301.27170332414971</v>
      </c>
      <c r="S327" s="4">
        <f t="shared" si="271"/>
        <v>1.5674770577589188</v>
      </c>
      <c r="T327" s="4" t="str">
        <f t="shared" si="259"/>
        <v>1+0,0773000666465025i</v>
      </c>
      <c r="U327" s="4">
        <f t="shared" si="272"/>
        <v>1.0029832004094354</v>
      </c>
      <c r="V327" s="4">
        <f t="shared" si="273"/>
        <v>7.7146652585196374E-2</v>
      </c>
      <c r="W327" t="str">
        <f t="shared" si="260"/>
        <v>1-0,168156392914813i</v>
      </c>
      <c r="X327" s="4">
        <f t="shared" si="274"/>
        <v>1.0140397292404872</v>
      </c>
      <c r="Y327" s="4">
        <f t="shared" si="275"/>
        <v>-0.16659778970408065</v>
      </c>
      <c r="Z327" t="str">
        <f t="shared" si="261"/>
        <v>0,999848643875156+0,0330511967203504i</v>
      </c>
      <c r="AA327" s="4">
        <f t="shared" si="276"/>
        <v>1.0003947682108478</v>
      </c>
      <c r="AB327" s="4">
        <f t="shared" si="277"/>
        <v>3.3044167560415512E-2</v>
      </c>
      <c r="AC327" s="47" t="str">
        <f t="shared" si="278"/>
        <v>-0,026792486419203-0,223749028863985i</v>
      </c>
      <c r="AD327" s="20">
        <f t="shared" si="279"/>
        <v>-12.942947721681845</v>
      </c>
      <c r="AE327" s="43">
        <f t="shared" si="280"/>
        <v>-96.828283861462992</v>
      </c>
      <c r="AF327" t="str">
        <f t="shared" si="262"/>
        <v>223,849857273222</v>
      </c>
      <c r="AG327" t="str">
        <f t="shared" si="263"/>
        <v>1+305,140671072022i</v>
      </c>
      <c r="AH327">
        <f t="shared" si="281"/>
        <v>305.14230965614047</v>
      </c>
      <c r="AI327">
        <f t="shared" si="282"/>
        <v>1.5675191614909509</v>
      </c>
      <c r="AJ327" t="str">
        <f t="shared" si="264"/>
        <v>1+0,0773000666465025i</v>
      </c>
      <c r="AK327">
        <f t="shared" si="283"/>
        <v>1.0029832004094354</v>
      </c>
      <c r="AL327">
        <f t="shared" si="284"/>
        <v>7.7146652585196374E-2</v>
      </c>
      <c r="AM327" t="str">
        <f t="shared" si="265"/>
        <v>1-0,0508082461720205i</v>
      </c>
      <c r="AN327">
        <f t="shared" si="285"/>
        <v>1.0012899070094918</v>
      </c>
      <c r="AO327">
        <f t="shared" si="286"/>
        <v>-5.0764593643731669E-2</v>
      </c>
      <c r="AP327" s="41" t="str">
        <f t="shared" si="287"/>
        <v>0,0218476134455338-0,736405195971681i</v>
      </c>
      <c r="AQ327">
        <f t="shared" si="288"/>
        <v>-2.6538422000291044</v>
      </c>
      <c r="AR327" s="43">
        <f t="shared" si="289"/>
        <v>-88.300651627105893</v>
      </c>
      <c r="AS327" t="str">
        <f t="shared" si="266"/>
        <v>-0,0000166666666666667</v>
      </c>
      <c r="AT327" t="str">
        <f t="shared" si="267"/>
        <v>0,000077531966846442i</v>
      </c>
      <c r="AU327">
        <f t="shared" si="290"/>
        <v>7.7531966846442006E-5</v>
      </c>
      <c r="AV327">
        <f t="shared" si="291"/>
        <v>1.5707963267948966</v>
      </c>
      <c r="AW327" t="str">
        <f t="shared" si="268"/>
        <v>1+0,0508654476437604i</v>
      </c>
      <c r="AX327">
        <f t="shared" si="292"/>
        <v>1.0012928112015986</v>
      </c>
      <c r="AY327">
        <f t="shared" si="293"/>
        <v>5.0821647665896898E-2</v>
      </c>
      <c r="AZ327" t="str">
        <f t="shared" si="269"/>
        <v>1+17,0060146622305i</v>
      </c>
      <c r="BA327">
        <f t="shared" si="294"/>
        <v>17.035390652755769</v>
      </c>
      <c r="BB327">
        <f t="shared" si="295"/>
        <v>1.5120612369836757</v>
      </c>
      <c r="BC327" s="41" t="str">
        <f t="shared" si="296"/>
        <v>-3,63535952910677+0,399879285412926i</v>
      </c>
      <c r="BD327">
        <f t="shared" si="297"/>
        <v>11.263178945458044</v>
      </c>
      <c r="BE327" s="43">
        <f t="shared" si="298"/>
        <v>173.72286132533841</v>
      </c>
      <c r="BF327" s="41" t="str">
        <f t="shared" si="299"/>
        <v>0,18687292258648+0,802694403885327i</v>
      </c>
      <c r="BG327" s="20">
        <f t="shared" si="300"/>
        <v>-1.6797687762238058</v>
      </c>
      <c r="BH327" s="43">
        <f t="shared" si="301"/>
        <v>76.894577463875365</v>
      </c>
      <c r="BI327" s="41" t="str">
        <f t="shared" si="306"/>
        <v>0,215049253812059+2,68583405451197i</v>
      </c>
      <c r="BJ327" s="20">
        <f t="shared" si="302"/>
        <v>8.6093367454289496</v>
      </c>
      <c r="BK327" s="43">
        <f t="shared" si="307"/>
        <v>85.422209698232507</v>
      </c>
      <c r="BL327">
        <f t="shared" si="303"/>
        <v>-1.6797687762238058</v>
      </c>
      <c r="BM327" s="43">
        <f t="shared" si="304"/>
        <v>76.894577463875365</v>
      </c>
    </row>
    <row r="328" spans="14:65" x14ac:dyDescent="0.25">
      <c r="N328" s="9">
        <v>10</v>
      </c>
      <c r="O328" s="34">
        <f t="shared" si="308"/>
        <v>12589.254117941671</v>
      </c>
      <c r="P328" s="33" t="str">
        <f t="shared" si="257"/>
        <v>66,7780509511648</v>
      </c>
      <c r="Q328" s="4" t="str">
        <f t="shared" si="258"/>
        <v>1+308,287524490157i</v>
      </c>
      <c r="R328" s="4">
        <f t="shared" si="270"/>
        <v>308.28914634847126</v>
      </c>
      <c r="S328" s="4">
        <f t="shared" si="271"/>
        <v>1.5675526130104191</v>
      </c>
      <c r="T328" s="4" t="str">
        <f t="shared" si="259"/>
        <v>1+0,0791006165022012i</v>
      </c>
      <c r="U328" s="4">
        <f t="shared" si="272"/>
        <v>1.0031235754038623</v>
      </c>
      <c r="V328" s="4">
        <f t="shared" si="273"/>
        <v>7.8936258006897339E-2</v>
      </c>
      <c r="W328" t="str">
        <f t="shared" si="260"/>
        <v>1-0,172073258476937i</v>
      </c>
      <c r="X328" s="4">
        <f t="shared" si="274"/>
        <v>1.0146966079981103</v>
      </c>
      <c r="Y328" s="4">
        <f t="shared" si="275"/>
        <v>-0.170404488679987</v>
      </c>
      <c r="Z328" t="str">
        <f t="shared" si="261"/>
        <v>0,999841510680754+0,0338210579904272i</v>
      </c>
      <c r="AA328" s="4">
        <f t="shared" si="276"/>
        <v>1.0004133697846926</v>
      </c>
      <c r="AB328" s="4">
        <f t="shared" si="277"/>
        <v>3.3813526270291813E-2</v>
      </c>
      <c r="AC328" s="47" t="str">
        <f t="shared" si="278"/>
        <v>-0,0268289298852981-0,218748240083025i</v>
      </c>
      <c r="AD328" s="20">
        <f t="shared" si="279"/>
        <v>-13.136266744894616</v>
      </c>
      <c r="AE328" s="43">
        <f t="shared" si="280"/>
        <v>-96.992264813040578</v>
      </c>
      <c r="AF328" t="str">
        <f t="shared" si="262"/>
        <v>223,849857273222</v>
      </c>
      <c r="AG328" t="str">
        <f t="shared" si="263"/>
        <v>1+312,248310367847i</v>
      </c>
      <c r="AH328">
        <f t="shared" si="281"/>
        <v>312.24991165343079</v>
      </c>
      <c r="AI328">
        <f t="shared" si="282"/>
        <v>1.5675937583646471</v>
      </c>
      <c r="AJ328" t="str">
        <f t="shared" si="264"/>
        <v>1+0,0791006165022012i</v>
      </c>
      <c r="AK328">
        <f t="shared" si="283"/>
        <v>1.0031235754038623</v>
      </c>
      <c r="AL328">
        <f t="shared" si="284"/>
        <v>7.8936258006897339E-2</v>
      </c>
      <c r="AM328" t="str">
        <f t="shared" si="265"/>
        <v>1-0,051991722257904i</v>
      </c>
      <c r="AN328">
        <f t="shared" si="285"/>
        <v>1.0013506574538926</v>
      </c>
      <c r="AO328">
        <f t="shared" si="286"/>
        <v>-5.1944951137928332E-2</v>
      </c>
      <c r="AP328" s="41" t="str">
        <f t="shared" si="287"/>
        <v>0,0217394217705018-0,719775608792394i</v>
      </c>
      <c r="AQ328">
        <f t="shared" si="288"/>
        <v>-2.8520975547784895</v>
      </c>
      <c r="AR328" s="43">
        <f t="shared" si="289"/>
        <v>-88.27001837821048</v>
      </c>
      <c r="AS328" t="str">
        <f t="shared" si="266"/>
        <v>-0,0000166666666666667</v>
      </c>
      <c r="AT328" t="str">
        <f t="shared" si="267"/>
        <v>0,0000793379183517078i</v>
      </c>
      <c r="AU328">
        <f t="shared" si="290"/>
        <v>7.9337918351707806E-5</v>
      </c>
      <c r="AV328">
        <f t="shared" si="291"/>
        <v>1.5707963267948966</v>
      </c>
      <c r="AW328" t="str">
        <f t="shared" si="268"/>
        <v>1+0,0520502561230835i</v>
      </c>
      <c r="AX328">
        <f t="shared" si="292"/>
        <v>1.0013536983316527</v>
      </c>
      <c r="AY328">
        <f t="shared" si="293"/>
        <v>5.2003327027233627E-2</v>
      </c>
      <c r="AZ328" t="str">
        <f t="shared" si="269"/>
        <v>1+17,4021356304842i</v>
      </c>
      <c r="BA328">
        <f t="shared" si="294"/>
        <v>17.430844055919028</v>
      </c>
      <c r="BB328">
        <f t="shared" si="295"/>
        <v>1.5133952419489098</v>
      </c>
      <c r="BC328" s="41" t="str">
        <f t="shared" si="296"/>
        <v>-3,63491744779357+0,399270276789032i</v>
      </c>
      <c r="BD328">
        <f t="shared" si="297"/>
        <v>11.261977192004839</v>
      </c>
      <c r="BE328" s="43">
        <f t="shared" si="298"/>
        <v>173.73158893955355</v>
      </c>
      <c r="BF328" s="41" t="str">
        <f t="shared" si="299"/>
        <v>0,184860615710763+0,784419800290668i</v>
      </c>
      <c r="BG328" s="20">
        <f t="shared" si="300"/>
        <v>-1.8742895528897758</v>
      </c>
      <c r="BH328" s="43">
        <f t="shared" si="301"/>
        <v>76.739324126512997</v>
      </c>
      <c r="BI328" s="41" t="str">
        <f t="shared" si="306"/>
        <v>0,208364003049993+2,62500482384325i</v>
      </c>
      <c r="BJ328" s="20">
        <f t="shared" si="302"/>
        <v>8.4098796372263376</v>
      </c>
      <c r="BK328" s="43">
        <f t="shared" si="307"/>
        <v>85.461570561343052</v>
      </c>
      <c r="BL328">
        <f t="shared" si="303"/>
        <v>-1.8742895528897758</v>
      </c>
      <c r="BM328" s="43">
        <f t="shared" si="304"/>
        <v>76.739324126512997</v>
      </c>
    </row>
    <row r="329" spans="14:65" x14ac:dyDescent="0.25">
      <c r="N329" s="9">
        <v>11</v>
      </c>
      <c r="O329" s="34">
        <f t="shared" si="308"/>
        <v>12882.49551693136</v>
      </c>
      <c r="P329" s="33" t="str">
        <f t="shared" si="257"/>
        <v>66,7780509511648</v>
      </c>
      <c r="Q329" s="4" t="str">
        <f t="shared" si="258"/>
        <v>1+315,46846341836i</v>
      </c>
      <c r="R329" s="4">
        <f t="shared" si="270"/>
        <v>315.47004835885946</v>
      </c>
      <c r="S329" s="4">
        <f t="shared" si="271"/>
        <v>1.5676264484502096</v>
      </c>
      <c r="T329" s="4" t="str">
        <f t="shared" si="259"/>
        <v>1+0,08094310655179i</v>
      </c>
      <c r="U329" s="4">
        <f t="shared" si="272"/>
        <v>1.0032705450167738</v>
      </c>
      <c r="V329" s="4">
        <f t="shared" si="273"/>
        <v>8.0767024243225946E-2</v>
      </c>
      <c r="W329" t="str">
        <f t="shared" si="260"/>
        <v>1-0,176081359558365i</v>
      </c>
      <c r="X329" s="4">
        <f t="shared" si="274"/>
        <v>1.0153839890326823</v>
      </c>
      <c r="Y329" s="4">
        <f t="shared" si="275"/>
        <v>-0.17429470043144094</v>
      </c>
      <c r="Z329" t="str">
        <f t="shared" si="261"/>
        <v>0,999834041309256+0,0346088516331252i</v>
      </c>
      <c r="AA329" s="4">
        <f t="shared" si="276"/>
        <v>1.0004328477075126</v>
      </c>
      <c r="AB329" s="4">
        <f t="shared" si="277"/>
        <v>3.460078142959952E-2</v>
      </c>
      <c r="AC329" s="47" t="str">
        <f t="shared" si="278"/>
        <v>-0,0268640385036577-0,213863415648843i</v>
      </c>
      <c r="AD329" s="20">
        <f t="shared" si="279"/>
        <v>-13.329279257946411</v>
      </c>
      <c r="AE329" s="43">
        <f t="shared" si="280"/>
        <v>-97.159599206301152</v>
      </c>
      <c r="AF329" t="str">
        <f t="shared" si="262"/>
        <v>223,849857273222</v>
      </c>
      <c r="AG329" t="str">
        <f t="shared" si="263"/>
        <v>1+319,521507850924i</v>
      </c>
      <c r="AH329">
        <f t="shared" si="281"/>
        <v>319.52307268697842</v>
      </c>
      <c r="AI329">
        <f t="shared" si="282"/>
        <v>1.5676666572406313</v>
      </c>
      <c r="AJ329" t="str">
        <f t="shared" si="264"/>
        <v>1+0,08094310655179i</v>
      </c>
      <c r="AK329">
        <f t="shared" si="283"/>
        <v>1.0032705450167738</v>
      </c>
      <c r="AL329">
        <f t="shared" si="284"/>
        <v>8.0767024243225946E-2</v>
      </c>
      <c r="AM329" t="str">
        <f t="shared" si="265"/>
        <v>1-0,0532027650431205i</v>
      </c>
      <c r="AN329">
        <f t="shared" si="285"/>
        <v>1.0014142670285029</v>
      </c>
      <c r="AO329">
        <f t="shared" si="286"/>
        <v>-5.3152652706962421E-2</v>
      </c>
      <c r="AP329" s="41" t="str">
        <f t="shared" si="287"/>
        <v>0,0216360994253393-0,703527624970826i</v>
      </c>
      <c r="AQ329">
        <f t="shared" si="288"/>
        <v>-3.0502713134290178</v>
      </c>
      <c r="AR329" s="43">
        <f t="shared" si="289"/>
        <v>-88.238496200335916</v>
      </c>
      <c r="AS329" t="str">
        <f t="shared" si="266"/>
        <v>-0,0000166666666666667</v>
      </c>
      <c r="AT329" t="str">
        <f t="shared" si="267"/>
        <v>0,0000811859358714454i</v>
      </c>
      <c r="AU329">
        <f t="shared" si="290"/>
        <v>8.1185935871445406E-5</v>
      </c>
      <c r="AV329">
        <f t="shared" si="291"/>
        <v>1.5707963267948966</v>
      </c>
      <c r="AW329" t="str">
        <f t="shared" si="268"/>
        <v>1+0,0532626623371699i</v>
      </c>
      <c r="AX329">
        <f t="shared" si="292"/>
        <v>1.0014174510159304</v>
      </c>
      <c r="AY329">
        <f t="shared" si="293"/>
        <v>5.321238074834083E-2</v>
      </c>
      <c r="AZ329" t="str">
        <f t="shared" si="269"/>
        <v>1+17,8074834413938i</v>
      </c>
      <c r="BA329">
        <f t="shared" si="294"/>
        <v>17.83553942317177</v>
      </c>
      <c r="BB329">
        <f t="shared" si="295"/>
        <v>1.5146990789113359</v>
      </c>
      <c r="BC329" s="41" t="str">
        <f t="shared" si="296"/>
        <v>-3,63445464705497+0,398870803215284i</v>
      </c>
      <c r="BD329">
        <f t="shared" si="297"/>
        <v>11.260780835129561</v>
      </c>
      <c r="BE329" s="43">
        <f t="shared" si="298"/>
        <v>173.73701961924965</v>
      </c>
      <c r="BF329" s="41" t="str">
        <f t="shared" si="299"/>
        <v>0,182940001956501+0,766561604224426i</v>
      </c>
      <c r="BG329" s="20">
        <f t="shared" si="300"/>
        <v>-2.0684984228168481</v>
      </c>
      <c r="BH329" s="43">
        <f t="shared" si="301"/>
        <v>76.57742041294847</v>
      </c>
      <c r="BI329" s="41" t="str">
        <f t="shared" si="306"/>
        <v>0,201981206755687+2,565569254263i</v>
      </c>
      <c r="BJ329" s="20">
        <f t="shared" si="302"/>
        <v>8.2105095217005601</v>
      </c>
      <c r="BK329" s="43">
        <f t="shared" si="307"/>
        <v>85.498523418913749</v>
      </c>
      <c r="BL329">
        <f t="shared" si="303"/>
        <v>-2.0684984228168481</v>
      </c>
      <c r="BM329" s="43">
        <f t="shared" si="304"/>
        <v>76.57742041294847</v>
      </c>
    </row>
    <row r="330" spans="14:65" x14ac:dyDescent="0.25">
      <c r="N330" s="9">
        <v>12</v>
      </c>
      <c r="O330" s="34">
        <f t="shared" si="308"/>
        <v>13182.567385564091</v>
      </c>
      <c r="P330" s="33" t="str">
        <f t="shared" si="257"/>
        <v>66,7780509511648</v>
      </c>
      <c r="Q330" s="4" t="str">
        <f t="shared" si="258"/>
        <v>1+322,816667901585i</v>
      </c>
      <c r="R330" s="4">
        <f t="shared" si="270"/>
        <v>322.81821676460925</v>
      </c>
      <c r="S330" s="4">
        <f t="shared" si="271"/>
        <v>1.5676986032235958</v>
      </c>
      <c r="T330" s="4" t="str">
        <f t="shared" si="259"/>
        <v>1+0,0828285137078811i</v>
      </c>
      <c r="U330" s="4">
        <f t="shared" si="272"/>
        <v>1.0034244180221332</v>
      </c>
      <c r="V330" s="4">
        <f t="shared" si="273"/>
        <v>8.2639872873787767E-2</v>
      </c>
      <c r="W330" t="str">
        <f t="shared" si="260"/>
        <v>1-0,180182821307342i</v>
      </c>
      <c r="X330" s="4">
        <f t="shared" si="274"/>
        <v>1.0161032669440018</v>
      </c>
      <c r="Y330" s="4">
        <f t="shared" si="275"/>
        <v>-0.1782700163774322</v>
      </c>
      <c r="Z330" t="str">
        <f t="shared" si="261"/>
        <v>0,999826219917125+0,0354149953470613i</v>
      </c>
      <c r="AA330" s="4">
        <f t="shared" si="276"/>
        <v>1.0004532432498781</v>
      </c>
      <c r="AB330" s="4">
        <f t="shared" si="277"/>
        <v>3.540634817013974E-2</v>
      </c>
      <c r="AC330" s="47" t="str">
        <f t="shared" si="278"/>
        <v>-0,0268978867024234-0,209091965552412i</v>
      </c>
      <c r="AD330" s="20">
        <f t="shared" si="279"/>
        <v>-13.521971570042179</v>
      </c>
      <c r="AE330" s="43">
        <f t="shared" si="280"/>
        <v>-97.330351448375268</v>
      </c>
      <c r="AF330" t="str">
        <f t="shared" si="262"/>
        <v>223,849857273222</v>
      </c>
      <c r="AG330" t="str">
        <f t="shared" si="263"/>
        <v>1+326,964119866831i</v>
      </c>
      <c r="AH330">
        <f t="shared" si="281"/>
        <v>326.96564908303662</v>
      </c>
      <c r="AI330">
        <f t="shared" si="282"/>
        <v>1.5677378967677509</v>
      </c>
      <c r="AJ330" t="str">
        <f t="shared" si="264"/>
        <v>1+0,0828285137078811i</v>
      </c>
      <c r="AK330">
        <f t="shared" si="283"/>
        <v>1.0034244180221332</v>
      </c>
      <c r="AL330">
        <f t="shared" si="284"/>
        <v>8.2639872873787767E-2</v>
      </c>
      <c r="AM330" t="str">
        <f t="shared" si="265"/>
        <v>1-0,0544420166385847i</v>
      </c>
      <c r="AN330">
        <f t="shared" si="285"/>
        <v>1.0014808700997118</v>
      </c>
      <c r="AO330">
        <f t="shared" si="286"/>
        <v>-5.4388324590320489E-2</v>
      </c>
      <c r="AP330" s="41" t="str">
        <f t="shared" si="287"/>
        <v>0,0215374272626917-0,687652631693139i</v>
      </c>
      <c r="AQ330">
        <f t="shared" si="288"/>
        <v>-3.2483596632997096</v>
      </c>
      <c r="AR330" s="43">
        <f t="shared" si="289"/>
        <v>-88.20607038615573</v>
      </c>
      <c r="AS330" t="str">
        <f t="shared" si="266"/>
        <v>-0,0000166666666666667</v>
      </c>
      <c r="AT330" t="str">
        <f t="shared" si="267"/>
        <v>0,0000830769992490048i</v>
      </c>
      <c r="AU330">
        <f t="shared" si="290"/>
        <v>8.3076999249004805E-5</v>
      </c>
      <c r="AV330">
        <f t="shared" si="291"/>
        <v>1.5707963267948966</v>
      </c>
      <c r="AW330" t="str">
        <f t="shared" si="268"/>
        <v>1+0,054503309119842i</v>
      </c>
      <c r="AX330">
        <f t="shared" si="292"/>
        <v>1.0014842039218657</v>
      </c>
      <c r="AY330">
        <f t="shared" si="293"/>
        <v>5.4449435738221863E-2</v>
      </c>
      <c r="AZ330" t="str">
        <f t="shared" si="269"/>
        <v>1+18,2222730157338i</v>
      </c>
      <c r="BA330">
        <f t="shared" si="294"/>
        <v>18.24969133601827</v>
      </c>
      <c r="BB330">
        <f t="shared" si="295"/>
        <v>1.5159734214404454</v>
      </c>
      <c r="BC330" s="41" t="str">
        <f t="shared" si="296"/>
        <v>-3,63397016148294+0,398680499051161i</v>
      </c>
      <c r="BD330">
        <f t="shared" si="297"/>
        <v>11.259587360072016</v>
      </c>
      <c r="BE330" s="43">
        <f t="shared" si="298"/>
        <v>173.73915603787589</v>
      </c>
      <c r="BF330" s="41" t="str">
        <f t="shared" si="299"/>
        <v>0,181107006857579+0,74911030092934i</v>
      </c>
      <c r="BG330" s="20">
        <f t="shared" si="300"/>
        <v>-2.2623842099701656</v>
      </c>
      <c r="BH330" s="43">
        <f t="shared" si="301"/>
        <v>76.408804589500619</v>
      </c>
      <c r="BI330" s="41" t="str">
        <f t="shared" si="306"/>
        <v>0,195887326349534+2,50749569728745i</v>
      </c>
      <c r="BJ330" s="20">
        <f t="shared" si="302"/>
        <v>8.0112276967722966</v>
      </c>
      <c r="BK330" s="43">
        <f t="shared" si="307"/>
        <v>85.533085651720143</v>
      </c>
      <c r="BL330">
        <f t="shared" si="303"/>
        <v>-2.2623842099701656</v>
      </c>
      <c r="BM330" s="43">
        <f t="shared" si="304"/>
        <v>76.408804589500619</v>
      </c>
    </row>
    <row r="331" spans="14:65" x14ac:dyDescent="0.25">
      <c r="N331" s="9">
        <v>13</v>
      </c>
      <c r="O331" s="34">
        <f t="shared" si="308"/>
        <v>13489.628825916556</v>
      </c>
      <c r="P331" s="33" t="str">
        <f t="shared" si="257"/>
        <v>66,7780509511648</v>
      </c>
      <c r="Q331" s="4" t="str">
        <f t="shared" si="258"/>
        <v>1+330,336034055115i</v>
      </c>
      <c r="R331" s="4">
        <f t="shared" si="270"/>
        <v>330.33754766187587</v>
      </c>
      <c r="S331" s="4">
        <f t="shared" si="271"/>
        <v>1.5677691155849864</v>
      </c>
      <c r="T331" s="4" t="str">
        <f t="shared" si="259"/>
        <v>1+0,0847578376383051i</v>
      </c>
      <c r="U331" s="4">
        <f t="shared" si="272"/>
        <v>1.003585517552501</v>
      </c>
      <c r="V331" s="4">
        <f t="shared" si="273"/>
        <v>8.4555744325386234E-2</v>
      </c>
      <c r="W331" t="str">
        <f t="shared" si="260"/>
        <v>1-0,184379818373179i</v>
      </c>
      <c r="X331" s="4">
        <f t="shared" si="274"/>
        <v>1.0168558980619262</v>
      </c>
      <c r="Y331" s="4">
        <f t="shared" si="275"/>
        <v>-0.18233204145441359</v>
      </c>
      <c r="Z331" t="str">
        <f t="shared" si="261"/>
        <v>0,999818029914139+0,0362399165603034i</v>
      </c>
      <c r="AA331" s="4">
        <f t="shared" si="276"/>
        <v>1.0004745996244422</v>
      </c>
      <c r="AB331" s="4">
        <f t="shared" si="277"/>
        <v>3.62306511698786E-2</v>
      </c>
      <c r="AC331" s="47" t="str">
        <f t="shared" si="278"/>
        <v>-0,0269305462329427-0,204431359807383i</v>
      </c>
      <c r="AD331" s="20">
        <f t="shared" si="279"/>
        <v>-13.714329415871154</v>
      </c>
      <c r="AE331" s="43">
        <f t="shared" si="280"/>
        <v>-97.50458613693263</v>
      </c>
      <c r="AF331" t="str">
        <f t="shared" si="262"/>
        <v>223,849857273222</v>
      </c>
      <c r="AG331" t="str">
        <f t="shared" si="263"/>
        <v>1+334,580092586972i</v>
      </c>
      <c r="AH331">
        <f t="shared" si="281"/>
        <v>334.58158699412428</v>
      </c>
      <c r="AI331">
        <f t="shared" si="282"/>
        <v>1.5678075147152526</v>
      </c>
      <c r="AJ331" t="str">
        <f t="shared" si="264"/>
        <v>1+0,0847578376383051i</v>
      </c>
      <c r="AK331">
        <f t="shared" si="283"/>
        <v>1.003585517552501</v>
      </c>
      <c r="AL331">
        <f t="shared" si="284"/>
        <v>8.4555744325386234E-2</v>
      </c>
      <c r="AM331" t="str">
        <f t="shared" si="265"/>
        <v>1-0,0557101341118959i</v>
      </c>
      <c r="AN331">
        <f t="shared" si="285"/>
        <v>1.001550607329837</v>
      </c>
      <c r="AO331">
        <f t="shared" si="286"/>
        <v>-5.5652606855204047E-2</v>
      </c>
      <c r="AP331" s="41" t="str">
        <f t="shared" si="287"/>
        <v>0,0214431959977047-0,672142213771047i</v>
      </c>
      <c r="AQ331">
        <f t="shared" si="288"/>
        <v>-3.4463586163846021</v>
      </c>
      <c r="AR331" s="43">
        <f t="shared" si="289"/>
        <v>-88.172725890350819</v>
      </c>
      <c r="AS331" t="str">
        <f t="shared" si="266"/>
        <v>-0,0000166666666666667</v>
      </c>
      <c r="AT331" t="str">
        <f t="shared" si="267"/>
        <v>0,0000850121111512201i</v>
      </c>
      <c r="AU331">
        <f t="shared" si="290"/>
        <v>8.5012111151220096E-5</v>
      </c>
      <c r="AV331">
        <f t="shared" si="291"/>
        <v>1.5707963267948966</v>
      </c>
      <c r="AW331" t="str">
        <f t="shared" si="268"/>
        <v>1+0,055772854278446i</v>
      </c>
      <c r="AX331">
        <f t="shared" si="292"/>
        <v>1.0015540980268438</v>
      </c>
      <c r="AY331">
        <f t="shared" si="293"/>
        <v>5.5715132746650284E-2</v>
      </c>
      <c r="AZ331" t="str">
        <f t="shared" si="269"/>
        <v>1+18,6467242804271i</v>
      </c>
      <c r="BA331">
        <f t="shared" si="294"/>
        <v>18.67351938950635</v>
      </c>
      <c r="BB331">
        <f t="shared" si="295"/>
        <v>1.5172189286444022</v>
      </c>
      <c r="BC331" s="41" t="str">
        <f t="shared" si="296"/>
        <v>-3,63346298123192+0,398699098665991i</v>
      </c>
      <c r="BD331">
        <f t="shared" si="297"/>
        <v>11.258394257966106</v>
      </c>
      <c r="BE331" s="43">
        <f t="shared" si="298"/>
        <v>173.73799924729045</v>
      </c>
      <c r="BF331" s="41" t="str">
        <f t="shared" si="299"/>
        <v>0,179357741696019+0,732056593553372i</v>
      </c>
      <c r="BG331" s="20">
        <f t="shared" si="300"/>
        <v>-2.4559351579050452</v>
      </c>
      <c r="BH331" s="43">
        <f t="shared" si="301"/>
        <v>76.233413110357787</v>
      </c>
      <c r="BI331" s="41" t="str">
        <f t="shared" si="306"/>
        <v>0,19006943594892+2,45075323477717i</v>
      </c>
      <c r="BJ331" s="20">
        <f t="shared" si="302"/>
        <v>7.8120356415814909</v>
      </c>
      <c r="BK331" s="43">
        <f t="shared" si="307"/>
        <v>85.565273356939642</v>
      </c>
      <c r="BL331">
        <f t="shared" si="303"/>
        <v>-2.4559351579050452</v>
      </c>
      <c r="BM331" s="43">
        <f t="shared" si="304"/>
        <v>76.233413110357787</v>
      </c>
    </row>
    <row r="332" spans="14:65" x14ac:dyDescent="0.25">
      <c r="N332" s="9">
        <v>14</v>
      </c>
      <c r="O332" s="34">
        <f t="shared" si="308"/>
        <v>13803.842646028841</v>
      </c>
      <c r="P332" s="33" t="str">
        <f t="shared" si="257"/>
        <v>66,7780509511648</v>
      </c>
      <c r="Q332" s="4" t="str">
        <f t="shared" si="258"/>
        <v>1+338,030548746415i</v>
      </c>
      <c r="R332" s="4">
        <f t="shared" si="270"/>
        <v>338.03202789943208</v>
      </c>
      <c r="S332" s="4">
        <f t="shared" si="271"/>
        <v>1.5678380229181628</v>
      </c>
      <c r="T332" s="4" t="str">
        <f t="shared" si="259"/>
        <v>1+0,0867321012961474i</v>
      </c>
      <c r="U332" s="4">
        <f t="shared" si="272"/>
        <v>1.0037541817572893</v>
      </c>
      <c r="V332" s="4">
        <f t="shared" si="273"/>
        <v>8.6515598128515753E-2</v>
      </c>
      <c r="W332" t="str">
        <f t="shared" si="260"/>
        <v>1-0,188674576059272i</v>
      </c>
      <c r="X332" s="4">
        <f t="shared" si="274"/>
        <v>1.0176434029910211</v>
      </c>
      <c r="Y332" s="4">
        <f t="shared" si="275"/>
        <v>-0.18648239294921659</v>
      </c>
      <c r="Z332" t="str">
        <f t="shared" si="261"/>
        <v>0,999809453928204+0,0370840526569976i</v>
      </c>
      <c r="AA332" s="4">
        <f t="shared" si="276"/>
        <v>1.0004969620771871</v>
      </c>
      <c r="AB332" s="4">
        <f t="shared" si="277"/>
        <v>3.7074124866501301E-2</v>
      </c>
      <c r="AC332" s="47" t="str">
        <f t="shared" si="278"/>
        <v>-0,0269620863215785-0,199879127108202i</v>
      </c>
      <c r="AD332" s="20">
        <f t="shared" si="279"/>
        <v>-13.906337934820797</v>
      </c>
      <c r="AE332" s="43">
        <f t="shared" si="280"/>
        <v>-97.682367992013909</v>
      </c>
      <c r="AF332" t="str">
        <f t="shared" si="262"/>
        <v>223,849857273222</v>
      </c>
      <c r="AG332" t="str">
        <f t="shared" si="263"/>
        <v>1+342,373464100894i</v>
      </c>
      <c r="AH332">
        <f t="shared" si="281"/>
        <v>342.37492449133327</v>
      </c>
      <c r="AI332">
        <f t="shared" si="282"/>
        <v>1.5678755479927926</v>
      </c>
      <c r="AJ332" t="str">
        <f t="shared" si="264"/>
        <v>1+0,0867321012961474i</v>
      </c>
      <c r="AK332">
        <f t="shared" si="283"/>
        <v>1.0037541817572893</v>
      </c>
      <c r="AL332">
        <f t="shared" si="284"/>
        <v>8.6515598128515753E-2</v>
      </c>
      <c r="AM332" t="str">
        <f t="shared" si="265"/>
        <v>1-0,057007789835724i</v>
      </c>
      <c r="AN332">
        <f t="shared" si="285"/>
        <v>1.0016236259703313</v>
      </c>
      <c r="AO332">
        <f t="shared" si="286"/>
        <v>-5.6946153664918488E-2</v>
      </c>
      <c r="AP332" s="41" t="str">
        <f t="shared" si="287"/>
        <v>0,0213532057642043-0,656988149189236i</v>
      </c>
      <c r="AQ332">
        <f t="shared" si="288"/>
        <v>-3.6442640014499101</v>
      </c>
      <c r="AR332" s="43">
        <f t="shared" si="289"/>
        <v>-88.138447331437561</v>
      </c>
      <c r="AS332" t="str">
        <f t="shared" si="266"/>
        <v>-0,0000166666666666667</v>
      </c>
      <c r="AT332" t="str">
        <f t="shared" si="267"/>
        <v>0,0000869922976000359i</v>
      </c>
      <c r="AU332">
        <f t="shared" si="290"/>
        <v>8.6992297600035906E-5</v>
      </c>
      <c r="AV332">
        <f t="shared" si="291"/>
        <v>1.5707963267948966</v>
      </c>
      <c r="AW332" t="str">
        <f t="shared" si="268"/>
        <v>1+0,0570719709426294i</v>
      </c>
      <c r="AX332">
        <f t="shared" si="292"/>
        <v>1.0016272809120548</v>
      </c>
      <c r="AY332">
        <f t="shared" si="293"/>
        <v>5.7010126632683775E-2</v>
      </c>
      <c r="AZ332" t="str">
        <f t="shared" si="269"/>
        <v>1+19,0810622851524i</v>
      </c>
      <c r="BA332">
        <f t="shared" si="294"/>
        <v>19.107248308688128</v>
      </c>
      <c r="BB332">
        <f t="shared" si="295"/>
        <v>1.5184362454417266</v>
      </c>
      <c r="BC332" s="41" t="str">
        <f t="shared" si="296"/>
        <v>-3,63293205002586+0,398926435531976i</v>
      </c>
      <c r="BD332">
        <f t="shared" si="297"/>
        <v>11.257199020708654</v>
      </c>
      <c r="BE332" s="43">
        <f t="shared" si="298"/>
        <v>173.73354867794259</v>
      </c>
      <c r="BF332" s="41" t="str">
        <f t="shared" si="299"/>
        <v>0,177688495247744+0,715391398011807i</v>
      </c>
      <c r="BG332" s="20">
        <f t="shared" si="300"/>
        <v>-2.6491389141121422</v>
      </c>
      <c r="BH332" s="43">
        <f t="shared" si="301"/>
        <v>76.051180685928699</v>
      </c>
      <c r="BI332" s="41" t="str">
        <f t="shared" si="306"/>
        <v>0,184515194951237+2,39531166193944i</v>
      </c>
      <c r="BJ332" s="20">
        <f t="shared" si="302"/>
        <v>7.6129350192587406</v>
      </c>
      <c r="BK332" s="43">
        <f t="shared" si="307"/>
        <v>85.595101346505032</v>
      </c>
      <c r="BL332">
        <f t="shared" si="303"/>
        <v>-2.6491389141121422</v>
      </c>
      <c r="BM332" s="43">
        <f t="shared" si="304"/>
        <v>76.051180685928699</v>
      </c>
    </row>
    <row r="333" spans="14:65" x14ac:dyDescent="0.25">
      <c r="N333" s="9">
        <v>15</v>
      </c>
      <c r="O333" s="34">
        <f t="shared" si="308"/>
        <v>14125.375446227561</v>
      </c>
      <c r="P333" s="33" t="str">
        <f t="shared" si="257"/>
        <v>66,7780509511648</v>
      </c>
      <c r="Q333" s="4" t="str">
        <f t="shared" si="258"/>
        <v>1+345,904291709025i</v>
      </c>
      <c r="R333" s="4">
        <f t="shared" si="270"/>
        <v>345.90573719255121</v>
      </c>
      <c r="S333" s="4">
        <f t="shared" si="271"/>
        <v>1.5679053617560856</v>
      </c>
      <c r="T333" s="4" t="str">
        <f t="shared" si="259"/>
        <v>1+0,0887523514621323i</v>
      </c>
      <c r="U333" s="4">
        <f t="shared" si="272"/>
        <v>1.0039307644902897</v>
      </c>
      <c r="V333" s="4">
        <f t="shared" si="273"/>
        <v>8.8520413167354497E-2</v>
      </c>
      <c r="W333" t="str">
        <f t="shared" si="260"/>
        <v>1-0,193069371502995i</v>
      </c>
      <c r="X333" s="4">
        <f t="shared" si="274"/>
        <v>1.0184673692429038</v>
      </c>
      <c r="Y333" s="4">
        <f t="shared" si="275"/>
        <v>-0.19072269922156596</v>
      </c>
      <c r="Z333" t="str">
        <f t="shared" si="261"/>
        <v>0,999800473768503+0,0379478512092762i</v>
      </c>
      <c r="AA333" s="4">
        <f t="shared" si="276"/>
        <v>1.0005203779829397</v>
      </c>
      <c r="AB333" s="4">
        <f t="shared" si="277"/>
        <v>3.7937213675316446E-2</v>
      </c>
      <c r="AC333" s="47" t="str">
        <f t="shared" si="278"/>
        <v>-0,026992573816137-0,195432853518909i</v>
      </c>
      <c r="AD333" s="20">
        <f t="shared" si="279"/>
        <v>-14.097981649754416</v>
      </c>
      <c r="AE333" s="43">
        <f t="shared" si="280"/>
        <v>-97.863761782132926</v>
      </c>
      <c r="AF333" t="str">
        <f t="shared" si="262"/>
        <v>223,849857273222</v>
      </c>
      <c r="AG333" t="str">
        <f t="shared" si="263"/>
        <v>1+350,348366557332i</v>
      </c>
      <c r="AH333">
        <f t="shared" si="281"/>
        <v>350.34979370536337</v>
      </c>
      <c r="AI333">
        <f t="shared" si="282"/>
        <v>1.5679420326699949</v>
      </c>
      <c r="AJ333" t="str">
        <f t="shared" si="264"/>
        <v>1+0,0887523514621323i</v>
      </c>
      <c r="AK333">
        <f t="shared" si="283"/>
        <v>1.0039307644902897</v>
      </c>
      <c r="AL333">
        <f t="shared" si="284"/>
        <v>8.8520413167354497E-2</v>
      </c>
      <c r="AM333" t="str">
        <f t="shared" si="265"/>
        <v>1-0,0583356718443105i</v>
      </c>
      <c r="AN333">
        <f t="shared" si="285"/>
        <v>1.0017000801684739</v>
      </c>
      <c r="AO333">
        <f t="shared" si="286"/>
        <v>-5.8269633549746083E-2</v>
      </c>
      <c r="AP333" s="41" t="str">
        <f t="shared" si="287"/>
        <v>0,0212672656908478-0,642182404754602i</v>
      </c>
      <c r="AQ333">
        <f t="shared" si="288"/>
        <v>-3.8420714557950064</v>
      </c>
      <c r="AR333" s="43">
        <f t="shared" si="289"/>
        <v>-88.103218994084813</v>
      </c>
      <c r="AS333" t="str">
        <f t="shared" si="266"/>
        <v>-0,0000166666666666667</v>
      </c>
      <c r="AT333" t="str">
        <f t="shared" si="267"/>
        <v>0,0000890186085165187i</v>
      </c>
      <c r="AU333">
        <f t="shared" si="290"/>
        <v>8.9018608516518703E-5</v>
      </c>
      <c r="AV333">
        <f t="shared" si="291"/>
        <v>1.5707963267948966</v>
      </c>
      <c r="AW333" t="str">
        <f t="shared" si="268"/>
        <v>1+0,0584013479212436i</v>
      </c>
      <c r="AX333">
        <f t="shared" si="292"/>
        <v>1.0017039070698577</v>
      </c>
      <c r="AY333">
        <f t="shared" si="293"/>
        <v>5.8335086635653836E-2</v>
      </c>
      <c r="AZ333" t="str">
        <f t="shared" si="269"/>
        <v>1+19,5255173216691i</v>
      </c>
      <c r="BA333">
        <f t="shared" si="294"/>
        <v>19.551108067800147</v>
      </c>
      <c r="BB333">
        <f t="shared" si="295"/>
        <v>1.5196260028305679</v>
      </c>
      <c r="BC333" s="41" t="str">
        <f t="shared" si="296"/>
        <v>-3,63237626308077+0,399362441316536i</v>
      </c>
      <c r="BD333">
        <f t="shared" si="297"/>
        <v>11.255999135829178</v>
      </c>
      <c r="BE333" s="43">
        <f t="shared" si="298"/>
        <v>173.72580213877384</v>
      </c>
      <c r="BF333" s="41" t="str">
        <f t="shared" si="299"/>
        <v>0,17609572590396+0,699105837971597i</v>
      </c>
      <c r="BG333" s="20">
        <f t="shared" si="300"/>
        <v>-2.841982513925239</v>
      </c>
      <c r="BH333" s="43">
        <f t="shared" si="301"/>
        <v>75.862040356640904</v>
      </c>
      <c r="BI333" s="41" t="str">
        <f t="shared" si="306"/>
        <v>0,179212821857254+2,34114147074517i</v>
      </c>
      <c r="BJ333" s="20">
        <f t="shared" si="302"/>
        <v>7.4139276800341793</v>
      </c>
      <c r="BK333" s="43">
        <f t="shared" si="307"/>
        <v>85.622583144689031</v>
      </c>
      <c r="BL333">
        <f t="shared" si="303"/>
        <v>-2.841982513925239</v>
      </c>
      <c r="BM333" s="43">
        <f t="shared" si="304"/>
        <v>75.862040356640904</v>
      </c>
    </row>
    <row r="334" spans="14:65" x14ac:dyDescent="0.25">
      <c r="N334" s="9">
        <v>16</v>
      </c>
      <c r="O334" s="34">
        <f t="shared" si="308"/>
        <v>14454.397707459291</v>
      </c>
      <c r="P334" s="33" t="str">
        <f t="shared" si="257"/>
        <v>66,7780509511648</v>
      </c>
      <c r="Q334" s="4" t="str">
        <f t="shared" si="258"/>
        <v>1+353,961437705683i</v>
      </c>
      <c r="R334" s="4">
        <f t="shared" si="270"/>
        <v>353.96285028611987</v>
      </c>
      <c r="S334" s="4">
        <f t="shared" si="271"/>
        <v>1.5679711678002541</v>
      </c>
      <c r="T334" s="4" t="str">
        <f t="shared" si="259"/>
        <v>1+0,0908196592996385i</v>
      </c>
      <c r="U334" s="4">
        <f t="shared" si="272"/>
        <v>1.004115636027695</v>
      </c>
      <c r="V334" s="4">
        <f t="shared" si="273"/>
        <v>9.0571187922277294E-2</v>
      </c>
      <c r="W334" t="str">
        <f t="shared" si="260"/>
        <v>1-0,197566534883065i</v>
      </c>
      <c r="X334" s="4">
        <f t="shared" si="274"/>
        <v>1.0193294539576991</v>
      </c>
      <c r="Y334" s="4">
        <f t="shared" si="275"/>
        <v>-0.19505459831010064</v>
      </c>
      <c r="Z334" t="str">
        <f t="shared" si="261"/>
        <v>0,999791070386915+0,0388317702145651i</v>
      </c>
      <c r="AA334" s="4">
        <f t="shared" si="276"/>
        <v>1.0005448969453645</v>
      </c>
      <c r="AB334" s="4">
        <f t="shared" si="277"/>
        <v>3.882037221156294E-2</v>
      </c>
      <c r="AC334" s="47" t="str">
        <f t="shared" si="278"/>
        <v>-0,027022073327212-0,191090181191926i</v>
      </c>
      <c r="AD334" s="20">
        <f t="shared" si="279"/>
        <v>-14.289244445374989</v>
      </c>
      <c r="AE334" s="43">
        <f t="shared" si="280"/>
        <v>-98.048832244358664</v>
      </c>
      <c r="AF334" t="str">
        <f t="shared" si="262"/>
        <v>223,849857273222</v>
      </c>
      <c r="AG334" t="str">
        <f t="shared" si="263"/>
        <v>1+358,509028355126i</v>
      </c>
      <c r="AH334">
        <f t="shared" si="281"/>
        <v>358.51042301742996</v>
      </c>
      <c r="AI334">
        <f t="shared" si="282"/>
        <v>1.5680070039955625</v>
      </c>
      <c r="AJ334" t="str">
        <f t="shared" si="264"/>
        <v>1+0,0908196592996385i</v>
      </c>
      <c r="AK334">
        <f t="shared" si="283"/>
        <v>1.004115636027695</v>
      </c>
      <c r="AL334">
        <f t="shared" si="284"/>
        <v>9.0571187922277294E-2</v>
      </c>
      <c r="AM334" t="str">
        <f t="shared" si="265"/>
        <v>1-0,0596944841982726i</v>
      </c>
      <c r="AN334">
        <f t="shared" si="285"/>
        <v>1.0017801312881474</v>
      </c>
      <c r="AO334">
        <f t="shared" si="286"/>
        <v>-5.9623729680099387E-2</v>
      </c>
      <c r="AP334" s="41" t="str">
        <f t="shared" si="287"/>
        <v>0,0211851934963446-0,627717131845042i</v>
      </c>
      <c r="AQ334">
        <f t="shared" si="288"/>
        <v>-4.0397764166645924</v>
      </c>
      <c r="AR334" s="43">
        <f t="shared" si="289"/>
        <v>-88.067024831964403</v>
      </c>
      <c r="AS334" t="str">
        <f t="shared" si="266"/>
        <v>-0,0000166666666666667</v>
      </c>
      <c r="AT334" t="str">
        <f t="shared" si="267"/>
        <v>0,0000910921182775375i</v>
      </c>
      <c r="AU334">
        <f t="shared" si="290"/>
        <v>9.1092118277537505E-5</v>
      </c>
      <c r="AV334">
        <f t="shared" si="291"/>
        <v>1.5707963267948966</v>
      </c>
      <c r="AW334" t="str">
        <f t="shared" si="268"/>
        <v>1+0,0597616900675587i</v>
      </c>
      <c r="AX334">
        <f t="shared" si="292"/>
        <v>1.0017841382252621</v>
      </c>
      <c r="AY334">
        <f t="shared" si="293"/>
        <v>5.9690696648425003E-2</v>
      </c>
      <c r="AZ334" t="str">
        <f t="shared" si="269"/>
        <v>1+19,9803250459205i</v>
      </c>
      <c r="BA334">
        <f t="shared" si="294"/>
        <v>20.005334012223791</v>
      </c>
      <c r="BB334">
        <f t="shared" si="295"/>
        <v>1.5207888181553688</v>
      </c>
      <c r="BC334" s="41" t="str">
        <f t="shared" si="296"/>
        <v>-3,63179446494029+0,400007144969892i</v>
      </c>
      <c r="BD334">
        <f t="shared" si="297"/>
        <v>11.254792081352686</v>
      </c>
      <c r="BE334" s="43">
        <f t="shared" si="298"/>
        <v>173.71475581684061</v>
      </c>
      <c r="BF334" s="41" t="str">
        <f t="shared" si="299"/>
        <v>0,174576054151341+0,683191239954489i</v>
      </c>
      <c r="BG334" s="20">
        <f t="shared" si="300"/>
        <v>-3.0344523640223011</v>
      </c>
      <c r="BH334" s="43">
        <f t="shared" si="301"/>
        <v>75.665923572481944</v>
      </c>
      <c r="BI334" s="41" t="str">
        <f t="shared" si="306"/>
        <v>0,174151069279311+2,28821383374913i</v>
      </c>
      <c r="BJ334" s="20">
        <f t="shared" si="302"/>
        <v>7.2150156646881127</v>
      </c>
      <c r="BK334" s="43">
        <f t="shared" si="307"/>
        <v>85.647730984876247</v>
      </c>
      <c r="BL334">
        <f t="shared" si="303"/>
        <v>-3.0344523640223011</v>
      </c>
      <c r="BM334" s="43">
        <f t="shared" si="304"/>
        <v>75.665923572481944</v>
      </c>
    </row>
    <row r="335" spans="14:65" x14ac:dyDescent="0.25">
      <c r="N335" s="9">
        <v>17</v>
      </c>
      <c r="O335" s="34">
        <f t="shared" si="308"/>
        <v>14791.083881682089</v>
      </c>
      <c r="P335" s="33" t="str">
        <f t="shared" si="257"/>
        <v>66,7780509511648</v>
      </c>
      <c r="Q335" s="4" t="str">
        <f t="shared" si="258"/>
        <v>1+362,206258741846i</v>
      </c>
      <c r="R335" s="4">
        <f t="shared" si="270"/>
        <v>362.20763916815048</v>
      </c>
      <c r="S335" s="4">
        <f t="shared" si="271"/>
        <v>1.5680354759396229</v>
      </c>
      <c r="T335" s="4" t="str">
        <f t="shared" si="259"/>
        <v>1+0,0929351209226457i</v>
      </c>
      <c r="U335" s="4">
        <f t="shared" si="272"/>
        <v>1.0043091838178653</v>
      </c>
      <c r="V335" s="4">
        <f t="shared" si="273"/>
        <v>9.2668940703845334E-2</v>
      </c>
      <c r="W335" t="str">
        <f t="shared" si="260"/>
        <v>1-0,202168450655031i</v>
      </c>
      <c r="X335" s="4">
        <f t="shared" si="274"/>
        <v>1.0202313867159036</v>
      </c>
      <c r="Y335" s="4">
        <f t="shared" si="275"/>
        <v>-0.19947973641570388</v>
      </c>
      <c r="Z335" t="str">
        <f t="shared" si="261"/>
        <v>0,999781223837605+0,039736278338421i</v>
      </c>
      <c r="AA335" s="4">
        <f t="shared" si="276"/>
        <v>1.000570570901627</v>
      </c>
      <c r="AB335" s="4">
        <f t="shared" si="277"/>
        <v>3.9724065517179545E-2</v>
      </c>
      <c r="AC335" s="47" t="str">
        <f t="shared" si="278"/>
        <v>-0,0270506473647466-0,186848807116141i</v>
      </c>
      <c r="AD335" s="20">
        <f t="shared" si="279"/>
        <v>-14.480109546202311</v>
      </c>
      <c r="AE335" s="43">
        <f t="shared" si="280"/>
        <v>-98.237643998086796</v>
      </c>
      <c r="AF335" t="str">
        <f t="shared" si="262"/>
        <v>223,849857273222</v>
      </c>
      <c r="AG335" t="str">
        <f t="shared" si="263"/>
        <v>1+366,859776385183i</v>
      </c>
      <c r="AH335">
        <f t="shared" si="281"/>
        <v>366.86113930121633</v>
      </c>
      <c r="AI335">
        <f t="shared" si="282"/>
        <v>1.5680704964159571</v>
      </c>
      <c r="AJ335" t="str">
        <f t="shared" si="264"/>
        <v>1+0,0929351209226457i</v>
      </c>
      <c r="AK335">
        <f t="shared" si="283"/>
        <v>1.0043091838178653</v>
      </c>
      <c r="AL335">
        <f t="shared" si="284"/>
        <v>9.2668940703845334E-2</v>
      </c>
      <c r="AM335" t="str">
        <f t="shared" si="265"/>
        <v>1-0,0610849473579065i</v>
      </c>
      <c r="AN335">
        <f t="shared" si="285"/>
        <v>1.0018639482453284</v>
      </c>
      <c r="AO335">
        <f t="shared" si="286"/>
        <v>-6.1009140141732594E-2</v>
      </c>
      <c r="AP335" s="41" t="str">
        <f t="shared" si="287"/>
        <v>0,0211068151028903-0,613584662255517i</v>
      </c>
      <c r="AQ335">
        <f t="shared" si="288"/>
        <v>-4.237374112300115</v>
      </c>
      <c r="AR335" s="43">
        <f t="shared" si="289"/>
        <v>-88.029848471183257</v>
      </c>
      <c r="AS335" t="str">
        <f t="shared" si="266"/>
        <v>-0,0000166666666666667</v>
      </c>
      <c r="AT335" t="str">
        <f t="shared" si="267"/>
        <v>0,0000932139262854137i</v>
      </c>
      <c r="AU335">
        <f t="shared" si="290"/>
        <v>9.3213926285413704E-5</v>
      </c>
      <c r="AV335">
        <f t="shared" si="291"/>
        <v>1.5707963267948966</v>
      </c>
      <c r="AW335" t="str">
        <f t="shared" si="268"/>
        <v>1+0,0611537186529872i</v>
      </c>
      <c r="AX335">
        <f t="shared" si="292"/>
        <v>1.0018681436721544</v>
      </c>
      <c r="AY335">
        <f t="shared" si="293"/>
        <v>6.1077655492700653E-2</v>
      </c>
      <c r="AZ335" t="str">
        <f t="shared" si="269"/>
        <v>1+20,445726602982i</v>
      </c>
      <c r="BA335">
        <f t="shared" si="294"/>
        <v>20.470166983292678</v>
      </c>
      <c r="BB335">
        <f t="shared" si="295"/>
        <v>1.5219252953707563</v>
      </c>
      <c r="BC335" s="41" t="str">
        <f t="shared" si="296"/>
        <v>-3,63118544722026+0,400860671803551i</v>
      </c>
      <c r="BD335">
        <f t="shared" si="297"/>
        <v>11.253575320644096</v>
      </c>
      <c r="BE335" s="43">
        <f t="shared" si="298"/>
        <v>173.70040427665975</v>
      </c>
      <c r="BF335" s="41" t="str">
        <f t="shared" si="299"/>
        <v>0,173126255395023+0,667639128555243i</v>
      </c>
      <c r="BG335" s="20">
        <f t="shared" si="300"/>
        <v>-3.2265342255582175</v>
      </c>
      <c r="BH335" s="43">
        <f t="shared" si="301"/>
        <v>75.462760278572972</v>
      </c>
      <c r="BI335" s="41" t="str">
        <f t="shared" si="306"/>
        <v>0,169319200081317+2,23650058830157i</v>
      </c>
      <c r="BJ335" s="20">
        <f t="shared" si="302"/>
        <v>7.0162012083439809</v>
      </c>
      <c r="BK335" s="43">
        <f t="shared" si="307"/>
        <v>85.670555805476525</v>
      </c>
      <c r="BL335">
        <f t="shared" si="303"/>
        <v>-3.2265342255582175</v>
      </c>
      <c r="BM335" s="43">
        <f t="shared" si="304"/>
        <v>75.462760278572972</v>
      </c>
    </row>
    <row r="336" spans="14:65" x14ac:dyDescent="0.25">
      <c r="N336" s="9">
        <v>18</v>
      </c>
      <c r="O336" s="34">
        <f t="shared" si="308"/>
        <v>15135.612484362096</v>
      </c>
      <c r="P336" s="33" t="str">
        <f t="shared" si="257"/>
        <v>66,7780509511648</v>
      </c>
      <c r="Q336" s="4" t="str">
        <f t="shared" si="258"/>
        <v>1+370,643126330761i</v>
      </c>
      <c r="R336" s="4">
        <f t="shared" si="270"/>
        <v>370.64447533484224</v>
      </c>
      <c r="S336" s="4">
        <f t="shared" si="271"/>
        <v>1.5680983202690901</v>
      </c>
      <c r="T336" s="4" t="str">
        <f t="shared" si="259"/>
        <v>1+0,0950998579769078i</v>
      </c>
      <c r="U336" s="4">
        <f t="shared" si="272"/>
        <v>1.0045118132641486</v>
      </c>
      <c r="V336" s="4">
        <f t="shared" si="273"/>
        <v>9.481470987714069E-2</v>
      </c>
      <c r="W336" t="str">
        <f t="shared" si="260"/>
        <v>1-0,206877558815551i</v>
      </c>
      <c r="X336" s="4">
        <f t="shared" si="274"/>
        <v>1.0211749724417858</v>
      </c>
      <c r="Y336" s="4">
        <f t="shared" si="275"/>
        <v>-0.20399976625582036</v>
      </c>
      <c r="Z336" t="str">
        <f t="shared" si="261"/>
        <v>0,999770913234723+0,0406618551630237i</v>
      </c>
      <c r="AA336" s="4">
        <f t="shared" si="276"/>
        <v>1.0005974542319658</v>
      </c>
      <c r="AB336" s="4">
        <f t="shared" si="277"/>
        <v>4.0648769292086155E-2</v>
      </c>
      <c r="AC336" s="47" t="str">
        <f t="shared" si="278"/>
        <v>-0,0270783564700984-0,182706481893621i</v>
      </c>
      <c r="AD336" s="20">
        <f t="shared" si="279"/>
        <v>-14.67055949419442</v>
      </c>
      <c r="AE336" s="43">
        <f t="shared" si="280"/>
        <v>-98.430261452206352</v>
      </c>
      <c r="AF336" t="str">
        <f t="shared" si="262"/>
        <v>223,849857273222</v>
      </c>
      <c r="AG336" t="str">
        <f t="shared" si="263"/>
        <v>1+375,405038324642i</v>
      </c>
      <c r="AH336">
        <f t="shared" si="281"/>
        <v>375.40637021703026</v>
      </c>
      <c r="AI336">
        <f t="shared" si="282"/>
        <v>1.5681325435936517</v>
      </c>
      <c r="AJ336" t="str">
        <f t="shared" si="264"/>
        <v>1+0,0950998579769078i</v>
      </c>
      <c r="AK336">
        <f t="shared" si="283"/>
        <v>1.0045118132641486</v>
      </c>
      <c r="AL336">
        <f t="shared" si="284"/>
        <v>9.481470987714069E-2</v>
      </c>
      <c r="AM336" t="str">
        <f t="shared" si="265"/>
        <v>1-0,0625077985651845i</v>
      </c>
      <c r="AN336">
        <f t="shared" si="285"/>
        <v>1.0019517078589495</v>
      </c>
      <c r="AO336">
        <f t="shared" si="286"/>
        <v>-6.2426578212758502E-2</v>
      </c>
      <c r="AP336" s="41" t="str">
        <f t="shared" si="287"/>
        <v>0,0210319642669956-0,59977750413934i</v>
      </c>
      <c r="AQ336">
        <f t="shared" si="288"/>
        <v>-4.4348595526157109</v>
      </c>
      <c r="AR336" s="43">
        <f t="shared" si="289"/>
        <v>-87.991673214347685</v>
      </c>
      <c r="AS336" t="str">
        <f t="shared" si="266"/>
        <v>-0,0000166666666666667</v>
      </c>
      <c r="AT336" t="str">
        <f t="shared" si="267"/>
        <v>0,0000953851575508386i</v>
      </c>
      <c r="AU336">
        <f t="shared" si="290"/>
        <v>9.5385157550838595E-5</v>
      </c>
      <c r="AV336">
        <f t="shared" si="291"/>
        <v>1.5707963267948966</v>
      </c>
      <c r="AW336" t="str">
        <f t="shared" si="268"/>
        <v>1+0,0625781717495106i</v>
      </c>
      <c r="AX336">
        <f t="shared" si="292"/>
        <v>1.0019561006249282</v>
      </c>
      <c r="AY336">
        <f t="shared" si="293"/>
        <v>6.2496677196120856E-2</v>
      </c>
      <c r="AZ336" t="str">
        <f t="shared" si="269"/>
        <v>1+20,9219687549197i</v>
      </c>
      <c r="BA336">
        <f t="shared" si="294"/>
        <v>20.94585344601256</v>
      </c>
      <c r="BB336">
        <f t="shared" si="295"/>
        <v>1.5230360253025095</v>
      </c>
      <c r="BC336" s="41" t="str">
        <f t="shared" si="296"/>
        <v>-3,63054794626004+0,401923242555069i</v>
      </c>
      <c r="BD336">
        <f t="shared" si="297"/>
        <v>11.252346297227112</v>
      </c>
      <c r="BE336" s="43">
        <f t="shared" si="298"/>
        <v>173.68274045928462</v>
      </c>
      <c r="BF336" s="41" t="str">
        <f t="shared" si="299"/>
        <v>0,171743253109126+0,652441221771759i</v>
      </c>
      <c r="BG336" s="20">
        <f t="shared" si="300"/>
        <v>-3.4182131969673071</v>
      </c>
      <c r="BH336" s="43">
        <f t="shared" si="301"/>
        <v>75.252479007078264</v>
      </c>
      <c r="BI336" s="41" t="str">
        <f t="shared" si="306"/>
        <v>0,164706964599914+2,18597422114155i</v>
      </c>
      <c r="BJ336" s="20">
        <f t="shared" si="302"/>
        <v>6.8174867446114131</v>
      </c>
      <c r="BK336" s="43">
        <f t="shared" si="307"/>
        <v>85.691067244936946</v>
      </c>
      <c r="BL336">
        <f t="shared" si="303"/>
        <v>-3.4182131969673071</v>
      </c>
      <c r="BM336" s="43">
        <f t="shared" si="304"/>
        <v>75.252479007078264</v>
      </c>
    </row>
    <row r="337" spans="14:65" x14ac:dyDescent="0.25">
      <c r="N337" s="9">
        <v>19</v>
      </c>
      <c r="O337" s="34">
        <f t="shared" si="308"/>
        <v>15488.166189124853</v>
      </c>
      <c r="P337" s="33" t="str">
        <f t="shared" si="257"/>
        <v>66,7780509511648</v>
      </c>
      <c r="Q337" s="4" t="str">
        <f t="shared" si="258"/>
        <v>1+379,276513811299i</v>
      </c>
      <c r="R337" s="4">
        <f t="shared" si="270"/>
        <v>379.27783210840636</v>
      </c>
      <c r="S337" s="4">
        <f t="shared" si="271"/>
        <v>1.5681597341075639</v>
      </c>
      <c r="T337" s="4" t="str">
        <f t="shared" si="259"/>
        <v>1+0,0973150182346649i</v>
      </c>
      <c r="U337" s="4">
        <f t="shared" si="272"/>
        <v>1.0047239485420925</v>
      </c>
      <c r="V337" s="4">
        <f t="shared" si="273"/>
        <v>9.7009554075240173E-2</v>
      </c>
      <c r="W337" t="str">
        <f t="shared" si="260"/>
        <v>1-0,211696356196103i</v>
      </c>
      <c r="X337" s="4">
        <f t="shared" si="274"/>
        <v>1.0221620943992724</v>
      </c>
      <c r="Y337" s="4">
        <f t="shared" si="275"/>
        <v>-0.20861634528330572</v>
      </c>
      <c r="Z337" t="str">
        <f t="shared" si="261"/>
        <v>0,999760116708098+0,0416089914414572i</v>
      </c>
      <c r="AA337" s="4">
        <f t="shared" si="276"/>
        <v>1.0006256038743786</v>
      </c>
      <c r="AB337" s="4">
        <f t="shared" si="277"/>
        <v>4.1594970130030016E-2</v>
      </c>
      <c r="AC337" s="47" t="str">
        <f t="shared" si="278"/>
        <v>-0,027105259343881-0,178661008544307i</v>
      </c>
      <c r="AD337" s="20">
        <f t="shared" si="279"/>
        <v>-14.860576126048741</v>
      </c>
      <c r="AE337" s="43">
        <f t="shared" si="280"/>
        <v>-98.626748705364179</v>
      </c>
      <c r="AF337" t="str">
        <f t="shared" si="262"/>
        <v>223,849857273222</v>
      </c>
      <c r="AG337" t="str">
        <f t="shared" si="263"/>
        <v>1+384,149344984495i</v>
      </c>
      <c r="AH337">
        <f t="shared" si="281"/>
        <v>384.15064655941495</v>
      </c>
      <c r="AI337">
        <f t="shared" si="282"/>
        <v>1.568193178424969</v>
      </c>
      <c r="AJ337" t="str">
        <f t="shared" si="264"/>
        <v>1+0,0973150182346649i</v>
      </c>
      <c r="AK337">
        <f t="shared" si="283"/>
        <v>1.0047239485420925</v>
      </c>
      <c r="AL337">
        <f t="shared" si="284"/>
        <v>9.7009554075240173E-2</v>
      </c>
      <c r="AM337" t="str">
        <f t="shared" si="265"/>
        <v>1-0,0639637922346504i</v>
      </c>
      <c r="AN337">
        <f t="shared" si="285"/>
        <v>1.0020435952178115</v>
      </c>
      <c r="AO337">
        <f t="shared" si="286"/>
        <v>-6.3876772642198265E-2</v>
      </c>
      <c r="AP337" s="41" t="str">
        <f t="shared" si="287"/>
        <v>0,0209604822269257-0,586288338042436i</v>
      </c>
      <c r="AQ337">
        <f t="shared" si="288"/>
        <v>-4.6322275194871088</v>
      </c>
      <c r="AR337" s="43">
        <f t="shared" si="289"/>
        <v>-87.952482045314071</v>
      </c>
      <c r="AS337" t="str">
        <f t="shared" si="266"/>
        <v>-0,0000166666666666667</v>
      </c>
      <c r="AT337" t="str">
        <f t="shared" si="267"/>
        <v>0,0000976069632893689i</v>
      </c>
      <c r="AU337">
        <f t="shared" si="290"/>
        <v>9.7606963289368899E-5</v>
      </c>
      <c r="AV337">
        <f t="shared" si="291"/>
        <v>1.5707963267948966</v>
      </c>
      <c r="AW337" t="str">
        <f t="shared" si="268"/>
        <v>1+0,0640358046210158i</v>
      </c>
      <c r="AX337">
        <f t="shared" si="292"/>
        <v>1.002048194586199</v>
      </c>
      <c r="AY337">
        <f t="shared" si="293"/>
        <v>6.3948491270880509E-2</v>
      </c>
      <c r="AZ337" t="str">
        <f t="shared" si="269"/>
        <v>1+21,4093040116263i</v>
      </c>
      <c r="BA337">
        <f t="shared" si="294"/>
        <v>21.432645619760478</v>
      </c>
      <c r="BB337">
        <f t="shared" si="295"/>
        <v>1.5241215859054631</v>
      </c>
      <c r="BC337" s="41" t="str">
        <f t="shared" si="296"/>
        <v>-3,62988064067666+0,403195172434274i</v>
      </c>
      <c r="BD337">
        <f t="shared" si="297"/>
        <v>11.251102429566647</v>
      </c>
      <c r="BE337" s="43">
        <f t="shared" si="298"/>
        <v>173.66175568111817</v>
      </c>
      <c r="BF337" s="41" t="str">
        <f t="shared" si="299"/>
        <v>0,170424112300177+0,637589426443716i</v>
      </c>
      <c r="BG337" s="20">
        <f t="shared" si="300"/>
        <v>-3.6094736964820875</v>
      </c>
      <c r="BH337" s="43">
        <f t="shared" si="301"/>
        <v>75.035006975753959</v>
      </c>
      <c r="BI337" s="41" t="str">
        <f t="shared" si="306"/>
        <v>0,160304578898459+2,13660785336052i</v>
      </c>
      <c r="BJ337" s="20">
        <f t="shared" si="302"/>
        <v>6.6188749100795281</v>
      </c>
      <c r="BK337" s="43">
        <f t="shared" si="307"/>
        <v>85.709273635804081</v>
      </c>
      <c r="BL337">
        <f t="shared" si="303"/>
        <v>-3.6094736964820875</v>
      </c>
      <c r="BM337" s="43">
        <f t="shared" si="304"/>
        <v>75.035006975753959</v>
      </c>
    </row>
    <row r="338" spans="14:65" x14ac:dyDescent="0.25">
      <c r="N338" s="9">
        <v>20</v>
      </c>
      <c r="O338" s="34">
        <f t="shared" si="308"/>
        <v>15848.931924611146</v>
      </c>
      <c r="P338" s="33" t="str">
        <f t="shared" si="257"/>
        <v>66,7780509511648</v>
      </c>
      <c r="Q338" s="4" t="str">
        <f t="shared" si="258"/>
        <v>1+388,110998719776i</v>
      </c>
      <c r="R338" s="4">
        <f t="shared" si="270"/>
        <v>388.11228700887835</v>
      </c>
      <c r="S338" s="4">
        <f t="shared" si="271"/>
        <v>1.5682197500156205</v>
      </c>
      <c r="T338" s="4" t="str">
        <f t="shared" si="259"/>
        <v>1+0,0995817762032062i</v>
      </c>
      <c r="U338" s="4">
        <f t="shared" si="272"/>
        <v>1.0049460334524365</v>
      </c>
      <c r="V338" s="4">
        <f t="shared" si="273"/>
        <v>9.9254552400528856E-2</v>
      </c>
      <c r="W338" t="str">
        <f t="shared" si="260"/>
        <v>1-0,216627397786842i</v>
      </c>
      <c r="X338" s="4">
        <f t="shared" si="274"/>
        <v>1.0231947172810749</v>
      </c>
      <c r="Y338" s="4">
        <f t="shared" si="275"/>
        <v>-0.21333113376332982</v>
      </c>
      <c r="Z338" t="str">
        <f t="shared" si="261"/>
        <v>0,999748811356849+0,0425781893579129i</v>
      </c>
      <c r="AA338" s="4">
        <f t="shared" si="276"/>
        <v>1.0006550794446758</v>
      </c>
      <c r="AB338" s="4">
        <f t="shared" si="277"/>
        <v>4.256316575904321E-2</v>
      </c>
      <c r="AC338" s="47" t="str">
        <f t="shared" si="278"/>
        <v>-0,0271314129698504-0,174710241338019i</v>
      </c>
      <c r="AD338" s="20">
        <f t="shared" si="279"/>
        <v>-15.050140550225123</v>
      </c>
      <c r="AE338" s="43">
        <f t="shared" si="280"/>
        <v>-98.827169439034208</v>
      </c>
      <c r="AF338" t="str">
        <f t="shared" si="262"/>
        <v>223,849857273222</v>
      </c>
      <c r="AG338" t="str">
        <f t="shared" si="263"/>
        <v>1+393,097332711875i</v>
      </c>
      <c r="AH338">
        <f t="shared" si="281"/>
        <v>393.09860465942967</v>
      </c>
      <c r="AI338">
        <f t="shared" si="282"/>
        <v>1.5682524330575147</v>
      </c>
      <c r="AJ338" t="str">
        <f t="shared" si="264"/>
        <v>1+0,0995817762032062i</v>
      </c>
      <c r="AK338">
        <f t="shared" si="283"/>
        <v>1.0049460334524365</v>
      </c>
      <c r="AL338">
        <f t="shared" si="284"/>
        <v>9.9254552400528856E-2</v>
      </c>
      <c r="AM338" t="str">
        <f t="shared" si="265"/>
        <v>1-0,0654537003534197i</v>
      </c>
      <c r="AN338">
        <f t="shared" si="285"/>
        <v>1.0021398040642608</v>
      </c>
      <c r="AO338">
        <f t="shared" si="286"/>
        <v>-6.5360467929760926E-2</v>
      </c>
      <c r="AP338" s="41" t="str">
        <f t="shared" si="287"/>
        <v>0,0208922173660044-0,573110013028629i</v>
      </c>
      <c r="AQ338">
        <f t="shared" si="288"/>
        <v>-4.8294725566382004</v>
      </c>
      <c r="AR338" s="43">
        <f t="shared" si="289"/>
        <v>-87.912257634683343</v>
      </c>
      <c r="AS338" t="str">
        <f t="shared" si="266"/>
        <v>-0,0000166666666666667</v>
      </c>
      <c r="AT338" t="str">
        <f t="shared" si="267"/>
        <v>0,0000998805215318159i</v>
      </c>
      <c r="AU338">
        <f t="shared" si="290"/>
        <v>9.9880521531815902E-5</v>
      </c>
      <c r="AV338">
        <f t="shared" si="291"/>
        <v>1.5707963267948966</v>
      </c>
      <c r="AW338" t="str">
        <f t="shared" si="268"/>
        <v>1+0,0655273901237449i</v>
      </c>
      <c r="AX338">
        <f t="shared" si="292"/>
        <v>1.0021446197313189</v>
      </c>
      <c r="AY338">
        <f t="shared" si="293"/>
        <v>6.5433842993559893E-2</v>
      </c>
      <c r="AZ338" t="str">
        <f t="shared" si="269"/>
        <v>1+21,9079907647053i</v>
      </c>
      <c r="BA338">
        <f t="shared" si="294"/>
        <v>21.930801612034447</v>
      </c>
      <c r="BB338">
        <f t="shared" si="295"/>
        <v>1.5251825425182384</v>
      </c>
      <c r="BC338" s="41" t="str">
        <f t="shared" si="296"/>
        <v>-3,62918214881867+0,404676870145752i</v>
      </c>
      <c r="BD338">
        <f t="shared" si="297"/>
        <v>11.249841105805761</v>
      </c>
      <c r="BE338" s="43">
        <f t="shared" si="298"/>
        <v>173.63743963247464</v>
      </c>
      <c r="BF338" s="41" t="str">
        <f t="shared" si="299"/>
        <v>0,169166033269487+0,623075833796469i</v>
      </c>
      <c r="BG338" s="20">
        <f t="shared" si="300"/>
        <v>-3.8002994444193683</v>
      </c>
      <c r="BH338" s="43">
        <f t="shared" si="301"/>
        <v>74.810270193440402</v>
      </c>
      <c r="BI338" s="41" t="str">
        <f t="shared" si="306"/>
        <v>0,156102704007674+2,08837522572682i</v>
      </c>
      <c r="BJ338" s="20">
        <f t="shared" si="302"/>
        <v>6.4203685491675797</v>
      </c>
      <c r="BK338" s="43">
        <f t="shared" si="307"/>
        <v>85.72518199779131</v>
      </c>
      <c r="BL338">
        <f t="shared" si="303"/>
        <v>-3.8002994444193683</v>
      </c>
      <c r="BM338" s="43">
        <f t="shared" si="304"/>
        <v>74.810270193440402</v>
      </c>
    </row>
    <row r="339" spans="14:65" x14ac:dyDescent="0.25">
      <c r="N339" s="9">
        <v>21</v>
      </c>
      <c r="O339" s="34">
        <f t="shared" si="308"/>
        <v>16218.100973589309</v>
      </c>
      <c r="P339" s="33" t="str">
        <f t="shared" ref="P339:P402" si="309">COMPLEX(Adc,0)</f>
        <v>66,7780509511648</v>
      </c>
      <c r="Q339" s="4" t="str">
        <f t="shared" ref="Q339:Q402" si="310">IMSUM(COMPLEX(1,0),IMDIV(COMPLEX(0,2*PI()*O339),COMPLEX(wp_lf,0)))</f>
        <v>1+397,15126521703i</v>
      </c>
      <c r="R339" s="4">
        <f t="shared" si="270"/>
        <v>397.15252418118627</v>
      </c>
      <c r="S339" s="4">
        <f t="shared" si="271"/>
        <v>1.5682783998127583</v>
      </c>
      <c r="T339" s="4" t="str">
        <f t="shared" ref="T339:T402" si="311">IMSUM(COMPLEX(1,0),IMDIV(COMPLEX(0,2*PI()*O339),COMPLEX(wz_esr,0)))</f>
        <v>1+0,101901333747611i</v>
      </c>
      <c r="U339" s="4">
        <f t="shared" si="272"/>
        <v>1.0051785323113214</v>
      </c>
      <c r="V339" s="4">
        <f t="shared" si="273"/>
        <v>0.10155080461246867</v>
      </c>
      <c r="W339" t="str">
        <f t="shared" ref="W339:W402" si="312">IMSUB(COMPLEX(1,0),IMDIV(COMPLEX(0,2*PI()*O339),COMPLEX(wz_rhp,0)))</f>
        <v>1-0,22167329809129i</v>
      </c>
      <c r="X339" s="4">
        <f t="shared" si="274"/>
        <v>1.0242748903915735</v>
      </c>
      <c r="Y339" s="4">
        <f t="shared" si="275"/>
        <v>-0.21814579270177276</v>
      </c>
      <c r="Z339" t="str">
        <f t="shared" ref="Z339:Z402" si="313">IMSUM(COMPLEX(1,0),IMDIV(COMPLEX(0,2*PI()*O339),COMPLEX(Q*(wsl/2),0)),IMDIV(IMPOWER(COMPLEX(0,2*PI()*O339),2),IMPOWER(COMPLEX(wsl/2,0),2)))</f>
        <v>0,99973697320081+0,0435699627939552i</v>
      </c>
      <c r="AA339" s="4">
        <f t="shared" si="276"/>
        <v>1.0006859433621438</v>
      </c>
      <c r="AB339" s="4">
        <f t="shared" si="277"/>
        <v>4.3553865286558843E-2</v>
      </c>
      <c r="AC339" s="47" t="str">
        <f t="shared" si="278"/>
        <v>-0,0271568727350926-0,170852084653157i</v>
      </c>
      <c r="AD339" s="20">
        <f t="shared" si="279"/>
        <v>-15.239233123736444</v>
      </c>
      <c r="AE339" s="43">
        <f t="shared" si="280"/>
        <v>-99.031586803097738</v>
      </c>
      <c r="AF339" t="str">
        <f t="shared" ref="AF339:AF402" si="314">COMPLEX($B$72,0)</f>
        <v>223,849857273222</v>
      </c>
      <c r="AG339" t="str">
        <f t="shared" ref="AG339:AG402" si="315">IMSUM(COMPLEX(1,0),IMDIV(COMPLEX(0,2*PI()*O339),COMPLEX(wp_lf_DCM,0)))</f>
        <v>1+402,253745848316i</v>
      </c>
      <c r="AH339">
        <f t="shared" si="281"/>
        <v>402.25498884290005</v>
      </c>
      <c r="AI339">
        <f t="shared" si="282"/>
        <v>1.5683103389072139</v>
      </c>
      <c r="AJ339" t="str">
        <f t="shared" ref="AJ339:AJ402" si="316">IMSUM(COMPLEX(1,0),IMDIV(COMPLEX(0,2*PI()*O339),COMPLEX(wz1_dcm,0)))</f>
        <v>1+0,101901333747611i</v>
      </c>
      <c r="AK339">
        <f t="shared" si="283"/>
        <v>1.0051785323113214</v>
      </c>
      <c r="AL339">
        <f t="shared" si="284"/>
        <v>0.10155080461246867</v>
      </c>
      <c r="AM339" t="str">
        <f t="shared" ref="AM339:AM402" si="317">IMSUB(COMPLEX(1,0),IMDIV(COMPLEX(0,2*PI()*O339),COMPLEX(wz2_dcm,0)))</f>
        <v>1-0,0669783128904986i</v>
      </c>
      <c r="AN339">
        <f t="shared" si="285"/>
        <v>1.0022405371953669</v>
      </c>
      <c r="AO339">
        <f t="shared" si="286"/>
        <v>-6.6878424606522782E-2</v>
      </c>
      <c r="AP339" s="41" t="str">
        <f t="shared" si="287"/>
        <v>0,0208270248910679-0,560235542893812i</v>
      </c>
      <c r="AQ339">
        <f t="shared" si="288"/>
        <v>-5.026588959113055</v>
      </c>
      <c r="AR339" s="43">
        <f t="shared" si="289"/>
        <v>-87.870982346100661</v>
      </c>
      <c r="AS339" t="str">
        <f t="shared" ref="AS339:AS402" si="318">COMPLEX(Adc_ea,0)</f>
        <v>-0,0000166666666666667</v>
      </c>
      <c r="AT339" t="str">
        <f t="shared" ref="AT339:AT402" si="319">COMPLEX(0,2*PI()*O339*wp0_ea)</f>
        <v>0,000102207037748854i</v>
      </c>
      <c r="AU339">
        <f t="shared" si="290"/>
        <v>1.02207037748854E-4</v>
      </c>
      <c r="AV339">
        <f t="shared" si="291"/>
        <v>1.5707963267948966</v>
      </c>
      <c r="AW339" t="str">
        <f t="shared" ref="AW339:AW402" si="320">IMSUM(COMPLEX(1,0),IMDIV(COMPLEX(0,2*PI()*O339),COMPLEX(wp1_ea,0)))</f>
        <v>1+0,067053719116075i</v>
      </c>
      <c r="AX339">
        <f t="shared" si="292"/>
        <v>1.002245579310429</v>
      </c>
      <c r="AY339">
        <f t="shared" si="293"/>
        <v>6.6953493685838847E-2</v>
      </c>
      <c r="AZ339" t="str">
        <f t="shared" ref="AZ339:AZ402" si="321">IMSUM(COMPLEX(1,0),IMDIV(COMPLEX(0,2*PI()*O339),COMPLEX(wz_ea,0)))</f>
        <v>1+22,4182934244744i</v>
      </c>
      <c r="BA339">
        <f t="shared" si="294"/>
        <v>22.440585555324358</v>
      </c>
      <c r="BB339">
        <f t="shared" si="295"/>
        <v>1.5262194481146925</v>
      </c>
      <c r="BC339" s="41" t="str">
        <f t="shared" si="296"/>
        <v>-3,62845102611696+0,406368836882181i</v>
      </c>
      <c r="BD339">
        <f t="shared" si="297"/>
        <v>11.24855967844907</v>
      </c>
      <c r="BE339" s="43">
        <f t="shared" si="298"/>
        <v>173.60978037590326</v>
      </c>
      <c r="BF339" s="41" t="str">
        <f t="shared" si="299"/>
        <v>0,167966345661174+0,608892715087252i</v>
      </c>
      <c r="BG339" s="20">
        <f t="shared" si="300"/>
        <v>-3.9906734452873751</v>
      </c>
      <c r="BH339" s="43">
        <f t="shared" si="301"/>
        <v>74.578193572805475</v>
      </c>
      <c r="BI339" s="41" t="str">
        <f t="shared" si="306"/>
        <v>0,152092426108857+2,04125068436094i</v>
      </c>
      <c r="BJ339" s="20">
        <f t="shared" si="302"/>
        <v>6.2219707193359985</v>
      </c>
      <c r="BK339" s="43">
        <f t="shared" si="307"/>
        <v>85.738798029802581</v>
      </c>
      <c r="BL339">
        <f t="shared" si="303"/>
        <v>-3.9906734452873751</v>
      </c>
      <c r="BM339" s="43">
        <f t="shared" si="304"/>
        <v>74.578193572805475</v>
      </c>
    </row>
    <row r="340" spans="14:65" x14ac:dyDescent="0.25">
      <c r="N340" s="9">
        <v>22</v>
      </c>
      <c r="O340" s="34">
        <f t="shared" si="308"/>
        <v>16595.869074375616</v>
      </c>
      <c r="P340" s="33" t="str">
        <f t="shared" si="309"/>
        <v>66,7780509511648</v>
      </c>
      <c r="Q340" s="4" t="str">
        <f t="shared" si="310"/>
        <v>1+406,402106572024i</v>
      </c>
      <c r="R340" s="4">
        <f t="shared" ref="R340:R403" si="322">IMABS(Q340)</f>
        <v>406.40333687874505</v>
      </c>
      <c r="S340" s="4">
        <f t="shared" ref="S340:S403" si="323">IMARGUMENT(Q340)</f>
        <v>1.5683357145942611</v>
      </c>
      <c r="T340" s="4" t="str">
        <f t="shared" si="311"/>
        <v>1+0,104274920727993i</v>
      </c>
      <c r="U340" s="4">
        <f t="shared" ref="U340:U403" si="324">IMABS(T340)</f>
        <v>1.0054219308791854</v>
      </c>
      <c r="V340" s="4">
        <f t="shared" ref="V340:V403" si="325">IMARGUMENT(T340)</f>
        <v>0.1038994313003309</v>
      </c>
      <c r="W340" t="str">
        <f t="shared" si="312"/>
        <v>1-0,226836732512581i</v>
      </c>
      <c r="X340" s="4">
        <f t="shared" ref="X340:X403" si="326">IMABS(W340)</f>
        <v>1.0254047509237434</v>
      </c>
      <c r="Y340" s="4">
        <f t="shared" ref="Y340:Y403" si="327">IMARGUMENT(W340)</f>
        <v>-0.22306198161856639</v>
      </c>
      <c r="Z340" t="str">
        <f t="shared" si="313"/>
        <v>0,999724577129666+0,0445848376009877i</v>
      </c>
      <c r="AA340" s="4">
        <f t="shared" ref="AA340:AA403" si="328">IMABS(Z340)</f>
        <v>1.0007182609810796</v>
      </c>
      <c r="AB340" s="4">
        <f t="shared" ref="AB340:AB403" si="329">IMARGUMENT(Z340)</f>
        <v>4.456758944922494E-2</v>
      </c>
      <c r="AC340" s="47" t="str">
        <f t="shared" ref="AC340:AC403" si="330">(IMDIV(IMPRODUCT(P340,T340,W340),IMPRODUCT(Q340,Z340)))</f>
        <v>-0,0271816925467626-0,167084491861479i</v>
      </c>
      <c r="AD340" s="20">
        <f t="shared" ref="AD340:AD403" si="331">20*LOG(IMABS(AC340))</f>
        <v>-15.427833428758888</v>
      </c>
      <c r="AE340" s="43">
        <f t="shared" ref="AE340:AE403" si="332">(180/PI())*IMARGUMENT(AC340)</f>
        <v>-99.240063293647765</v>
      </c>
      <c r="AF340" t="str">
        <f t="shared" si="314"/>
        <v>223,849857273222</v>
      </c>
      <c r="AG340" t="str">
        <f t="shared" si="315"/>
        <v>1+411,623439245267i</v>
      </c>
      <c r="AH340">
        <f t="shared" ref="AH340:AH403" si="333">IMABS(AG340)</f>
        <v>411.62465394592436</v>
      </c>
      <c r="AI340">
        <f t="shared" ref="AI340:AI403" si="334">IMARGUMENT(AG340)</f>
        <v>1.5683669266749607</v>
      </c>
      <c r="AJ340" t="str">
        <f t="shared" si="316"/>
        <v>1+0,104274920727993i</v>
      </c>
      <c r="AK340">
        <f t="shared" ref="AK340:AK403" si="335">IMABS(AJ340)</f>
        <v>1.0054219308791854</v>
      </c>
      <c r="AL340">
        <f t="shared" ref="AL340:AL403" si="336">IMARGUMENT(AJ340)</f>
        <v>0.1038994313003309</v>
      </c>
      <c r="AM340" t="str">
        <f t="shared" si="317"/>
        <v>1-0,0685384382156351i</v>
      </c>
      <c r="AN340">
        <f t="shared" ref="AN340:AN403" si="337">IMABS(AM340)</f>
        <v>1.0023460068823731</v>
      </c>
      <c r="AO340">
        <f t="shared" ref="AO340:AO403" si="338">IMARGUMENT(AM340)</f>
        <v>-6.8431419516139111E-2</v>
      </c>
      <c r="AP340" s="41" t="str">
        <f t="shared" ref="AP340:AP403" si="339">(IMDIV(IMPRODUCT(AF340,AJ340,AM340),IMPRODUCT(AG340)))</f>
        <v>0,0207647665253886-0,54765810246712i</v>
      </c>
      <c r="AQ340">
        <f t="shared" ref="AQ340:AQ403" si="340">20*LOG(IMABS(AP340))</f>
        <v>-5.2235707623180065</v>
      </c>
      <c r="AR340" s="43">
        <f t="shared" ref="AR340:AR403" si="341">(180/PI())*IMARGUMENT(AP340)</f>
        <v>-87.828638243424635</v>
      </c>
      <c r="AS340" t="str">
        <f t="shared" si="318"/>
        <v>-0,0000166666666666667</v>
      </c>
      <c r="AT340" t="str">
        <f t="shared" si="319"/>
        <v>0,000104587745490177i</v>
      </c>
      <c r="AU340">
        <f t="shared" ref="AU340:AU403" si="342">IMABS(AT340)</f>
        <v>1.04587745490177E-4</v>
      </c>
      <c r="AV340">
        <f t="shared" ref="AV340:AV403" si="343">IMARGUMENT(AT340)</f>
        <v>1.5707963267948966</v>
      </c>
      <c r="AW340" t="str">
        <f t="shared" si="320"/>
        <v>1+0,0686156008778418i</v>
      </c>
      <c r="AX340">
        <f t="shared" ref="AX340:AX403" si="344">IMABS(AW340)</f>
        <v>1.0023512860688248</v>
      </c>
      <c r="AY340">
        <f t="shared" ref="AY340:AY403" si="345">IMARGUMENT(AW340)</f>
        <v>6.850822099572576E-2</v>
      </c>
      <c r="AZ340" t="str">
        <f t="shared" si="321"/>
        <v>1+22,9404825601584i</v>
      </c>
      <c r="BA340">
        <f t="shared" ref="BA340:BA403" si="346">IMABS(AZ340)</f>
        <v>22.962267747174533</v>
      </c>
      <c r="BB340">
        <f t="shared" ref="BB340:BB403" si="347">IMARGUMENT(AZ340)</f>
        <v>1.5272328435519968</v>
      </c>
      <c r="BC340" s="41" t="str">
        <f t="shared" ref="BC340:BC403" si="348">IMPRODUCT(AS340,IMDIV(AZ340,IMPRODUCT(AT340,AW340)))</f>
        <v>-3,62768576232801+0,408271665282649i</v>
      </c>
      <c r="BD340">
        <f t="shared" ref="BD340:BD403" si="349">20*LOG(IMABS(BC340))</f>
        <v>11.247255458980398</v>
      </c>
      <c r="BE340" s="43">
        <f t="shared" ref="BE340:BE403" si="350">(180/PI())*IMARGUMENT(BC340)</f>
        <v>173.57876434428832</v>
      </c>
      <c r="BF340" s="41" t="str">
        <f t="shared" ref="BF340:BF403" si="351">IMPRODUCT(AC340,BC340)</f>
        <v>0,166822502783059+0,59503251735043i</v>
      </c>
      <c r="BG340" s="20">
        <f t="shared" ref="BG340:BG403" si="352">20*LOG(IMABS(BF340))</f>
        <v>-4.1805779697784908</v>
      </c>
      <c r="BH340" s="43">
        <f t="shared" ref="BH340:BH403" si="353">(180/PI())*IMARGUMENT(BF340)</f>
        <v>74.338701050640594</v>
      </c>
      <c r="BI340" s="41" t="str">
        <f t="shared" si="306"/>
        <v>0,148265237617569+1,99520916675207i</v>
      </c>
      <c r="BJ340" s="20">
        <f t="shared" ref="BJ340:BJ403" si="354">20*LOG(IMABS(BI340))</f>
        <v>6.0236846966623867</v>
      </c>
      <c r="BK340" s="43">
        <f t="shared" si="307"/>
        <v>85.75012610086371</v>
      </c>
      <c r="BL340">
        <f t="shared" ref="BL340:BL403" si="355">IF($B$31=0,BJ340,BG340)</f>
        <v>-4.1805779697784908</v>
      </c>
      <c r="BM340" s="43">
        <f t="shared" ref="BM340:BM403" si="356">IF($B$31=0,BK340,BH340)</f>
        <v>74.338701050640594</v>
      </c>
    </row>
    <row r="341" spans="14:65" x14ac:dyDescent="0.25">
      <c r="N341" s="9">
        <v>23</v>
      </c>
      <c r="O341" s="34">
        <f t="shared" si="308"/>
        <v>16982.436524617482</v>
      </c>
      <c r="P341" s="33" t="str">
        <f t="shared" si="309"/>
        <v>66,7780509511648</v>
      </c>
      <c r="Q341" s="4" t="str">
        <f t="shared" si="310"/>
        <v>1+415,86842770329i</v>
      </c>
      <c r="R341" s="4">
        <f t="shared" si="322"/>
        <v>415.86963000489294</v>
      </c>
      <c r="S341" s="4">
        <f t="shared" si="323"/>
        <v>1.568391724747678</v>
      </c>
      <c r="T341" s="4" t="str">
        <f t="shared" si="311"/>
        <v>1+0,106703795651587i</v>
      </c>
      <c r="U341" s="4">
        <f t="shared" si="324"/>
        <v>1.0056767373298716</v>
      </c>
      <c r="V341" s="4">
        <f t="shared" si="325"/>
        <v>0.10630157403930424</v>
      </c>
      <c r="W341" t="str">
        <f t="shared" si="312"/>
        <v>1-0,232120438771989i</v>
      </c>
      <c r="X341" s="4">
        <f t="shared" si="326"/>
        <v>1.0265865273301129</v>
      </c>
      <c r="Y341" s="4">
        <f t="shared" si="327"/>
        <v>-0.22808135615945713</v>
      </c>
      <c r="Z341" t="str">
        <f t="shared" si="313"/>
        <v>0,999711596849687+0,0456233518790664i</v>
      </c>
      <c r="AA341" s="4">
        <f t="shared" si="328"/>
        <v>1.0007521007284632</v>
      </c>
      <c r="AB341" s="4">
        <f t="shared" si="329"/>
        <v>4.560487086745614E-2</v>
      </c>
      <c r="AC341" s="47" t="str">
        <f t="shared" si="330"/>
        <v>-0,0272059249456149-0,163405464238335i</v>
      </c>
      <c r="AD341" s="20">
        <f t="shared" si="331"/>
        <v>-15.615920249121062</v>
      </c>
      <c r="AE341" s="43">
        <f t="shared" si="332"/>
        <v>-99.452660622737682</v>
      </c>
      <c r="AF341" t="str">
        <f t="shared" si="314"/>
        <v>223,849857273222</v>
      </c>
      <c r="AG341" t="str">
        <f t="shared" si="315"/>
        <v>1+421,211380838187i</v>
      </c>
      <c r="AH341">
        <f t="shared" si="333"/>
        <v>421.21256788896056</v>
      </c>
      <c r="AI341">
        <f t="shared" si="334"/>
        <v>1.5684222263628878</v>
      </c>
      <c r="AJ341" t="str">
        <f t="shared" si="316"/>
        <v>1+0,106703795651587i</v>
      </c>
      <c r="AK341">
        <f t="shared" si="335"/>
        <v>1.0056767373298716</v>
      </c>
      <c r="AL341">
        <f t="shared" si="336"/>
        <v>0.10630157403930424</v>
      </c>
      <c r="AM341" t="str">
        <f t="shared" si="317"/>
        <v>1-0,0701349035279273i</v>
      </c>
      <c r="AN341">
        <f t="shared" si="337"/>
        <v>1.0024564353092216</v>
      </c>
      <c r="AO341">
        <f t="shared" si="338"/>
        <v>-7.00202460961942E-2</v>
      </c>
      <c r="AP341" s="41" t="str">
        <f t="shared" si="339"/>
        <v>0,0207053102154155-0,535371023997121i</v>
      </c>
      <c r="AQ341">
        <f t="shared" si="340"/>
        <v>-5.4204117306202662</v>
      </c>
      <c r="AR341" s="43">
        <f t="shared" si="341"/>
        <v>-87.785207098835443</v>
      </c>
      <c r="AS341" t="str">
        <f t="shared" si="318"/>
        <v>-0,0000166666666666667</v>
      </c>
      <c r="AT341" t="str">
        <f t="shared" si="319"/>
        <v>0,000107023907038541i</v>
      </c>
      <c r="AU341">
        <f t="shared" si="342"/>
        <v>1.07023907038541E-4</v>
      </c>
      <c r="AV341">
        <f t="shared" si="343"/>
        <v>1.5707963267948966</v>
      </c>
      <c r="AW341" t="str">
        <f t="shared" si="320"/>
        <v>1+0,0702138635394291i</v>
      </c>
      <c r="AX341">
        <f t="shared" si="344"/>
        <v>1.0024619626864322</v>
      </c>
      <c r="AY341">
        <f t="shared" si="345"/>
        <v>7.009881917890208E-2</v>
      </c>
      <c r="AZ341" t="str">
        <f t="shared" si="321"/>
        <v>1+23,4748350433491i</v>
      </c>
      <c r="BA341">
        <f t="shared" si="346"/>
        <v>23.496124793515442</v>
      </c>
      <c r="BB341">
        <f t="shared" si="347"/>
        <v>1.5282232578152697</v>
      </c>
      <c r="BC341" s="41" t="str">
        <f t="shared" si="348"/>
        <v>-3,62688477866762+0,410386038349889i</v>
      </c>
      <c r="BD341">
        <f t="shared" si="349"/>
        <v>11.245925712408457</v>
      </c>
      <c r="BE341" s="43">
        <f t="shared" si="350"/>
        <v>173.54437633874628</v>
      </c>
      <c r="BF341" s="41" t="str">
        <f t="shared" si="351"/>
        <v>0,165732076188319+0,581487859239058i</v>
      </c>
      <c r="BG341" s="20">
        <f t="shared" si="352"/>
        <v>-4.3699945367126061</v>
      </c>
      <c r="BH341" s="43">
        <f t="shared" si="353"/>
        <v>74.091715716008594</v>
      </c>
      <c r="BI341" s="41" t="str">
        <f t="shared" si="306"/>
        <v>0,14461301912762+1,95022618810697i</v>
      </c>
      <c r="BJ341" s="20">
        <f t="shared" si="354"/>
        <v>5.8255139817882124</v>
      </c>
      <c r="BK341" s="43">
        <f t="shared" si="307"/>
        <v>85.759169239910833</v>
      </c>
      <c r="BL341">
        <f t="shared" si="355"/>
        <v>-4.3699945367126061</v>
      </c>
      <c r="BM341" s="43">
        <f t="shared" si="356"/>
        <v>74.091715716008594</v>
      </c>
    </row>
    <row r="342" spans="14:65" x14ac:dyDescent="0.25">
      <c r="N342" s="9">
        <v>24</v>
      </c>
      <c r="O342" s="34">
        <f t="shared" si="308"/>
        <v>17378.008287493791</v>
      </c>
      <c r="P342" s="33" t="str">
        <f t="shared" si="309"/>
        <v>66,7780509511648</v>
      </c>
      <c r="Q342" s="4" t="str">
        <f t="shared" si="310"/>
        <v>1+425,55524777959i</v>
      </c>
      <c r="R342" s="4">
        <f t="shared" si="322"/>
        <v>425.55642271354361</v>
      </c>
      <c r="S342" s="4">
        <f t="shared" si="323"/>
        <v>1.5684464599689267</v>
      </c>
      <c r="T342" s="4" t="str">
        <f t="shared" si="311"/>
        <v>1+0,109189246340026i</v>
      </c>
      <c r="U342" s="4">
        <f t="shared" si="324"/>
        <v>1.0059434832615115</v>
      </c>
      <c r="V342" s="4">
        <f t="shared" si="325"/>
        <v>0.10875839552828327</v>
      </c>
      <c r="W342" t="str">
        <f t="shared" si="312"/>
        <v>1-0,237527218360509i</v>
      </c>
      <c r="X342" s="4">
        <f t="shared" si="326"/>
        <v>1.0278225427874605</v>
      </c>
      <c r="Y342" s="4">
        <f t="shared" si="327"/>
        <v>-0.23320556553977251</v>
      </c>
      <c r="Z342" t="str">
        <f t="shared" si="313"/>
        <v>0,99969800482796+0,0466860562622074i</v>
      </c>
      <c r="AA342" s="4">
        <f t="shared" si="328"/>
        <v>1.000787534248065</v>
      </c>
      <c r="AB342" s="4">
        <f t="shared" si="329"/>
        <v>4.6666254304756627E-2</v>
      </c>
      <c r="AC342" s="47" t="str">
        <f t="shared" si="330"/>
        <v>-0,0272296212165613-0,159813049897754i</v>
      </c>
      <c r="AD342" s="20">
        <f t="shared" si="331"/>
        <v>-15.803471546737226</v>
      </c>
      <c r="AE342" s="43">
        <f t="shared" si="332"/>
        <v>-99.669439579806266</v>
      </c>
      <c r="AF342" t="str">
        <f t="shared" si="314"/>
        <v>223,849857273222</v>
      </c>
      <c r="AG342" t="str">
        <f t="shared" si="315"/>
        <v>1+431,022654280614i</v>
      </c>
      <c r="AH342">
        <f t="shared" si="333"/>
        <v>431.02381431088662</v>
      </c>
      <c r="AI342">
        <f t="shared" si="334"/>
        <v>1.5684762672902681</v>
      </c>
      <c r="AJ342" t="str">
        <f t="shared" si="316"/>
        <v>1+0,109189246340026i</v>
      </c>
      <c r="AK342">
        <f t="shared" si="335"/>
        <v>1.0059434832615115</v>
      </c>
      <c r="AL342">
        <f t="shared" si="336"/>
        <v>0.10875839552828327</v>
      </c>
      <c r="AM342" t="str">
        <f t="shared" si="317"/>
        <v>1-0,0717685552944143i</v>
      </c>
      <c r="AN342">
        <f t="shared" si="337"/>
        <v>1.0025720550309825</v>
      </c>
      <c r="AO342">
        <f t="shared" si="338"/>
        <v>-7.1645714659253942E-2</v>
      </c>
      <c r="AP342" s="41" t="str">
        <f t="shared" si="339"/>
        <v>0,0206485298507126-0,523367793621135i</v>
      </c>
      <c r="AQ342">
        <f t="shared" si="340"/>
        <v>-5.6171053454888407</v>
      </c>
      <c r="AR342" s="43">
        <f t="shared" si="341"/>
        <v>-87.740670401954276</v>
      </c>
      <c r="AS342" t="str">
        <f t="shared" si="318"/>
        <v>-0,0000166666666666667</v>
      </c>
      <c r="AT342" t="str">
        <f t="shared" si="319"/>
        <v>0,000109516814079046i</v>
      </c>
      <c r="AU342">
        <f t="shared" si="342"/>
        <v>1.09516814079046E-4</v>
      </c>
      <c r="AV342">
        <f t="shared" si="343"/>
        <v>1.5707963267948966</v>
      </c>
      <c r="AW342" t="str">
        <f t="shared" si="320"/>
        <v>1+0,0718493545208546i</v>
      </c>
      <c r="AX342">
        <f t="shared" si="344"/>
        <v>1.0025778422372316</v>
      </c>
      <c r="AY342">
        <f t="shared" si="345"/>
        <v>7.1726099379749775E-2</v>
      </c>
      <c r="AZ342" t="str">
        <f t="shared" si="321"/>
        <v>1+24,0216341948057i</v>
      </c>
      <c r="BA342">
        <f t="shared" si="346"/>
        <v>24.042439755338027</v>
      </c>
      <c r="BB342">
        <f t="shared" si="347"/>
        <v>1.5291912082586949</v>
      </c>
      <c r="BC342" s="41" t="str">
        <f t="shared" si="348"/>
        <v>-3,62604642483046+0,412712728319854i</v>
      </c>
      <c r="BD342">
        <f t="shared" si="349"/>
        <v>11.244567651728003</v>
      </c>
      <c r="BE342" s="43">
        <f t="shared" si="350"/>
        <v>173.50659952633856</v>
      </c>
      <c r="BF342" s="41" t="str">
        <f t="shared" si="351"/>
        <v>0,164692750506219+0,5682515269596i</v>
      </c>
      <c r="BG342" s="20">
        <f t="shared" si="352"/>
        <v>-4.5589038950092133</v>
      </c>
      <c r="BH342" s="43">
        <f t="shared" si="353"/>
        <v>73.837159946532253</v>
      </c>
      <c r="BI342" s="41" t="str">
        <f t="shared" si="306"/>
        <v>0,141128022176939+1,9062778280218i</v>
      </c>
      <c r="BJ342" s="20">
        <f t="shared" si="354"/>
        <v>5.6274623062391456</v>
      </c>
      <c r="BK342" s="43">
        <f t="shared" si="307"/>
        <v>85.765929124384272</v>
      </c>
      <c r="BL342">
        <f t="shared" si="355"/>
        <v>-4.5589038950092133</v>
      </c>
      <c r="BM342" s="43">
        <f t="shared" si="356"/>
        <v>73.837159946532253</v>
      </c>
    </row>
    <row r="343" spans="14:65" x14ac:dyDescent="0.25">
      <c r="N343" s="9">
        <v>25</v>
      </c>
      <c r="O343" s="34">
        <f t="shared" si="308"/>
        <v>17782.794100389234</v>
      </c>
      <c r="P343" s="33" t="str">
        <f t="shared" si="309"/>
        <v>66,7780509511648</v>
      </c>
      <c r="Q343" s="4" t="str">
        <f t="shared" si="310"/>
        <v>1+435,467702881152i</v>
      </c>
      <c r="R343" s="4">
        <f t="shared" si="322"/>
        <v>435.46885107041498</v>
      </c>
      <c r="S343" s="4">
        <f t="shared" si="323"/>
        <v>1.5684999492780338</v>
      </c>
      <c r="T343" s="4" t="str">
        <f t="shared" si="311"/>
        <v>1+0,111732590612165i</v>
      </c>
      <c r="U343" s="4">
        <f t="shared" si="324"/>
        <v>1.0062227247507907</v>
      </c>
      <c r="V343" s="4">
        <f t="shared" si="325"/>
        <v>0.11127107970752798</v>
      </c>
      <c r="W343" t="str">
        <f t="shared" si="312"/>
        <v>1-0,243059938024248i</v>
      </c>
      <c r="X343" s="4">
        <f t="shared" si="326"/>
        <v>1.0291152187546113</v>
      </c>
      <c r="Y343" s="4">
        <f t="shared" si="327"/>
        <v>-0.2384362498138792</v>
      </c>
      <c r="Z343" t="str">
        <f t="shared" si="313"/>
        <v>0,999683772233983+0,0477735142103416i</v>
      </c>
      <c r="AA343" s="4">
        <f t="shared" si="328"/>
        <v>1.000824636551265</v>
      </c>
      <c r="AB343" s="4">
        <f t="shared" si="329"/>
        <v>4.7752296931845635E-2</v>
      </c>
      <c r="AC343" s="47" t="str">
        <f t="shared" si="330"/>
        <v>-0,0272528314964811-0,156305342751815i</v>
      </c>
      <c r="AD343" s="20">
        <f t="shared" si="331"/>
        <v>-15.990464438055836</v>
      </c>
      <c r="AE343" s="43">
        <f t="shared" si="332"/>
        <v>-99.890459884522386</v>
      </c>
      <c r="AF343" t="str">
        <f t="shared" si="314"/>
        <v>223,849857273222</v>
      </c>
      <c r="AG343" t="str">
        <f t="shared" si="315"/>
        <v>1+441,0624616396i</v>
      </c>
      <c r="AH343">
        <f t="shared" si="333"/>
        <v>441.0635952644285</v>
      </c>
      <c r="AI343">
        <f t="shared" si="334"/>
        <v>1.5685290781090533</v>
      </c>
      <c r="AJ343" t="str">
        <f t="shared" si="316"/>
        <v>1+0,111732590612165i</v>
      </c>
      <c r="AK343">
        <f t="shared" si="335"/>
        <v>1.0062227247507907</v>
      </c>
      <c r="AL343">
        <f t="shared" si="336"/>
        <v>0.11127107970752798</v>
      </c>
      <c r="AM343" t="str">
        <f t="shared" si="317"/>
        <v>1-0,0734402596988876i</v>
      </c>
      <c r="AN343">
        <f t="shared" si="337"/>
        <v>1.0026931094530569</v>
      </c>
      <c r="AO343">
        <f t="shared" si="338"/>
        <v>-7.3308652673153951E-2</v>
      </c>
      <c r="AP343" s="41" t="str">
        <f t="shared" si="339"/>
        <v>0,0205943049964976-0,511642047915817i</v>
      </c>
      <c r="AQ343">
        <f t="shared" si="340"/>
        <v>-5.8136447931635384</v>
      </c>
      <c r="AR343" s="43">
        <f t="shared" si="341"/>
        <v>-87.695009370051636</v>
      </c>
      <c r="AS343" t="str">
        <f t="shared" si="318"/>
        <v>-0,0000166666666666667</v>
      </c>
      <c r="AT343" t="str">
        <f t="shared" si="319"/>
        <v>0,000112067788384002i</v>
      </c>
      <c r="AU343">
        <f t="shared" si="342"/>
        <v>1.12067788384002E-4</v>
      </c>
      <c r="AV343">
        <f t="shared" si="343"/>
        <v>1.5707963267948966</v>
      </c>
      <c r="AW343" t="str">
        <f t="shared" si="320"/>
        <v>1+0,0735229409810856i</v>
      </c>
      <c r="AX343">
        <f t="shared" si="344"/>
        <v>1.0026991686695008</v>
      </c>
      <c r="AY343">
        <f t="shared" si="345"/>
        <v>7.3390889911588111E-2</v>
      </c>
      <c r="AZ343" t="str">
        <f t="shared" si="321"/>
        <v>1+24,5811699346763i</v>
      </c>
      <c r="BA343">
        <f t="shared" si="346"/>
        <v>24.60150229879131</v>
      </c>
      <c r="BB343">
        <f t="shared" si="347"/>
        <v>1.5301372008430767</v>
      </c>
      <c r="BC343" s="41" t="str">
        <f t="shared" si="348"/>
        <v>-3,62516897589329+0,415252595476769i</v>
      </c>
      <c r="BD343">
        <f t="shared" si="349"/>
        <v>11.243178432289728</v>
      </c>
      <c r="BE343" s="43">
        <f t="shared" si="350"/>
        <v>173.46541543762666</v>
      </c>
      <c r="BF343" s="41" t="str">
        <f t="shared" si="351"/>
        <v>0,163702318510868+0,555316470297242i</v>
      </c>
      <c r="BG343" s="20">
        <f t="shared" si="352"/>
        <v>-4.7472860057661119</v>
      </c>
      <c r="BH343" s="43">
        <f t="shared" si="353"/>
        <v>73.574955553104246</v>
      </c>
      <c r="BI343" s="41" t="str">
        <f t="shared" si="306"/>
        <v>0,137802852798705+1,86334071746876i</v>
      </c>
      <c r="BJ343" s="20">
        <f t="shared" si="354"/>
        <v>5.4295336391261726</v>
      </c>
      <c r="BK343" s="43">
        <f t="shared" si="307"/>
        <v>85.77040606757501</v>
      </c>
      <c r="BL343">
        <f t="shared" si="355"/>
        <v>-4.7472860057661119</v>
      </c>
      <c r="BM343" s="43">
        <f t="shared" si="356"/>
        <v>73.574955553104246</v>
      </c>
    </row>
    <row r="344" spans="14:65" x14ac:dyDescent="0.25">
      <c r="N344" s="9">
        <v>26</v>
      </c>
      <c r="O344" s="34">
        <f t="shared" si="308"/>
        <v>18197.008586099837</v>
      </c>
      <c r="P344" s="33" t="str">
        <f t="shared" si="309"/>
        <v>66,7780509511648</v>
      </c>
      <c r="Q344" s="4" t="str">
        <f t="shared" si="310"/>
        <v>1+445,611048722881i</v>
      </c>
      <c r="R344" s="4">
        <f t="shared" si="322"/>
        <v>445.61217077623206</v>
      </c>
      <c r="S344" s="4">
        <f t="shared" si="323"/>
        <v>1.568552221034514</v>
      </c>
      <c r="T344" s="4" t="str">
        <f t="shared" si="311"/>
        <v>1+0,114335176982803i</v>
      </c>
      <c r="U344" s="4">
        <f t="shared" si="324"/>
        <v>1.0065150434522521</v>
      </c>
      <c r="V344" s="4">
        <f t="shared" si="325"/>
        <v>0.1138408318542522</v>
      </c>
      <c r="W344" t="str">
        <f t="shared" si="312"/>
        <v>1-0,248721531284408i</v>
      </c>
      <c r="X344" s="4">
        <f t="shared" si="326"/>
        <v>1.0304670786223404</v>
      </c>
      <c r="Y344" s="4">
        <f t="shared" si="327"/>
        <v>-0.24377503696421834</v>
      </c>
      <c r="Z344" t="str">
        <f t="shared" si="313"/>
        <v>0,999668868878517+0,0488863023080676i</v>
      </c>
      <c r="AA344" s="4">
        <f t="shared" si="328"/>
        <v>1.0008634861749175</v>
      </c>
      <c r="AB344" s="4">
        <f t="shared" si="329"/>
        <v>4.8863568595605464E-2</v>
      </c>
      <c r="AC344" s="47" t="str">
        <f t="shared" si="330"/>
        <v>-0,0272756048795062-0,152880481493704i</v>
      </c>
      <c r="AD344" s="20">
        <f t="shared" si="331"/>
        <v>-16.176875170603871</v>
      </c>
      <c r="AE344" s="43">
        <f t="shared" si="332"/>
        <v>-100.1157800308135</v>
      </c>
      <c r="AF344" t="str">
        <f t="shared" si="314"/>
        <v>223,849857273222</v>
      </c>
      <c r="AG344" t="str">
        <f t="shared" si="315"/>
        <v>1+451,336126153903i</v>
      </c>
      <c r="AH344">
        <f t="shared" si="333"/>
        <v>451.33723397434414</v>
      </c>
      <c r="AI344">
        <f t="shared" si="334"/>
        <v>1.5685806868190597</v>
      </c>
      <c r="AJ344" t="str">
        <f t="shared" si="316"/>
        <v>1+0,114335176982803i</v>
      </c>
      <c r="AK344">
        <f t="shared" si="335"/>
        <v>1.0065150434522521</v>
      </c>
      <c r="AL344">
        <f t="shared" si="336"/>
        <v>0.1138408318542522</v>
      </c>
      <c r="AM344" t="str">
        <f t="shared" si="317"/>
        <v>1-0,0751509031011505i</v>
      </c>
      <c r="AN344">
        <f t="shared" si="337"/>
        <v>1.002819853332052</v>
      </c>
      <c r="AO344">
        <f t="shared" si="338"/>
        <v>-7.5009905039999061E-2</v>
      </c>
      <c r="AP344" s="41" t="str">
        <f t="shared" si="339"/>
        <v>0,0205425206382182-0,500187570527251i</v>
      </c>
      <c r="AQ344">
        <f t="shared" si="340"/>
        <v>-6.0100229518368318</v>
      </c>
      <c r="AR344" s="43">
        <f t="shared" si="341"/>
        <v>-87.648204959425996</v>
      </c>
      <c r="AS344" t="str">
        <f t="shared" si="318"/>
        <v>-0,0000166666666666667</v>
      </c>
      <c r="AT344" t="str">
        <f t="shared" si="319"/>
        <v>0,000114678182513752i</v>
      </c>
      <c r="AU344">
        <f t="shared" si="342"/>
        <v>1.14678182513752E-4</v>
      </c>
      <c r="AV344">
        <f t="shared" si="343"/>
        <v>1.5707963267948966</v>
      </c>
      <c r="AW344" t="str">
        <f t="shared" si="320"/>
        <v>1+0,0752355102778165i</v>
      </c>
      <c r="AX344">
        <f t="shared" si="344"/>
        <v>1.0028261973077703</v>
      </c>
      <c r="AY344">
        <f t="shared" si="345"/>
        <v>7.5094036535597569E-2</v>
      </c>
      <c r="AZ344" t="str">
        <f t="shared" si="321"/>
        <v>1+25,1537389362166i</v>
      </c>
      <c r="BA344">
        <f t="shared" si="346"/>
        <v>25.173608848779292</v>
      </c>
      <c r="BB344">
        <f t="shared" si="347"/>
        <v>1.5310617303697798</v>
      </c>
      <c r="BC344" s="41" t="str">
        <f t="shared" si="348"/>
        <v>-3,62425062909737+0,418006586906286i</v>
      </c>
      <c r="BD344">
        <f t="shared" si="349"/>
        <v>11.241755146066474</v>
      </c>
      <c r="BE344" s="43">
        <f t="shared" si="350"/>
        <v>173.42080396409423</v>
      </c>
      <c r="BF344" s="41" t="str">
        <f t="shared" si="351"/>
        <v>0,162758676417334+0,542675798728779i</v>
      </c>
      <c r="BG344" s="20">
        <f t="shared" si="352"/>
        <v>-4.935120024537393</v>
      </c>
      <c r="BH344" s="43">
        <f t="shared" si="353"/>
        <v>73.305023933280779</v>
      </c>
      <c r="BI344" s="41" t="str">
        <f t="shared" si="306"/>
        <v>0,134630455822735+1,82139202608851i</v>
      </c>
      <c r="BJ344" s="20">
        <f t="shared" si="354"/>
        <v>5.2317321942296493</v>
      </c>
      <c r="BK344" s="43">
        <f t="shared" si="307"/>
        <v>85.772599004668251</v>
      </c>
      <c r="BL344">
        <f t="shared" si="355"/>
        <v>-4.935120024537393</v>
      </c>
      <c r="BM344" s="43">
        <f t="shared" si="356"/>
        <v>73.305023933280779</v>
      </c>
    </row>
    <row r="345" spans="14:65" x14ac:dyDescent="0.25">
      <c r="N345" s="9">
        <v>27</v>
      </c>
      <c r="O345" s="34">
        <f t="shared" si="308"/>
        <v>18620.871366628675</v>
      </c>
      <c r="P345" s="33" t="str">
        <f t="shared" si="309"/>
        <v>66,7780509511648</v>
      </c>
      <c r="Q345" s="4" t="str">
        <f t="shared" si="310"/>
        <v>1+455,990663441002i</v>
      </c>
      <c r="R345" s="4">
        <f t="shared" si="322"/>
        <v>455.99175995336276</v>
      </c>
      <c r="S345" s="4">
        <f t="shared" si="323"/>
        <v>1.5686033029524007</v>
      </c>
      <c r="T345" s="4" t="str">
        <f t="shared" si="311"/>
        <v>1+0,116998385377682i</v>
      </c>
      <c r="U345" s="4">
        <f t="shared" si="324"/>
        <v>1.0068210477443271</v>
      </c>
      <c r="V345" s="4">
        <f t="shared" si="325"/>
        <v>0.11646887865409267</v>
      </c>
      <c r="W345" t="str">
        <f t="shared" si="312"/>
        <v>1-0,254514999992673i</v>
      </c>
      <c r="X345" s="4">
        <f t="shared" si="326"/>
        <v>1.0318807514539994</v>
      </c>
      <c r="Y345" s="4">
        <f t="shared" si="327"/>
        <v>-0.24922353980407541</v>
      </c>
      <c r="Z345" t="str">
        <f t="shared" si="313"/>
        <v>0,999653263149547+0,050025010570364i</v>
      </c>
      <c r="AA345" s="4">
        <f t="shared" si="328"/>
        <v>1.0009041653465642</v>
      </c>
      <c r="AB345" s="4">
        <f t="shared" si="329"/>
        <v>5.0000652092875048E-2</v>
      </c>
      <c r="AC345" s="47" t="str">
        <f t="shared" si="330"/>
        <v>-0,0272979895199931-0,149536648603908i</v>
      </c>
      <c r="AD345" s="20">
        <f t="shared" si="331"/>
        <v>-16.362679099713016</v>
      </c>
      <c r="AE345" s="43">
        <f t="shared" si="332"/>
        <v>-100.34545712186052</v>
      </c>
      <c r="AF345" t="str">
        <f t="shared" si="314"/>
        <v>223,849857273222</v>
      </c>
      <c r="AG345" t="str">
        <f t="shared" si="315"/>
        <v>1+461,849095056431i</v>
      </c>
      <c r="AH345">
        <f t="shared" si="333"/>
        <v>461.85017765985998</v>
      </c>
      <c r="AI345">
        <f t="shared" si="334"/>
        <v>1.5686311207828081</v>
      </c>
      <c r="AJ345" t="str">
        <f t="shared" si="316"/>
        <v>1+0,116998385377682i</v>
      </c>
      <c r="AK345">
        <f t="shared" si="335"/>
        <v>1.0068210477443271</v>
      </c>
      <c r="AL345">
        <f t="shared" si="336"/>
        <v>0.11646887865409267</v>
      </c>
      <c r="AM345" t="str">
        <f t="shared" si="317"/>
        <v>1-0,0769013925069772i</v>
      </c>
      <c r="AN345">
        <f t="shared" si="337"/>
        <v>1.0029525532992636</v>
      </c>
      <c r="AO345">
        <f t="shared" si="338"/>
        <v>-7.6750334373324389E-2</v>
      </c>
      <c r="AP345" s="41" t="str">
        <f t="shared" si="339"/>
        <v>0,0204930669376216-0,488998288878742i</v>
      </c>
      <c r="AQ345">
        <f t="shared" si="340"/>
        <v>-6.2062323783348567</v>
      </c>
      <c r="AR345" s="43">
        <f t="shared" si="341"/>
        <v>-87.600237878039479</v>
      </c>
      <c r="AS345" t="str">
        <f t="shared" si="318"/>
        <v>-0,0000166666666666667</v>
      </c>
      <c r="AT345" t="str">
        <f t="shared" si="319"/>
        <v>0,000117349380533815i</v>
      </c>
      <c r="AU345">
        <f t="shared" si="342"/>
        <v>1.1734938053381499E-4</v>
      </c>
      <c r="AV345">
        <f t="shared" si="343"/>
        <v>1.5707963267948966</v>
      </c>
      <c r="AW345" t="str">
        <f t="shared" si="320"/>
        <v>1+0,0769879704379562i</v>
      </c>
      <c r="AX345">
        <f t="shared" si="344"/>
        <v>1.0029591953774368</v>
      </c>
      <c r="AY345">
        <f t="shared" si="345"/>
        <v>7.6836402737875079E-2</v>
      </c>
      <c r="AZ345" t="str">
        <f t="shared" si="321"/>
        <v>1+25,73964478309i</v>
      </c>
      <c r="BA345">
        <f t="shared" si="346"/>
        <v>25.759062746141446</v>
      </c>
      <c r="BB345">
        <f t="shared" si="347"/>
        <v>1.5319652807110229</v>
      </c>
      <c r="BC345" s="41" t="str">
        <f t="shared" si="348"/>
        <v>-3,62328950050772+0,420975735178979i</v>
      </c>
      <c r="BD345">
        <f t="shared" si="349"/>
        <v>11.240294815808396</v>
      </c>
      <c r="BE345" s="43">
        <f t="shared" si="350"/>
        <v>173.37274335546834</v>
      </c>
      <c r="BF345" s="41" t="str">
        <f t="shared" si="351"/>
        <v>0,161859819394992+0,530322777620565i</v>
      </c>
      <c r="BG345" s="20">
        <f t="shared" si="352"/>
        <v>-5.122384283904621</v>
      </c>
      <c r="BH345" s="43">
        <f t="shared" si="353"/>
        <v>73.027286233607782</v>
      </c>
      <c r="BI345" s="41" t="str">
        <f t="shared" si="306"/>
        <v>0,131604099893705+1,78040944978072i</v>
      </c>
      <c r="BJ345" s="20">
        <f t="shared" si="354"/>
        <v>5.0340624374735166</v>
      </c>
      <c r="BK345" s="43">
        <f t="shared" si="307"/>
        <v>85.772505477428851</v>
      </c>
      <c r="BL345">
        <f t="shared" si="355"/>
        <v>-5.122384283904621</v>
      </c>
      <c r="BM345" s="43">
        <f t="shared" si="356"/>
        <v>73.027286233607782</v>
      </c>
    </row>
    <row r="346" spans="14:65" x14ac:dyDescent="0.25">
      <c r="N346" s="9">
        <v>28</v>
      </c>
      <c r="O346" s="34">
        <f t="shared" si="308"/>
        <v>19054.607179632505</v>
      </c>
      <c r="P346" s="33" t="str">
        <f t="shared" si="309"/>
        <v>66,7780509511648</v>
      </c>
      <c r="Q346" s="4" t="str">
        <f t="shared" si="310"/>
        <v>1+466,612050444633i</v>
      </c>
      <c r="R346" s="4">
        <f t="shared" si="322"/>
        <v>466.61312199738308</v>
      </c>
      <c r="S346" s="4">
        <f t="shared" si="323"/>
        <v>1.5686532221149365</v>
      </c>
      <c r="T346" s="4" t="str">
        <f t="shared" si="311"/>
        <v>1+0,119723627865146i</v>
      </c>
      <c r="U346" s="4">
        <f t="shared" si="324"/>
        <v>1.007141373923836</v>
      </c>
      <c r="V346" s="4">
        <f t="shared" si="325"/>
        <v>0.11915646824627253</v>
      </c>
      <c r="W346" t="str">
        <f t="shared" si="312"/>
        <v>1-0,26044341592284i</v>
      </c>
      <c r="X346" s="4">
        <f t="shared" si="326"/>
        <v>1.0333589758150636</v>
      </c>
      <c r="Y346" s="4">
        <f t="shared" si="327"/>
        <v>-0.25478335268857855</v>
      </c>
      <c r="Z346" t="str">
        <f t="shared" si="313"/>
        <v>0,99963692194523+0,0511902427554246i</v>
      </c>
      <c r="AA346" s="4">
        <f t="shared" si="328"/>
        <v>1.0009467601573487</v>
      </c>
      <c r="AB346" s="4">
        <f t="shared" si="329"/>
        <v>5.1164143449102244E-2</v>
      </c>
      <c r="AC346" s="47" t="str">
        <f t="shared" si="330"/>
        <v>-0,0273200327333937-0,146272069378967i</v>
      </c>
      <c r="AD346" s="20">
        <f t="shared" si="331"/>
        <v>-16.547850665524052</v>
      </c>
      <c r="AE346" s="43">
        <f t="shared" si="332"/>
        <v>-100.57954669587168</v>
      </c>
      <c r="AF346" t="str">
        <f t="shared" si="314"/>
        <v>223,849857273222</v>
      </c>
      <c r="AG346" t="str">
        <f t="shared" si="315"/>
        <v>1+472,606942462457i</v>
      </c>
      <c r="AH346">
        <f t="shared" si="333"/>
        <v>472.60800042287912</v>
      </c>
      <c r="AI346">
        <f t="shared" si="334"/>
        <v>1.5686804067400268</v>
      </c>
      <c r="AJ346" t="str">
        <f t="shared" si="316"/>
        <v>1+0,119723627865146i</v>
      </c>
      <c r="AK346">
        <f t="shared" si="335"/>
        <v>1.007141373923836</v>
      </c>
      <c r="AL346">
        <f t="shared" si="336"/>
        <v>0.11915646824627253</v>
      </c>
      <c r="AM346" t="str">
        <f t="shared" si="317"/>
        <v>1-0,0786926560490221i</v>
      </c>
      <c r="AN346">
        <f t="shared" si="337"/>
        <v>1.0030914884077371</v>
      </c>
      <c r="AO346">
        <f t="shared" si="338"/>
        <v>-7.8530821272814133E-2</v>
      </c>
      <c r="AP346" s="41" t="str">
        <f t="shared" si="339"/>
        <v>0,0204458389998008-0,478068270954567i</v>
      </c>
      <c r="AQ346">
        <f t="shared" si="340"/>
        <v>-6.4022652942834757</v>
      </c>
      <c r="AR346" s="43">
        <f t="shared" si="341"/>
        <v>-87.551088599501284</v>
      </c>
      <c r="AS346" t="str">
        <f t="shared" si="318"/>
        <v>-0,0000166666666666667</v>
      </c>
      <c r="AT346" t="str">
        <f t="shared" si="319"/>
        <v>0,000120082798748741i</v>
      </c>
      <c r="AU346">
        <f t="shared" si="342"/>
        <v>1.20082798748741E-4</v>
      </c>
      <c r="AV346">
        <f t="shared" si="343"/>
        <v>1.5707963267948966</v>
      </c>
      <c r="AW346" t="str">
        <f t="shared" si="320"/>
        <v>1+0,0787812506390791i</v>
      </c>
      <c r="AX346">
        <f t="shared" si="344"/>
        <v>1.0030984425530016</v>
      </c>
      <c r="AY346">
        <f t="shared" si="345"/>
        <v>7.8618870004017155E-2</v>
      </c>
      <c r="AZ346" t="str">
        <f t="shared" si="321"/>
        <v>1+26,3391981303321i</v>
      </c>
      <c r="BA346">
        <f t="shared" si="346"/>
        <v>26.358174408499728</v>
      </c>
      <c r="BB346">
        <f t="shared" si="347"/>
        <v>1.5328483250364997</v>
      </c>
      <c r="BC346" s="41" t="str">
        <f t="shared" si="348"/>
        <v>-3,62228362154529+0,424161156955971i</v>
      </c>
      <c r="BD346">
        <f t="shared" si="349"/>
        <v>11.238794389075554</v>
      </c>
      <c r="BE346" s="43">
        <f t="shared" si="350"/>
        <v>173.321210216971</v>
      </c>
      <c r="BF346" s="41" t="str">
        <f t="shared" si="351"/>
        <v>0,16100383728838+0,518250824508697i</v>
      </c>
      <c r="BG346" s="20">
        <f t="shared" si="352"/>
        <v>-5.3090562764484979</v>
      </c>
      <c r="BH346" s="43">
        <f t="shared" si="353"/>
        <v>72.741663521099298</v>
      </c>
      <c r="BI346" s="41" t="str">
        <f t="shared" si="306"/>
        <v>0,128717363174299+1,74037119858429i</v>
      </c>
      <c r="BJ346" s="20">
        <f t="shared" si="354"/>
        <v>4.8365290947920556</v>
      </c>
      <c r="BK346" s="43">
        <f t="shared" si="307"/>
        <v>85.770121617469727</v>
      </c>
      <c r="BL346">
        <f t="shared" si="355"/>
        <v>-5.3090562764484979</v>
      </c>
      <c r="BM346" s="43">
        <f t="shared" si="356"/>
        <v>72.741663521099298</v>
      </c>
    </row>
    <row r="347" spans="14:65" x14ac:dyDescent="0.25">
      <c r="N347" s="9">
        <v>29</v>
      </c>
      <c r="O347" s="34">
        <f t="shared" si="308"/>
        <v>19498.445997580486</v>
      </c>
      <c r="P347" s="33" t="str">
        <f t="shared" si="309"/>
        <v>66,7780509511648</v>
      </c>
      <c r="Q347" s="4" t="str">
        <f t="shared" si="310"/>
        <v>1+477,480841333744i</v>
      </c>
      <c r="R347" s="4">
        <f t="shared" si="322"/>
        <v>477.48188849502975</v>
      </c>
      <c r="S347" s="4">
        <f t="shared" si="323"/>
        <v>1.5687020049889264</v>
      </c>
      <c r="T347" s="4" t="str">
        <f t="shared" si="311"/>
        <v>1+0,122512349404832i</v>
      </c>
      <c r="U347" s="4">
        <f t="shared" si="324"/>
        <v>1.0074766874507279</v>
      </c>
      <c r="V347" s="4">
        <f t="shared" si="325"/>
        <v>0.12190487024011736</v>
      </c>
      <c r="W347" t="str">
        <f t="shared" si="312"/>
        <v>1-0,266509922399503i</v>
      </c>
      <c r="X347" s="4">
        <f t="shared" si="326"/>
        <v>1.0349046036893397</v>
      </c>
      <c r="Y347" s="4">
        <f t="shared" si="327"/>
        <v>-0.26045604802878336</v>
      </c>
      <c r="Z347" t="str">
        <f t="shared" si="313"/>
        <v>0,999619810603679+0,0523826166847763i</v>
      </c>
      <c r="AA347" s="4">
        <f t="shared" si="328"/>
        <v>1.0009913607429781</v>
      </c>
      <c r="AB347" s="4">
        <f t="shared" si="329"/>
        <v>5.2354652201856013E-2</v>
      </c>
      <c r="AC347" s="47" t="str">
        <f t="shared" si="330"/>
        <v>-0,0273417810952259-0,143085010982254i</v>
      </c>
      <c r="AD347" s="20">
        <f t="shared" si="331"/>
        <v>-16.732363370371814</v>
      </c>
      <c r="AE347" s="43">
        <f t="shared" si="332"/>
        <v>-100.81810254247459</v>
      </c>
      <c r="AF347" t="str">
        <f t="shared" si="314"/>
        <v>223,849857273222</v>
      </c>
      <c r="AG347" t="str">
        <f t="shared" si="315"/>
        <v>1+483,615372325063i</v>
      </c>
      <c r="AH347">
        <f t="shared" si="333"/>
        <v>483.61640620341785</v>
      </c>
      <c r="AI347">
        <f t="shared" si="334"/>
        <v>1.5687285708218244</v>
      </c>
      <c r="AJ347" t="str">
        <f t="shared" si="316"/>
        <v>1+0,122512349404832i</v>
      </c>
      <c r="AK347">
        <f t="shared" si="335"/>
        <v>1.0074766874507279</v>
      </c>
      <c r="AL347">
        <f t="shared" si="336"/>
        <v>0.12190487024011736</v>
      </c>
      <c r="AM347" t="str">
        <f t="shared" si="317"/>
        <v>1-0,0805256434789235i</v>
      </c>
      <c r="AN347">
        <f t="shared" si="337"/>
        <v>1.0032369507039176</v>
      </c>
      <c r="AO347">
        <f t="shared" si="338"/>
        <v>-8.0352264595911979E-2</v>
      </c>
      <c r="AP347" s="41" t="str">
        <f t="shared" si="339"/>
        <v>0,0204007366507239-0,467391722158049i</v>
      </c>
      <c r="AQ347">
        <f t="shared" si="340"/>
        <v>-6.5981135717443262</v>
      </c>
      <c r="AR347" s="43">
        <f t="shared" si="341"/>
        <v>-87.500737378495558</v>
      </c>
      <c r="AS347" t="str">
        <f t="shared" si="318"/>
        <v>-0,0000166666666666667</v>
      </c>
      <c r="AT347" t="str">
        <f t="shared" si="319"/>
        <v>0,000122879886453047i</v>
      </c>
      <c r="AU347">
        <f t="shared" si="342"/>
        <v>1.2287988645304701E-4</v>
      </c>
      <c r="AV347">
        <f t="shared" si="343"/>
        <v>1.5707963267948966</v>
      </c>
      <c r="AW347" t="str">
        <f t="shared" si="320"/>
        <v>1+0,0806163017020829i</v>
      </c>
      <c r="AX347">
        <f t="shared" si="344"/>
        <v>1.0032442315309473</v>
      </c>
      <c r="AY347">
        <f t="shared" si="345"/>
        <v>8.0442338090561227E-2</v>
      </c>
      <c r="AZ347" t="str">
        <f t="shared" si="321"/>
        <v>1+26,952716869063i</v>
      </c>
      <c r="BA347">
        <f t="shared" si="346"/>
        <v>26.971261494855469</v>
      </c>
      <c r="BB347">
        <f t="shared" si="347"/>
        <v>1.5337113260363036</v>
      </c>
      <c r="BC347" s="41" t="str">
        <f t="shared" si="348"/>
        <v>-3,62123093538944+0,427564051507903i</v>
      </c>
      <c r="BD347">
        <f t="shared" si="349"/>
        <v>11.237250732139492</v>
      </c>
      <c r="BE347" s="43">
        <f t="shared" si="350"/>
        <v>173.26617950653952</v>
      </c>
      <c r="BF347" s="41" t="str">
        <f t="shared" si="351"/>
        <v>0,160188910536303+0,506453505458959i</v>
      </c>
      <c r="BG347" s="20">
        <f t="shared" si="352"/>
        <v>-5.495112638232329</v>
      </c>
      <c r="BH347" s="43">
        <f t="shared" si="353"/>
        <v>72.448076964064981</v>
      </c>
      <c r="BI347" s="41" t="str">
        <f t="shared" si="306"/>
        <v>0,125964119702817+1,7012559848398i</v>
      </c>
      <c r="BJ347" s="20">
        <f t="shared" si="354"/>
        <v>4.6391371603951557</v>
      </c>
      <c r="BK347" s="43">
        <f t="shared" si="307"/>
        <v>85.765442128043972</v>
      </c>
      <c r="BL347">
        <f t="shared" si="355"/>
        <v>-5.495112638232329</v>
      </c>
      <c r="BM347" s="43">
        <f t="shared" si="356"/>
        <v>72.448076964064981</v>
      </c>
    </row>
    <row r="348" spans="14:65" x14ac:dyDescent="0.25">
      <c r="N348" s="9">
        <v>30</v>
      </c>
      <c r="O348" s="34">
        <f t="shared" si="308"/>
        <v>19952.623149688792</v>
      </c>
      <c r="P348" s="33" t="str">
        <f t="shared" si="309"/>
        <v>66,7780509511648</v>
      </c>
      <c r="Q348" s="4" t="str">
        <f t="shared" si="310"/>
        <v>1+488,602798885139i</v>
      </c>
      <c r="R348" s="4">
        <f t="shared" si="322"/>
        <v>488.60382221017426</v>
      </c>
      <c r="S348" s="4">
        <f t="shared" si="323"/>
        <v>1.5687496774387664</v>
      </c>
      <c r="T348" s="4" t="str">
        <f t="shared" si="311"/>
        <v>1+0,125366028613816i</v>
      </c>
      <c r="U348" s="4">
        <f t="shared" si="324"/>
        <v>1.0078276842448812</v>
      </c>
      <c r="V348" s="4">
        <f t="shared" si="325"/>
        <v>0.1247153757004779</v>
      </c>
      <c r="W348" t="str">
        <f t="shared" si="312"/>
        <v>1-0,272717735964699i</v>
      </c>
      <c r="X348" s="4">
        <f t="shared" si="326"/>
        <v>1.0365206044790964</v>
      </c>
      <c r="Y348" s="4">
        <f t="shared" si="327"/>
        <v>-0.26624317260427183</v>
      </c>
      <c r="Z348" t="str">
        <f t="shared" si="313"/>
        <v>0,999601892829447+0,0536027645708606i</v>
      </c>
      <c r="AA348" s="4">
        <f t="shared" si="328"/>
        <v>1.0010380614731151</v>
      </c>
      <c r="AB348" s="4">
        <f t="shared" si="329"/>
        <v>5.3572801689207736E-2</v>
      </c>
      <c r="AC348" s="47" t="str">
        <f t="shared" si="330"/>
        <v>-0,0273632805383417-0,139973781516219i</v>
      </c>
      <c r="AD348" s="20">
        <f t="shared" si="331"/>
        <v>-16.916189756664302</v>
      </c>
      <c r="AE348" s="43">
        <f t="shared" si="332"/>
        <v>-101.06117650960559</v>
      </c>
      <c r="AF348" t="str">
        <f t="shared" si="314"/>
        <v>223,849857273222</v>
      </c>
      <c r="AG348" t="str">
        <f t="shared" si="315"/>
        <v>1+494,880221459486i</v>
      </c>
      <c r="AH348">
        <f t="shared" si="333"/>
        <v>494.8812318039449</v>
      </c>
      <c r="AI348">
        <f t="shared" si="334"/>
        <v>1.5687756385645404</v>
      </c>
      <c r="AJ348" t="str">
        <f t="shared" si="316"/>
        <v>1+0,125366028613816i</v>
      </c>
      <c r="AK348">
        <f t="shared" si="335"/>
        <v>1.0078276842448812</v>
      </c>
      <c r="AL348">
        <f t="shared" si="336"/>
        <v>0.1247153757004779</v>
      </c>
      <c r="AM348" t="str">
        <f t="shared" si="317"/>
        <v>1-0,082401326670881i</v>
      </c>
      <c r="AN348">
        <f t="shared" si="337"/>
        <v>1.0033892458249298</v>
      </c>
      <c r="AO348">
        <f t="shared" si="338"/>
        <v>-8.2215581725632828E-2</v>
      </c>
      <c r="AP348" s="41" t="str">
        <f t="shared" si="339"/>
        <v>0,0203576642247755-0,456962982242231i</v>
      </c>
      <c r="AQ348">
        <f t="shared" si="340"/>
        <v>-6.7937687183082032</v>
      </c>
      <c r="AR348" s="43">
        <f t="shared" si="341"/>
        <v>-87.449164267754668</v>
      </c>
      <c r="AS348" t="str">
        <f t="shared" si="318"/>
        <v>-0,0000166666666666667</v>
      </c>
      <c r="AT348" t="str">
        <f t="shared" si="319"/>
        <v>0,000125742126699657i</v>
      </c>
      <c r="AU348">
        <f t="shared" si="342"/>
        <v>1.2574212669965701E-4</v>
      </c>
      <c r="AV348">
        <f t="shared" si="343"/>
        <v>1.5707963267948966</v>
      </c>
      <c r="AW348" t="str">
        <f t="shared" si="320"/>
        <v>1+0,0824940965953326i</v>
      </c>
      <c r="AX348">
        <f t="shared" si="344"/>
        <v>1.003396868628301</v>
      </c>
      <c r="AY348">
        <f t="shared" si="345"/>
        <v>8.2307725292591644E-2</v>
      </c>
      <c r="AZ348" t="str">
        <f t="shared" si="321"/>
        <v>1+27,5805262950395i</v>
      </c>
      <c r="BA348">
        <f t="shared" si="346"/>
        <v>27.598649074028341</v>
      </c>
      <c r="BB348">
        <f t="shared" si="347"/>
        <v>1.5345547361401504</v>
      </c>
      <c r="BC348" s="41" t="str">
        <f t="shared" si="348"/>
        <v>-3,62012929324757+0,431185699138049i</v>
      </c>
      <c r="BD348">
        <f t="shared" si="349"/>
        <v>11.23566062374357</v>
      </c>
      <c r="BE348" s="43">
        <f t="shared" si="350"/>
        <v>173.20762453205458</v>
      </c>
      <c r="BF348" s="41" t="str">
        <f t="shared" si="351"/>
        <v>0,159413306280269+0,494924531503864i</v>
      </c>
      <c r="BG348" s="20">
        <f t="shared" si="352"/>
        <v>-5.6805291329207366</v>
      </c>
      <c r="BH348" s="43">
        <f t="shared" si="353"/>
        <v>72.146448022449007</v>
      </c>
      <c r="BI348" s="41" t="str">
        <f t="shared" si="306"/>
        <v>0,123338526376116+1,66304301162645i</v>
      </c>
      <c r="BJ348" s="20">
        <f t="shared" si="354"/>
        <v>4.4418919054353818</v>
      </c>
      <c r="BK348" s="43">
        <f t="shared" si="307"/>
        <v>85.758460264299927</v>
      </c>
      <c r="BL348">
        <f t="shared" si="355"/>
        <v>-5.6805291329207366</v>
      </c>
      <c r="BM348" s="43">
        <f t="shared" si="356"/>
        <v>72.146448022449007</v>
      </c>
    </row>
    <row r="349" spans="14:65" x14ac:dyDescent="0.25">
      <c r="N349" s="9">
        <v>31</v>
      </c>
      <c r="O349" s="34">
        <f t="shared" si="308"/>
        <v>20417.379446695286</v>
      </c>
      <c r="P349" s="33" t="str">
        <f t="shared" si="309"/>
        <v>66,7780509511648</v>
      </c>
      <c r="Q349" s="4" t="str">
        <f t="shared" si="310"/>
        <v>1+499,983820107924i</v>
      </c>
      <c r="R349" s="4">
        <f t="shared" si="322"/>
        <v>499.98482013928475</v>
      </c>
      <c r="S349" s="4">
        <f t="shared" si="323"/>
        <v>1.568796264740153</v>
      </c>
      <c r="T349" s="4" t="str">
        <f t="shared" si="311"/>
        <v>1+0,128286178550586i</v>
      </c>
      <c r="U349" s="4">
        <f t="shared" si="324"/>
        <v>1.0081950920368106</v>
      </c>
      <c r="V349" s="4">
        <f t="shared" si="325"/>
        <v>0.12758929709940484</v>
      </c>
      <c r="W349" t="str">
        <f t="shared" si="312"/>
        <v>1-0,279070148083349i</v>
      </c>
      <c r="X349" s="4">
        <f t="shared" si="326"/>
        <v>1.038210069085858</v>
      </c>
      <c r="Y349" s="4">
        <f t="shared" si="327"/>
        <v>-0.27214624367019535</v>
      </c>
      <c r="Z349" t="str">
        <f t="shared" si="313"/>
        <v>0,99958313061653+0,0548513333522365i</v>
      </c>
      <c r="AA349" s="4">
        <f t="shared" si="328"/>
        <v>1.0010869611495603</v>
      </c>
      <c r="AB349" s="4">
        <f t="shared" si="329"/>
        <v>5.4819229342958152E-2</v>
      </c>
      <c r="AC349" s="47" t="str">
        <f t="shared" si="330"/>
        <v>-0,02738457644869-0,1369367291156i</v>
      </c>
      <c r="AD349" s="20">
        <f t="shared" si="331"/>
        <v>-17.099301385374709</v>
      </c>
      <c r="AE349" s="43">
        <f t="shared" si="332"/>
        <v>-101.30881830081459</v>
      </c>
      <c r="AF349" t="str">
        <f t="shared" si="314"/>
        <v>223,849857273222</v>
      </c>
      <c r="AG349" t="str">
        <f t="shared" si="315"/>
        <v>1+506,407462637838i</v>
      </c>
      <c r="AH349">
        <f t="shared" si="333"/>
        <v>506.40844998409466</v>
      </c>
      <c r="AI349">
        <f t="shared" si="334"/>
        <v>1.56882163492328</v>
      </c>
      <c r="AJ349" t="str">
        <f t="shared" si="316"/>
        <v>1+0,128286178550586i</v>
      </c>
      <c r="AK349">
        <f t="shared" si="335"/>
        <v>1.0081950920368106</v>
      </c>
      <c r="AL349">
        <f t="shared" si="336"/>
        <v>0.12758929709940484</v>
      </c>
      <c r="AM349" t="str">
        <f t="shared" si="317"/>
        <v>1-0,0843207001369495i</v>
      </c>
      <c r="AN349">
        <f t="shared" si="337"/>
        <v>1.0035486936225793</v>
      </c>
      <c r="AO349">
        <f t="shared" si="338"/>
        <v>-8.4121708833785655E-2</v>
      </c>
      <c r="AP349" s="41" t="str">
        <f t="shared" si="339"/>
        <v>0,020316530361858-0,446776522311638i</v>
      </c>
      <c r="AQ349">
        <f t="shared" si="340"/>
        <v>-6.9892218616302664</v>
      </c>
      <c r="AR349" s="43">
        <f t="shared" si="341"/>
        <v>-87.396349136685203</v>
      </c>
      <c r="AS349" t="str">
        <f t="shared" si="318"/>
        <v>-0,0000166666666666667</v>
      </c>
      <c r="AT349" t="str">
        <f t="shared" si="319"/>
        <v>0,000128671037086238i</v>
      </c>
      <c r="AU349">
        <f t="shared" si="342"/>
        <v>1.2867103708623801E-4</v>
      </c>
      <c r="AV349">
        <f t="shared" si="343"/>
        <v>1.5707963267948966</v>
      </c>
      <c r="AW349" t="str">
        <f t="shared" si="320"/>
        <v>1+0,0844156309505351i</v>
      </c>
      <c r="AX349">
        <f t="shared" si="344"/>
        <v>1.0035566744079663</v>
      </c>
      <c r="AY349">
        <f t="shared" si="345"/>
        <v>8.421596870671863E-2</v>
      </c>
      <c r="AZ349" t="str">
        <f t="shared" si="321"/>
        <v>1+28,2229592811289i</v>
      </c>
      <c r="BA349">
        <f t="shared" si="346"/>
        <v>28.240669797018978</v>
      </c>
      <c r="BB349">
        <f t="shared" si="347"/>
        <v>1.5353789977328858</v>
      </c>
      <c r="BC349" s="41" t="str">
        <f t="shared" si="348"/>
        <v>-3,61897645048831+0,435027459499658i</v>
      </c>
      <c r="BD349">
        <f t="shared" si="349"/>
        <v>11.234020748710572</v>
      </c>
      <c r="BE349" s="43">
        <f t="shared" si="350"/>
        <v>173.14551694861996</v>
      </c>
      <c r="BF349" s="41" t="str">
        <f t="shared" si="351"/>
        <v>0,158675374653758+0,483657755154306i</v>
      </c>
      <c r="BG349" s="20">
        <f t="shared" si="352"/>
        <v>-5.8652806366641306</v>
      </c>
      <c r="BH349" s="43">
        <f t="shared" si="353"/>
        <v>71.836698647805378</v>
      </c>
      <c r="BI349" s="41" t="str">
        <f t="shared" si="306"/>
        <v>0,120835010530129+1,62571196146605i</v>
      </c>
      <c r="BJ349" s="20">
        <f t="shared" si="354"/>
        <v>4.2447988870803046</v>
      </c>
      <c r="BK349" s="43">
        <f t="shared" si="307"/>
        <v>85.749167811934754</v>
      </c>
      <c r="BL349">
        <f t="shared" si="355"/>
        <v>-5.8652806366641306</v>
      </c>
      <c r="BM349" s="43">
        <f t="shared" si="356"/>
        <v>71.836698647805378</v>
      </c>
    </row>
    <row r="350" spans="14:65" x14ac:dyDescent="0.25">
      <c r="N350" s="9">
        <v>32</v>
      </c>
      <c r="O350" s="34">
        <f t="shared" si="308"/>
        <v>20892.961308540423</v>
      </c>
      <c r="P350" s="33" t="str">
        <f t="shared" si="309"/>
        <v>66,7780509511648</v>
      </c>
      <c r="Q350" s="4" t="str">
        <f t="shared" si="310"/>
        <v>1+511,629939370203i</v>
      </c>
      <c r="R350" s="4">
        <f t="shared" si="322"/>
        <v>511.63091663811485</v>
      </c>
      <c r="S350" s="4">
        <f t="shared" si="323"/>
        <v>1.5688417915934814</v>
      </c>
      <c r="T350" s="4" t="str">
        <f t="shared" si="311"/>
        <v>1+0,131274347517293i</v>
      </c>
      <c r="U350" s="4">
        <f t="shared" si="324"/>
        <v>1.0085796717741693</v>
      </c>
      <c r="V350" s="4">
        <f t="shared" si="325"/>
        <v>0.13052796823133236</v>
      </c>
      <c r="W350" t="str">
        <f t="shared" si="312"/>
        <v>1-0,285570526888445i</v>
      </c>
      <c r="X350" s="4">
        <f t="shared" si="326"/>
        <v>1.0399762140680642</v>
      </c>
      <c r="Y350" s="4">
        <f t="shared" si="327"/>
        <v>-0.27816674485547238</v>
      </c>
      <c r="Z350" t="str">
        <f t="shared" si="313"/>
        <v>0,99956348416776+0,0561289850365996i</v>
      </c>
      <c r="AA350" s="4">
        <f t="shared" si="328"/>
        <v>1.0011381632136649</v>
      </c>
      <c r="AB350" s="4">
        <f t="shared" si="329"/>
        <v>5.6094586986707919E-2</v>
      </c>
      <c r="AC350" s="47" t="str">
        <f t="shared" si="330"/>
        <v>-0,0274057137597597-0,133972241061035i</v>
      </c>
      <c r="AD350" s="20">
        <f t="shared" si="331"/>
        <v>-17.281668815279058</v>
      </c>
      <c r="AE350" s="43">
        <f t="shared" si="332"/>
        <v>-101.56107526295492</v>
      </c>
      <c r="AF350" t="str">
        <f t="shared" si="314"/>
        <v>223,849857273222</v>
      </c>
      <c r="AG350" t="str">
        <f t="shared" si="315"/>
        <v>1+518,20320775598i</v>
      </c>
      <c r="AH350">
        <f t="shared" si="333"/>
        <v>518.20417262753426</v>
      </c>
      <c r="AI350">
        <f t="shared" si="334"/>
        <v>1.5688665842851426</v>
      </c>
      <c r="AJ350" t="str">
        <f t="shared" si="316"/>
        <v>1+0,131274347517293i</v>
      </c>
      <c r="AK350">
        <f t="shared" si="335"/>
        <v>1.0085796717741693</v>
      </c>
      <c r="AL350">
        <f t="shared" si="336"/>
        <v>0.13052796823133236</v>
      </c>
      <c r="AM350" t="str">
        <f t="shared" si="317"/>
        <v>1-0,0862847815543477i</v>
      </c>
      <c r="AN350">
        <f t="shared" si="337"/>
        <v>1.0037156288151947</v>
      </c>
      <c r="AO350">
        <f t="shared" si="338"/>
        <v>-8.6071601138805784E-2</v>
      </c>
      <c r="AP350" s="41" t="str">
        <f t="shared" si="339"/>
        <v>0,0202772478136241-0,43682694189343i</v>
      </c>
      <c r="AQ350">
        <f t="shared" si="340"/>
        <v>-7.1844637333960364</v>
      </c>
      <c r="AR350" s="43">
        <f t="shared" si="341"/>
        <v>-87.342271691758057</v>
      </c>
      <c r="AS350" t="str">
        <f t="shared" si="318"/>
        <v>-0,0000166666666666667</v>
      </c>
      <c r="AT350" t="str">
        <f t="shared" si="319"/>
        <v>0,000131668170559845i</v>
      </c>
      <c r="AU350">
        <f t="shared" si="342"/>
        <v>1.3166817055984499E-4</v>
      </c>
      <c r="AV350">
        <f t="shared" si="343"/>
        <v>1.5707963267948966</v>
      </c>
      <c r="AW350" t="str">
        <f t="shared" si="320"/>
        <v>1+0,0863819235906414i</v>
      </c>
      <c r="AX350">
        <f t="shared" si="344"/>
        <v>1.0037239843319574</v>
      </c>
      <c r="AY350">
        <f t="shared" si="345"/>
        <v>8.6168024488624567E-2</v>
      </c>
      <c r="AZ350" t="str">
        <f t="shared" si="321"/>
        <v>1+28,8803564538044i</v>
      </c>
      <c r="BA350">
        <f t="shared" si="346"/>
        <v>28.897664073395301</v>
      </c>
      <c r="BB350">
        <f t="shared" si="347"/>
        <v>1.5361845433662844</v>
      </c>
      <c r="BC350" s="41" t="str">
        <f t="shared" si="348"/>
        <v>-3,61777006263679+0,439090769797298i</v>
      </c>
      <c r="BD350">
        <f t="shared" si="349"/>
        <v>11.232327691390587</v>
      </c>
      <c r="BE350" s="43">
        <f t="shared" si="350"/>
        <v>173.07982675594153</v>
      </c>
      <c r="BF350" s="41" t="str">
        <f t="shared" si="351"/>
        <v>0,157973545244211+0,472647166983354i</v>
      </c>
      <c r="BG350" s="20">
        <f t="shared" si="352"/>
        <v>-6.0493411238884782</v>
      </c>
      <c r="BH350" s="43">
        <f t="shared" si="353"/>
        <v>71.518751492986596</v>
      </c>
      <c r="BI350" s="41" t="str">
        <f t="shared" si="306"/>
        <v>0,118448258091389+1,58924298528709i</v>
      </c>
      <c r="BJ350" s="20">
        <f t="shared" si="354"/>
        <v>4.0478639579945686</v>
      </c>
      <c r="BK350" s="43">
        <f t="shared" si="307"/>
        <v>85.737555064183496</v>
      </c>
      <c r="BL350">
        <f t="shared" si="355"/>
        <v>-6.0493411238884782</v>
      </c>
      <c r="BM350" s="43">
        <f t="shared" si="356"/>
        <v>71.518751492986596</v>
      </c>
    </row>
    <row r="351" spans="14:65" x14ac:dyDescent="0.25">
      <c r="N351" s="9">
        <v>33</v>
      </c>
      <c r="O351" s="34">
        <f t="shared" si="308"/>
        <v>21379.620895022348</v>
      </c>
      <c r="P351" s="33" t="str">
        <f t="shared" si="309"/>
        <v>66,7780509511648</v>
      </c>
      <c r="Q351" s="4" t="str">
        <f t="shared" si="310"/>
        <v>1+523,547331598554i</v>
      </c>
      <c r="R351" s="4">
        <f t="shared" si="322"/>
        <v>523.54828662117336</v>
      </c>
      <c r="S351" s="4">
        <f t="shared" si="323"/>
        <v>1.5688862821369358</v>
      </c>
      <c r="T351" s="4" t="str">
        <f t="shared" si="311"/>
        <v>1+0,134332119880674i</v>
      </c>
      <c r="U351" s="4">
        <f t="shared" si="324"/>
        <v>1.0089822190859636</v>
      </c>
      <c r="V351" s="4">
        <f t="shared" si="325"/>
        <v>0.13353274408880014</v>
      </c>
      <c r="W351" t="str">
        <f t="shared" si="312"/>
        <v>1-0,292222318966868i</v>
      </c>
      <c r="X351" s="4">
        <f t="shared" si="326"/>
        <v>1.041822385871207</v>
      </c>
      <c r="Y351" s="4">
        <f t="shared" si="327"/>
        <v>-0.28430612184957488</v>
      </c>
      <c r="Z351" t="str">
        <f t="shared" si="313"/>
        <v>0,999542911810385+0,0574363970517835i</v>
      </c>
      <c r="AA351" s="4">
        <f t="shared" si="328"/>
        <v>1.0011917759633633</v>
      </c>
      <c r="AB351" s="4">
        <f t="shared" si="329"/>
        <v>5.7399541138730262E-2</v>
      </c>
      <c r="AC351" s="47" t="str">
        <f t="shared" si="330"/>
        <v>-0,0274267370458897-0,13107874291259i</v>
      </c>
      <c r="AD351" s="20">
        <f t="shared" si="331"/>
        <v>-17.463261583076701</v>
      </c>
      <c r="AE351" s="43">
        <f t="shared" si="332"/>
        <v>-101.81799216427812</v>
      </c>
      <c r="AF351" t="str">
        <f t="shared" si="314"/>
        <v>223,849857273222</v>
      </c>
      <c r="AG351" t="str">
        <f t="shared" si="315"/>
        <v>1+530,273711074101i</v>
      </c>
      <c r="AH351">
        <f t="shared" si="333"/>
        <v>530.27465398253685</v>
      </c>
      <c r="AI351">
        <f t="shared" si="334"/>
        <v>1.5689105104821479</v>
      </c>
      <c r="AJ351" t="str">
        <f t="shared" si="316"/>
        <v>1+0,134332119880674i</v>
      </c>
      <c r="AK351">
        <f t="shared" si="335"/>
        <v>1.0089822190859636</v>
      </c>
      <c r="AL351">
        <f t="shared" si="336"/>
        <v>0.13353274408880014</v>
      </c>
      <c r="AM351" t="str">
        <f t="shared" si="317"/>
        <v>1-0,0882946123050395i</v>
      </c>
      <c r="AN351">
        <f t="shared" si="337"/>
        <v>1.0038904016684775</v>
      </c>
      <c r="AO351">
        <f t="shared" si="338"/>
        <v>-8.8066233157284915E-2</v>
      </c>
      <c r="AP351" s="41" t="str">
        <f t="shared" si="339"/>
        <v>0,0202397332584293-0,427108966076518i</v>
      </c>
      <c r="AQ351">
        <f t="shared" si="340"/>
        <v>-7.3794846527033178</v>
      </c>
      <c r="AR351" s="43">
        <f t="shared" si="341"/>
        <v>-87.286911498781336</v>
      </c>
      <c r="AS351" t="str">
        <f t="shared" si="318"/>
        <v>-0,0000166666666666667</v>
      </c>
      <c r="AT351" t="str">
        <f t="shared" si="319"/>
        <v>0,000134735116240316i</v>
      </c>
      <c r="AU351">
        <f t="shared" si="342"/>
        <v>1.3473511624031599E-4</v>
      </c>
      <c r="AV351">
        <f t="shared" si="343"/>
        <v>1.5707963267948966</v>
      </c>
      <c r="AW351" t="str">
        <f t="shared" si="320"/>
        <v>1+0,0883940170700347i</v>
      </c>
      <c r="AX351">
        <f t="shared" si="344"/>
        <v>1.0038991494436966</v>
      </c>
      <c r="AY351">
        <f t="shared" si="345"/>
        <v>8.8164868104261468E-2</v>
      </c>
      <c r="AZ351" t="str">
        <f t="shared" si="321"/>
        <v>1+29,5530663737483i</v>
      </c>
      <c r="BA351">
        <f t="shared" si="346"/>
        <v>29.569980251788682</v>
      </c>
      <c r="BB351">
        <f t="shared" si="347"/>
        <v>1.5369717959671416</v>
      </c>
      <c r="BC351" s="41" t="str">
        <f t="shared" si="348"/>
        <v>-3,61650768122827+0,443377142861018i</v>
      </c>
      <c r="BD351">
        <f t="shared" si="349"/>
        <v>11.230577928936354</v>
      </c>
      <c r="BE351" s="43">
        <f t="shared" si="350"/>
        <v>173.01052229585775</v>
      </c>
      <c r="BF351" s="41" t="str">
        <f t="shared" si="351"/>
        <v>0,157306323719886+0,46188689227972i</v>
      </c>
      <c r="BG351" s="20">
        <f t="shared" si="352"/>
        <v>-6.2326836541403523</v>
      </c>
      <c r="BH351" s="43">
        <f t="shared" si="353"/>
        <v>71.19253013157963</v>
      </c>
      <c r="BI351" s="41" t="str">
        <f t="shared" si="306"/>
        <v>0,116173202274209+1,55361669164158i</v>
      </c>
      <c r="BJ351" s="20">
        <f t="shared" si="354"/>
        <v>3.8510932762330166</v>
      </c>
      <c r="BK351" s="43">
        <f t="shared" si="307"/>
        <v>85.723610797076432</v>
      </c>
      <c r="BL351">
        <f t="shared" si="355"/>
        <v>-6.2326836541403523</v>
      </c>
      <c r="BM351" s="43">
        <f t="shared" si="356"/>
        <v>71.19253013157963</v>
      </c>
    </row>
    <row r="352" spans="14:65" x14ac:dyDescent="0.25">
      <c r="N352" s="9">
        <v>34</v>
      </c>
      <c r="O352" s="34">
        <f t="shared" si="308"/>
        <v>21877.61623949555</v>
      </c>
      <c r="P352" s="33" t="str">
        <f t="shared" si="309"/>
        <v>66,7780509511648</v>
      </c>
      <c r="Q352" s="4" t="str">
        <f t="shared" si="310"/>
        <v>1+535,742315552089i</v>
      </c>
      <c r="R352" s="4">
        <f t="shared" si="322"/>
        <v>535.74324883577788</v>
      </c>
      <c r="S352" s="4">
        <f t="shared" si="323"/>
        <v>1.5689297599592866</v>
      </c>
      <c r="T352" s="4" t="str">
        <f t="shared" si="311"/>
        <v>1+0,137461116912112i</v>
      </c>
      <c r="U352" s="4">
        <f t="shared" si="324"/>
        <v>1.0094035658064249</v>
      </c>
      <c r="V352" s="4">
        <f t="shared" si="325"/>
        <v>0.13660500069563408</v>
      </c>
      <c r="W352" t="str">
        <f t="shared" si="312"/>
        <v>1-0,299029051186827i</v>
      </c>
      <c r="X352" s="4">
        <f t="shared" si="326"/>
        <v>1.043752065125475</v>
      </c>
      <c r="Y352" s="4">
        <f t="shared" si="327"/>
        <v>-0.29056577787632792</v>
      </c>
      <c r="Z352" t="str">
        <f t="shared" si="313"/>
        <v>0,999521369907677+0,0587742626049451i</v>
      </c>
      <c r="AA352" s="4">
        <f t="shared" si="328"/>
        <v>1.0012479127802836</v>
      </c>
      <c r="AB352" s="4">
        <f t="shared" si="329"/>
        <v>5.8734773319623394E-2</v>
      </c>
      <c r="AC352" s="47" t="str">
        <f t="shared" si="330"/>
        <v>-0,0274476906146275-0,128254697662669i</v>
      </c>
      <c r="AD352" s="20">
        <f t="shared" si="331"/>
        <v>-17.644048184543685</v>
      </c>
      <c r="AE352" s="43">
        <f t="shared" si="332"/>
        <v>-102.07961096302034</v>
      </c>
      <c r="AF352" t="str">
        <f t="shared" si="314"/>
        <v>223,849857273222</v>
      </c>
      <c r="AG352" t="str">
        <f t="shared" si="315"/>
        <v>1+542,625372532837i</v>
      </c>
      <c r="AH352">
        <f t="shared" si="333"/>
        <v>542.62629397809337</v>
      </c>
      <c r="AI352">
        <f t="shared" si="334"/>
        <v>1.5689534368038687</v>
      </c>
      <c r="AJ352" t="str">
        <f t="shared" si="316"/>
        <v>1+0,137461116912112i</v>
      </c>
      <c r="AK352">
        <f t="shared" si="335"/>
        <v>1.0094035658064249</v>
      </c>
      <c r="AL352">
        <f t="shared" si="336"/>
        <v>0.13660500069563408</v>
      </c>
      <c r="AM352" t="str">
        <f t="shared" si="317"/>
        <v>1-0,090351258027893i</v>
      </c>
      <c r="AN352">
        <f t="shared" si="337"/>
        <v>1.0040733787065679</v>
      </c>
      <c r="AO352">
        <f t="shared" si="338"/>
        <v>-9.0106598948257607E-2</v>
      </c>
      <c r="AP352" s="41" t="str">
        <f t="shared" si="339"/>
        <v>0,0202039071246115-0,417617442717053i</v>
      </c>
      <c r="AQ352">
        <f t="shared" si="340"/>
        <v>-7.5742745088494896</v>
      </c>
      <c r="AR352" s="43">
        <f t="shared" si="341"/>
        <v>-87.230248007178787</v>
      </c>
      <c r="AS352" t="str">
        <f t="shared" si="318"/>
        <v>-0,0000166666666666667</v>
      </c>
      <c r="AT352" t="str">
        <f t="shared" si="319"/>
        <v>0,000137873500262848i</v>
      </c>
      <c r="AU352">
        <f t="shared" si="342"/>
        <v>1.3787350026284799E-4</v>
      </c>
      <c r="AV352">
        <f t="shared" si="343"/>
        <v>1.5707963267948966</v>
      </c>
      <c r="AW352" t="str">
        <f t="shared" si="320"/>
        <v>1+0,090452978227312i</v>
      </c>
      <c r="AX352">
        <f t="shared" si="344"/>
        <v>1.0040825370805881</v>
      </c>
      <c r="AY352">
        <f t="shared" si="345"/>
        <v>9.0207494573758359E-2</v>
      </c>
      <c r="AZ352" t="str">
        <f t="shared" si="321"/>
        <v>1+30,2414457206646i</v>
      </c>
      <c r="BA352">
        <f t="shared" si="346"/>
        <v>30.257974804601563</v>
      </c>
      <c r="BB352">
        <f t="shared" si="347"/>
        <v>1.5377411690416734</v>
      </c>
      <c r="BC352" s="41" t="str">
        <f t="shared" si="348"/>
        <v>-3,61518674951837+0,447888165081854i</v>
      </c>
      <c r="BD352">
        <f t="shared" si="349"/>
        <v>11.22876782439738</v>
      </c>
      <c r="BE352" s="43">
        <f t="shared" si="350"/>
        <v>172.93757025007554</v>
      </c>
      <c r="BF352" s="41" t="str">
        <f t="shared" si="351"/>
        <v>0,156672288614142+0,451371187768446i</v>
      </c>
      <c r="BG352" s="20">
        <f t="shared" si="352"/>
        <v>-6.4152803601462978</v>
      </c>
      <c r="BH352" s="43">
        <f t="shared" si="353"/>
        <v>70.857959287055195</v>
      </c>
      <c r="BI352" s="41" t="str">
        <f t="shared" si="306"/>
        <v>0,114005012799322+1,51881413616796i</v>
      </c>
      <c r="BJ352" s="20">
        <f t="shared" si="354"/>
        <v>3.6544933155478705</v>
      </c>
      <c r="BK352" s="43">
        <f t="shared" si="307"/>
        <v>85.707322242896737</v>
      </c>
      <c r="BL352">
        <f t="shared" si="355"/>
        <v>-6.4152803601462978</v>
      </c>
      <c r="BM352" s="43">
        <f t="shared" si="356"/>
        <v>70.857959287055195</v>
      </c>
    </row>
    <row r="353" spans="14:65" x14ac:dyDescent="0.25">
      <c r="N353" s="9">
        <v>35</v>
      </c>
      <c r="O353" s="34">
        <f t="shared" si="308"/>
        <v>22387.211385683382</v>
      </c>
      <c r="P353" s="33" t="str">
        <f t="shared" si="309"/>
        <v>66,7780509511648</v>
      </c>
      <c r="Q353" s="4" t="str">
        <f t="shared" si="310"/>
        <v>1+548,221357172715i</v>
      </c>
      <c r="R353" s="4">
        <f t="shared" si="322"/>
        <v>548.22226921230913</v>
      </c>
      <c r="S353" s="4">
        <f t="shared" si="323"/>
        <v>1.5689722481123929</v>
      </c>
      <c r="T353" s="4" t="str">
        <f t="shared" si="311"/>
        <v>1+0,140662997647249i</v>
      </c>
      <c r="U353" s="4">
        <f t="shared" si="324"/>
        <v>1.0098445815605044</v>
      </c>
      <c r="V353" s="4">
        <f t="shared" si="325"/>
        <v>0.13974613489427501</v>
      </c>
      <c r="W353" t="str">
        <f t="shared" si="312"/>
        <v>1-0,305994332567842i</v>
      </c>
      <c r="X353" s="4">
        <f t="shared" si="326"/>
        <v>1.0457688710052711</v>
      </c>
      <c r="Y353" s="4">
        <f t="shared" si="327"/>
        <v>-0.2969470689541131</v>
      </c>
      <c r="Z353" t="str">
        <f t="shared" si="313"/>
        <v>0,999498812766373+0,0601432910501088i</v>
      </c>
      <c r="AA353" s="4">
        <f t="shared" si="328"/>
        <v>1.0013066923673921</v>
      </c>
      <c r="AB353" s="4">
        <f t="shared" si="329"/>
        <v>6.010098036467882E-2</v>
      </c>
      <c r="AC353" s="47" t="str">
        <f t="shared" si="330"/>
        <v>-0,0274686185983133-0,125498604907821i</v>
      </c>
      <c r="AD353" s="20">
        <f t="shared" si="331"/>
        <v>-17.823996056875764</v>
      </c>
      <c r="AE353" s="43">
        <f t="shared" si="332"/>
        <v>-102.34597056663061</v>
      </c>
      <c r="AF353" t="str">
        <f t="shared" si="314"/>
        <v>223,849857273222</v>
      </c>
      <c r="AG353" t="str">
        <f t="shared" si="315"/>
        <v>1+555,264741146583i</v>
      </c>
      <c r="AH353">
        <f t="shared" si="333"/>
        <v>555.26564161721888</v>
      </c>
      <c r="AI353">
        <f t="shared" si="334"/>
        <v>1.5689953860097756</v>
      </c>
      <c r="AJ353" t="str">
        <f t="shared" si="316"/>
        <v>1+0,140662997647249i</v>
      </c>
      <c r="AK353">
        <f t="shared" si="335"/>
        <v>1.0098445815605044</v>
      </c>
      <c r="AL353">
        <f t="shared" si="336"/>
        <v>0.13974613489427501</v>
      </c>
      <c r="AM353" t="str">
        <f t="shared" si="317"/>
        <v>1-0,0924558091836927i</v>
      </c>
      <c r="AN353">
        <f t="shared" si="337"/>
        <v>1.0042649434545703</v>
      </c>
      <c r="AO353">
        <f t="shared" si="338"/>
        <v>-9.2193712349195933E-2</v>
      </c>
      <c r="AP353" s="41" t="str">
        <f t="shared" si="339"/>
        <v>0,0201696934217236-0,408347339708868i</v>
      </c>
      <c r="AQ353">
        <f t="shared" si="340"/>
        <v>-7.7688227435117385</v>
      </c>
      <c r="AR353" s="43">
        <f t="shared" si="341"/>
        <v>-87.172260576403815</v>
      </c>
      <c r="AS353" t="str">
        <f t="shared" si="318"/>
        <v>-0,0000166666666666667</v>
      </c>
      <c r="AT353" t="str">
        <f t="shared" si="319"/>
        <v>0,000141084986640191i</v>
      </c>
      <c r="AU353">
        <f t="shared" si="342"/>
        <v>1.4108498664019099E-4</v>
      </c>
      <c r="AV353">
        <f t="shared" si="343"/>
        <v>1.5707963267948966</v>
      </c>
      <c r="AW353" t="str">
        <f t="shared" si="320"/>
        <v>1+0,0925598987509315i</v>
      </c>
      <c r="AX353">
        <f t="shared" si="344"/>
        <v>1.0042745316181143</v>
      </c>
      <c r="AY353">
        <f t="shared" si="345"/>
        <v>9.2296918706982353E-2</v>
      </c>
      <c r="AZ353" t="str">
        <f t="shared" si="321"/>
        <v>1+30,9458594823948i</v>
      </c>
      <c r="BA353">
        <f t="shared" si="346"/>
        <v>30.962012517020334</v>
      </c>
      <c r="BB353">
        <f t="shared" si="347"/>
        <v>1.5384930668762353</v>
      </c>
      <c r="BC353" s="41" t="str">
        <f t="shared" si="348"/>
        <v>-3,61380459804789+0,452625494196261i</v>
      </c>
      <c r="BD353">
        <f t="shared" si="349"/>
        <v>11.226893619622786</v>
      </c>
      <c r="BE353" s="43">
        <f t="shared" si="350"/>
        <v>172.86093563817445</v>
      </c>
      <c r="BF353" s="41" t="str">
        <f t="shared" si="351"/>
        <v>0,156070088259952+0,441094438396529i</v>
      </c>
      <c r="BG353" s="20">
        <f t="shared" si="352"/>
        <v>-6.5971024372529783</v>
      </c>
      <c r="BH353" s="43">
        <f t="shared" si="353"/>
        <v>70.51496507154387</v>
      </c>
      <c r="BI353" s="41" t="str">
        <f t="shared" si="306"/>
        <v>0,111939085610814+1,48481681129333i</v>
      </c>
      <c r="BJ353" s="20">
        <f t="shared" si="354"/>
        <v>3.4580708761110746</v>
      </c>
      <c r="BK353" s="43">
        <f t="shared" si="307"/>
        <v>85.688675061770653</v>
      </c>
      <c r="BL353">
        <f t="shared" si="355"/>
        <v>-6.5971024372529783</v>
      </c>
      <c r="BM353" s="43">
        <f t="shared" si="356"/>
        <v>70.51496507154387</v>
      </c>
    </row>
    <row r="354" spans="14:65" x14ac:dyDescent="0.25">
      <c r="N354" s="9">
        <v>36</v>
      </c>
      <c r="O354" s="34">
        <f t="shared" si="308"/>
        <v>22908.676527677751</v>
      </c>
      <c r="P354" s="33" t="str">
        <f t="shared" si="309"/>
        <v>66,7780509511648</v>
      </c>
      <c r="Q354" s="4" t="str">
        <f t="shared" si="310"/>
        <v>1+560,991073013487i</v>
      </c>
      <c r="R354" s="4">
        <f t="shared" si="322"/>
        <v>560.99196429255881</v>
      </c>
      <c r="S354" s="4">
        <f t="shared" si="323"/>
        <v>1.5690137691234216</v>
      </c>
      <c r="T354" s="4" t="str">
        <f t="shared" si="311"/>
        <v>1+0,143939459765635i</v>
      </c>
      <c r="U354" s="4">
        <f t="shared" si="324"/>
        <v>1.0103061754129898</v>
      </c>
      <c r="V354" s="4">
        <f t="shared" si="325"/>
        <v>0.14295756408381993</v>
      </c>
      <c r="W354" t="str">
        <f t="shared" si="312"/>
        <v>1-0,313121856194301i</v>
      </c>
      <c r="X354" s="4">
        <f t="shared" si="326"/>
        <v>1.0478765656443343</v>
      </c>
      <c r="Y354" s="4">
        <f t="shared" si="327"/>
        <v>-0.30345129894310974</v>
      </c>
      <c r="Z354" t="str">
        <f t="shared" si="313"/>
        <v>0,99947519253975+0,0615442082642785i</v>
      </c>
      <c r="AA354" s="4">
        <f t="shared" si="328"/>
        <v>1.0013682389976464</v>
      </c>
      <c r="AB354" s="4">
        <f t="shared" si="329"/>
        <v>6.1498874740919501E-2</v>
      </c>
      <c r="AC354" s="47" t="str">
        <f t="shared" si="330"/>
        <v>-0,0274895650450654-0,12280900003893i</v>
      </c>
      <c r="AD354" s="20">
        <f t="shared" si="331"/>
        <v>-18.003071562388982</v>
      </c>
      <c r="AE354" s="43">
        <f t="shared" si="332"/>
        <v>-102.61710658187317</v>
      </c>
      <c r="AF354" t="str">
        <f t="shared" si="314"/>
        <v>223,849857273222</v>
      </c>
      <c r="AG354" t="str">
        <f t="shared" si="315"/>
        <v>1+568,198518475889i</v>
      </c>
      <c r="AH354">
        <f t="shared" si="333"/>
        <v>568.19939844934299</v>
      </c>
      <c r="AI354">
        <f t="shared" si="334"/>
        <v>1.5690363803413021</v>
      </c>
      <c r="AJ354" t="str">
        <f t="shared" si="316"/>
        <v>1+0,143939459765635i</v>
      </c>
      <c r="AK354">
        <f t="shared" si="335"/>
        <v>1.0103061754129898</v>
      </c>
      <c r="AL354">
        <f t="shared" si="336"/>
        <v>0.14295756408381993</v>
      </c>
      <c r="AM354" t="str">
        <f t="shared" si="317"/>
        <v>1-0,0946093816333199i</v>
      </c>
      <c r="AN354">
        <f t="shared" si="337"/>
        <v>1.0044654972138363</v>
      </c>
      <c r="AO354">
        <f t="shared" si="338"/>
        <v>-9.4328607202618459E-2</v>
      </c>
      <c r="AP354" s="41" t="str">
        <f t="shared" si="339"/>
        <v>0,0201370195793612-0,39929374231742i</v>
      </c>
      <c r="AQ354">
        <f t="shared" si="340"/>
        <v>-7.963118332309933</v>
      </c>
      <c r="AR354" s="43">
        <f t="shared" si="341"/>
        <v>-87.112928504623525</v>
      </c>
      <c r="AS354" t="str">
        <f t="shared" si="318"/>
        <v>-0,0000166666666666667</v>
      </c>
      <c r="AT354" t="str">
        <f t="shared" si="319"/>
        <v>0,000144371278144932i</v>
      </c>
      <c r="AU354">
        <f t="shared" si="342"/>
        <v>1.4437127814493199E-4</v>
      </c>
      <c r="AV354">
        <f t="shared" si="343"/>
        <v>1.5707963267948966</v>
      </c>
      <c r="AW354" t="str">
        <f t="shared" si="320"/>
        <v>1+0,0947158957580449i</v>
      </c>
      <c r="AX354">
        <f t="shared" si="344"/>
        <v>1.004475535246752</v>
      </c>
      <c r="AY354">
        <f t="shared" si="345"/>
        <v>9.443417532965985E-2</v>
      </c>
      <c r="AZ354" t="str">
        <f t="shared" si="321"/>
        <v>1+31,6666811484397i</v>
      </c>
      <c r="BA354">
        <f t="shared" si="346"/>
        <v>31.682466680436139</v>
      </c>
      <c r="BB354">
        <f t="shared" si="347"/>
        <v>1.5392278847343819</v>
      </c>
      <c r="BC354" s="41" t="str">
        <f t="shared" si="348"/>
        <v>-3,61235844006019+0,457590856906554i</v>
      </c>
      <c r="BD354">
        <f t="shared" si="349"/>
        <v>11.224951427962122</v>
      </c>
      <c r="BE354" s="43">
        <f t="shared" si="350"/>
        <v>172.7805818159413</v>
      </c>
      <c r="BF354" s="41" t="str">
        <f t="shared" si="351"/>
        <v>0,155498437867777+0,431051154181021i</v>
      </c>
      <c r="BG354" s="20">
        <f t="shared" si="352"/>
        <v>-6.7781201344268585</v>
      </c>
      <c r="BH354" s="43">
        <f t="shared" si="353"/>
        <v>70.163475234068073</v>
      </c>
      <c r="BI354" s="41" t="str">
        <f t="shared" si="306"/>
        <v>0,10997103306929+1,45160663616841i</v>
      </c>
      <c r="BJ354" s="20">
        <f t="shared" si="354"/>
        <v>3.261833095652162</v>
      </c>
      <c r="BK354" s="43">
        <f t="shared" si="307"/>
        <v>85.667653311317778</v>
      </c>
      <c r="BL354">
        <f t="shared" si="355"/>
        <v>-6.7781201344268585</v>
      </c>
      <c r="BM354" s="43">
        <f t="shared" si="356"/>
        <v>70.163475234068073</v>
      </c>
    </row>
    <row r="355" spans="14:65" x14ac:dyDescent="0.25">
      <c r="N355" s="9">
        <v>37</v>
      </c>
      <c r="O355" s="34">
        <f t="shared" si="308"/>
        <v>23442.288153199243</v>
      </c>
      <c r="P355" s="33" t="str">
        <f t="shared" si="309"/>
        <v>66,7780509511648</v>
      </c>
      <c r="Q355" s="4" t="str">
        <f t="shared" si="310"/>
        <v>1+574,058233746763i</v>
      </c>
      <c r="R355" s="4">
        <f t="shared" si="322"/>
        <v>574.05910473787731</v>
      </c>
      <c r="S355" s="4">
        <f t="shared" si="323"/>
        <v>1.5690543450067898</v>
      </c>
      <c r="T355" s="4" t="str">
        <f t="shared" si="311"/>
        <v>1+0,147292240490852i</v>
      </c>
      <c r="U355" s="4">
        <f t="shared" si="324"/>
        <v>1.0107892975832378</v>
      </c>
      <c r="V355" s="4">
        <f t="shared" si="325"/>
        <v>0.14624072590510293</v>
      </c>
      <c r="W355" t="str">
        <f t="shared" si="312"/>
        <v>1-0,32041540117357i</v>
      </c>
      <c r="X355" s="4">
        <f t="shared" si="326"/>
        <v>1.0500790585995037</v>
      </c>
      <c r="Y355" s="4">
        <f t="shared" si="327"/>
        <v>-0.31007971438145399</v>
      </c>
      <c r="Z355" t="str">
        <f t="shared" si="313"/>
        <v>0,999450459126142+0,0629777570323036i</v>
      </c>
      <c r="AA355" s="4">
        <f t="shared" si="328"/>
        <v>1.0014326827741724</v>
      </c>
      <c r="AB355" s="4">
        <f t="shared" si="329"/>
        <v>6.292918486872022E-2</v>
      </c>
      <c r="AC355" s="47" t="str">
        <f t="shared" si="330"/>
        <v>-0,0275105740093362-0,120184453449304i</v>
      </c>
      <c r="AD355" s="20">
        <f t="shared" si="331"/>
        <v>-18.181239973753421</v>
      </c>
      <c r="AE355" s="43">
        <f t="shared" si="332"/>
        <v>-102.89305105611646</v>
      </c>
      <c r="AF355" t="str">
        <f t="shared" si="314"/>
        <v>223,849857273222</v>
      </c>
      <c r="AG355" t="str">
        <f t="shared" si="315"/>
        <v>1+581,433562180685i</v>
      </c>
      <c r="AH355">
        <f t="shared" si="333"/>
        <v>581.43442212352772</v>
      </c>
      <c r="AI355">
        <f t="shared" si="334"/>
        <v>1.569076441533634</v>
      </c>
      <c r="AJ355" t="str">
        <f t="shared" si="316"/>
        <v>1+0,147292240490852i</v>
      </c>
      <c r="AK355">
        <f t="shared" si="335"/>
        <v>1.0107892975832378</v>
      </c>
      <c r="AL355">
        <f t="shared" si="336"/>
        <v>0.14624072590510293</v>
      </c>
      <c r="AM355" t="str">
        <f t="shared" si="317"/>
        <v>1-0,0968131172293919i</v>
      </c>
      <c r="AN355">
        <f t="shared" si="337"/>
        <v>1.0046754598713317</v>
      </c>
      <c r="AO355">
        <f t="shared" si="338"/>
        <v>-9.6512337572107518E-2</v>
      </c>
      <c r="AP355" s="41" t="str">
        <f t="shared" si="339"/>
        <v>0,0201058162932435-0,390451850575834i</v>
      </c>
      <c r="AQ355">
        <f t="shared" si="340"/>
        <v>-8.1571497657424494</v>
      </c>
      <c r="AR355" s="43">
        <f t="shared" si="341"/>
        <v>-87.052231059814673</v>
      </c>
      <c r="AS355" t="str">
        <f t="shared" si="318"/>
        <v>-0,0000166666666666667</v>
      </c>
      <c r="AT355" t="str">
        <f t="shared" si="319"/>
        <v>0,000147734117212324i</v>
      </c>
      <c r="AU355">
        <f t="shared" si="342"/>
        <v>1.47734117212324E-4</v>
      </c>
      <c r="AV355">
        <f t="shared" si="343"/>
        <v>1.5707963267948966</v>
      </c>
      <c r="AW355" t="str">
        <f t="shared" si="320"/>
        <v>1+0,0969221123868019i</v>
      </c>
      <c r="AX355">
        <f t="shared" si="344"/>
        <v>1.0046859687830421</v>
      </c>
      <c r="AY355">
        <f t="shared" si="345"/>
        <v>9.6620319498843824E-2</v>
      </c>
      <c r="AZ355" t="str">
        <f t="shared" si="321"/>
        <v>1+32,4042929079874i</v>
      </c>
      <c r="BA355">
        <f t="shared" si="346"/>
        <v>32.419719290373912</v>
      </c>
      <c r="BB355">
        <f t="shared" si="347"/>
        <v>1.539946009050291</v>
      </c>
      <c r="BC355" s="41" t="str">
        <f t="shared" si="348"/>
        <v>-3,61084536676997+0,462786046323546i</v>
      </c>
      <c r="BD355">
        <f t="shared" si="349"/>
        <v>11.222937226754517</v>
      </c>
      <c r="BE355" s="43">
        <f t="shared" si="350"/>
        <v>172.6964704741072</v>
      </c>
      <c r="BF355" s="41" t="str">
        <f t="shared" si="351"/>
        <v>0,154956116740154+0,421235967117328i</v>
      </c>
      <c r="BG355" s="20">
        <f t="shared" si="352"/>
        <v>-6.9583027469989087</v>
      </c>
      <c r="BH355" s="43">
        <f t="shared" si="353"/>
        <v>69.803419417990682</v>
      </c>
      <c r="BI355" s="41" t="str">
        <f t="shared" si="306"/>
        <v>0,108096674600116+1,41916594682897i</v>
      </c>
      <c r="BJ355" s="20">
        <f t="shared" si="354"/>
        <v>3.0657874610120746</v>
      </c>
      <c r="BK355" s="43">
        <f t="shared" si="307"/>
        <v>85.644239414292542</v>
      </c>
      <c r="BL355">
        <f t="shared" si="355"/>
        <v>-6.9583027469989087</v>
      </c>
      <c r="BM355" s="43">
        <f t="shared" si="356"/>
        <v>69.803419417990682</v>
      </c>
    </row>
    <row r="356" spans="14:65" x14ac:dyDescent="0.25">
      <c r="N356" s="9">
        <v>38</v>
      </c>
      <c r="O356" s="34">
        <f t="shared" si="308"/>
        <v>23988.329190194923</v>
      </c>
      <c r="P356" s="33" t="str">
        <f t="shared" si="309"/>
        <v>66,7780509511648</v>
      </c>
      <c r="Q356" s="4" t="str">
        <f t="shared" si="310"/>
        <v>1+587,429767754128i</v>
      </c>
      <c r="R356" s="4">
        <f t="shared" si="322"/>
        <v>587.43061891909304</v>
      </c>
      <c r="S356" s="4">
        <f t="shared" si="323"/>
        <v>1.5690939972758329</v>
      </c>
      <c r="T356" s="4" t="str">
        <f t="shared" si="311"/>
        <v>1+0,15072311751162i</v>
      </c>
      <c r="U356" s="4">
        <f t="shared" si="324"/>
        <v>1.011294941227544</v>
      </c>
      <c r="V356" s="4">
        <f t="shared" si="325"/>
        <v>0.14959707786900958</v>
      </c>
      <c r="W356" t="str">
        <f t="shared" si="312"/>
        <v>1-0,32787883463974i</v>
      </c>
      <c r="X356" s="4">
        <f t="shared" si="326"/>
        <v>1.0523804113554727</v>
      </c>
      <c r="Y356" s="4">
        <f t="shared" si="327"/>
        <v>-0.31683349911371927</v>
      </c>
      <c r="Z356" t="str">
        <f t="shared" si="313"/>
        <v>0,999424560062663+0,064444697440716i</v>
      </c>
      <c r="AA356" s="4">
        <f t="shared" si="328"/>
        <v>1.0015001599024698</v>
      </c>
      <c r="AB356" s="4">
        <f t="shared" si="329"/>
        <v>6.4392655447936445E-2</v>
      </c>
      <c r="AC356" s="47" t="str">
        <f t="shared" si="330"/>
        <v>-0,0275316896422089-0,11762356976017i</v>
      </c>
      <c r="AD356" s="20">
        <f t="shared" si="331"/>
        <v>-18.358465460945151</v>
      </c>
      <c r="AE356" s="43">
        <f t="shared" si="332"/>
        <v>-103.17383221021771</v>
      </c>
      <c r="AF356" t="str">
        <f t="shared" si="314"/>
        <v>223,849857273222</v>
      </c>
      <c r="AG356" t="str">
        <f t="shared" si="315"/>
        <v>1+594,976889656329i</v>
      </c>
      <c r="AH356">
        <f t="shared" si="333"/>
        <v>594.97773002451072</v>
      </c>
      <c r="AI356">
        <f t="shared" si="334"/>
        <v>1.5691155908272307</v>
      </c>
      <c r="AJ356" t="str">
        <f t="shared" si="316"/>
        <v>1+0,15072311751162i</v>
      </c>
      <c r="AK356">
        <f t="shared" si="335"/>
        <v>1.011294941227544</v>
      </c>
      <c r="AL356">
        <f t="shared" si="336"/>
        <v>0.14959707786900958</v>
      </c>
      <c r="AM356" t="str">
        <f t="shared" si="317"/>
        <v>1-0,0990681844216915i</v>
      </c>
      <c r="AN356">
        <f t="shared" si="337"/>
        <v>1.0048952707444743</v>
      </c>
      <c r="AO356">
        <f t="shared" si="338"/>
        <v>-9.8745977946475952E-2</v>
      </c>
      <c r="AP356" s="41" t="str">
        <f t="shared" si="339"/>
        <v>0,0200760173782203-0,381816976741652i</v>
      </c>
      <c r="AQ356">
        <f t="shared" si="340"/>
        <v>-8.3509050294870661</v>
      </c>
      <c r="AR356" s="43">
        <f t="shared" si="341"/>
        <v>-86.990147513417725</v>
      </c>
      <c r="AS356" t="str">
        <f t="shared" si="318"/>
        <v>-0,0000166666666666667</v>
      </c>
      <c r="AT356" t="str">
        <f t="shared" si="319"/>
        <v>0,000151175286864155i</v>
      </c>
      <c r="AU356">
        <f t="shared" si="342"/>
        <v>1.5117528686415499E-4</v>
      </c>
      <c r="AV356">
        <f t="shared" si="343"/>
        <v>1.5707963267948966</v>
      </c>
      <c r="AW356" t="str">
        <f t="shared" si="320"/>
        <v>1+0,0991797184024618i</v>
      </c>
      <c r="AX356">
        <f t="shared" si="344"/>
        <v>1.0049062725161941</v>
      </c>
      <c r="AY356">
        <f t="shared" si="345"/>
        <v>9.8856426706467215E-2</v>
      </c>
      <c r="AZ356" t="str">
        <f t="shared" si="321"/>
        <v>1+33,1590858525564i</v>
      </c>
      <c r="BA356">
        <f t="shared" si="346"/>
        <v>33.174161249038477</v>
      </c>
      <c r="BB356">
        <f t="shared" si="347"/>
        <v>1.5406478176185776</v>
      </c>
      <c r="BC356" s="41" t="str">
        <f t="shared" si="348"/>
        <v>-3,60926234248246+0,468212919216964i</v>
      </c>
      <c r="BD356">
        <f t="shared" si="349"/>
        <v>11.220846849595993</v>
      </c>
      <c r="BE356" s="43">
        <f t="shared" si="350"/>
        <v>172.60856163756057</v>
      </c>
      <c r="BF356" s="41" t="str">
        <f t="shared" si="351"/>
        <v>0,154441965616668+0,411643628145386i</v>
      </c>
      <c r="BG356" s="20">
        <f t="shared" si="352"/>
        <v>-7.1376186113491649</v>
      </c>
      <c r="BH356" s="43">
        <f t="shared" si="353"/>
        <v>69.434729427342887</v>
      </c>
      <c r="BI356" s="41" t="str">
        <f t="shared" si="306"/>
        <v>0,106312027776571+1,38747748657705i</v>
      </c>
      <c r="BJ356" s="20">
        <f t="shared" si="354"/>
        <v>2.8699418201089126</v>
      </c>
      <c r="BK356" s="43">
        <f t="shared" si="307"/>
        <v>85.618414124142831</v>
      </c>
      <c r="BL356">
        <f t="shared" si="355"/>
        <v>-7.1376186113491649</v>
      </c>
      <c r="BM356" s="43">
        <f t="shared" si="356"/>
        <v>69.434729427342887</v>
      </c>
    </row>
    <row r="357" spans="14:65" x14ac:dyDescent="0.25">
      <c r="N357" s="9">
        <v>39</v>
      </c>
      <c r="O357" s="34">
        <f t="shared" si="308"/>
        <v>24547.089156850321</v>
      </c>
      <c r="P357" s="33" t="str">
        <f t="shared" si="309"/>
        <v>66,7780509511648</v>
      </c>
      <c r="Q357" s="4" t="str">
        <f t="shared" si="310"/>
        <v>1+601,112764799909i</v>
      </c>
      <c r="R357" s="4">
        <f t="shared" si="322"/>
        <v>601.11359659002119</v>
      </c>
      <c r="S357" s="4">
        <f t="shared" si="323"/>
        <v>1.56913274695421</v>
      </c>
      <c r="T357" s="4" t="str">
        <f t="shared" si="311"/>
        <v>1+0,154233909924349i</v>
      </c>
      <c r="U357" s="4">
        <f t="shared" si="324"/>
        <v>1.0118241442911668</v>
      </c>
      <c r="V357" s="4">
        <f t="shared" si="325"/>
        <v>0.15302809692397265</v>
      </c>
      <c r="W357" t="str">
        <f t="shared" si="312"/>
        <v>1-0,335516113804026i</v>
      </c>
      <c r="X357" s="4">
        <f t="shared" si="326"/>
        <v>1.0547848418621477</v>
      </c>
      <c r="Y357" s="4">
        <f t="shared" si="327"/>
        <v>-0.3237137687166331</v>
      </c>
      <c r="Z357" t="str">
        <f t="shared" si="313"/>
        <v>0,999397440413926+0,065945807280738i</v>
      </c>
      <c r="AA357" s="4">
        <f t="shared" si="328"/>
        <v>1.0015708129752059</v>
      </c>
      <c r="AB357" s="4">
        <f t="shared" si="329"/>
        <v>6.5890047788428913E-2</v>
      </c>
      <c r="AC357" s="47" t="str">
        <f t="shared" si="330"/>
        <v>-0,0275529562815993-0,115124987063087i</v>
      </c>
      <c r="AD357" s="20">
        <f t="shared" si="331"/>
        <v>-18.534711080109801</v>
      </c>
      <c r="AE357" s="43">
        <f t="shared" si="332"/>
        <v>-103.45947416351241</v>
      </c>
      <c r="AF357" t="str">
        <f t="shared" si="314"/>
        <v>223,849857273222</v>
      </c>
      <c r="AG357" t="str">
        <f t="shared" si="315"/>
        <v>1+608,835681754319i</v>
      </c>
      <c r="AH357">
        <f t="shared" si="333"/>
        <v>608.8365029934115</v>
      </c>
      <c r="AI357">
        <f t="shared" si="334"/>
        <v>1.5691538489790859</v>
      </c>
      <c r="AJ357" t="str">
        <f t="shared" si="316"/>
        <v>1+0,154233909924349i</v>
      </c>
      <c r="AK357">
        <f t="shared" si="335"/>
        <v>1.0118241442911668</v>
      </c>
      <c r="AL357">
        <f t="shared" si="336"/>
        <v>0.15302809692397265</v>
      </c>
      <c r="AM357" t="str">
        <f t="shared" si="317"/>
        <v>1-0,101375778876694i</v>
      </c>
      <c r="AN357">
        <f t="shared" si="337"/>
        <v>1.0051253894628551</v>
      </c>
      <c r="AO357">
        <f t="shared" si="338"/>
        <v>-0.10103062343070178</v>
      </c>
      <c r="AP357" s="41" t="str">
        <f t="shared" si="339"/>
        <v>0,0200475596278949-0,373384542812984i</v>
      </c>
      <c r="AQ357">
        <f t="shared" si="340"/>
        <v>-8.5443715840590162</v>
      </c>
      <c r="AR357" s="43">
        <f t="shared" si="341"/>
        <v>-86.92665717670242</v>
      </c>
      <c r="AS357" t="str">
        <f t="shared" si="318"/>
        <v>-0,0000166666666666667</v>
      </c>
      <c r="AT357" t="str">
        <f t="shared" si="319"/>
        <v>0,000154696611654122i</v>
      </c>
      <c r="AU357">
        <f t="shared" si="342"/>
        <v>1.54696611654122E-4</v>
      </c>
      <c r="AV357">
        <f t="shared" si="343"/>
        <v>1.5707963267948966</v>
      </c>
      <c r="AW357" t="str">
        <f t="shared" si="320"/>
        <v>1+0,101489910817617i</v>
      </c>
      <c r="AX357">
        <f t="shared" si="344"/>
        <v>1.0051369070916498</v>
      </c>
      <c r="AY357">
        <f t="shared" si="345"/>
        <v>0.10114359306959356</v>
      </c>
      <c r="AZ357" t="str">
        <f t="shared" si="321"/>
        <v>1+33,9314601833567i</v>
      </c>
      <c r="BA357">
        <f t="shared" si="346"/>
        <v>33.946192572580522</v>
      </c>
      <c r="BB357">
        <f t="shared" si="347"/>
        <v>1.5413336797805284</v>
      </c>
      <c r="BC357" s="41" t="str">
        <f t="shared" si="348"/>
        <v>-3,60760619956244+0,473873393058334i</v>
      </c>
      <c r="BD357">
        <f t="shared" si="349"/>
        <v>11.218675978374673</v>
      </c>
      <c r="BE357" s="43">
        <f t="shared" si="350"/>
        <v>172.51681366511662</v>
      </c>
      <c r="BF357" s="41" t="str">
        <f t="shared" si="351"/>
        <v>0,153954884143152+0,402269004171389i</v>
      </c>
      <c r="BG357" s="20">
        <f t="shared" si="352"/>
        <v>-7.3160351017351335</v>
      </c>
      <c r="BH357" s="43">
        <f t="shared" si="353"/>
        <v>69.057339501604233</v>
      </c>
      <c r="BI357" s="41" t="str">
        <f t="shared" si="306"/>
        <v>0,104613299818632+1,35652439657632i</v>
      </c>
      <c r="BJ357" s="20">
        <f t="shared" si="354"/>
        <v>2.6743043943156675</v>
      </c>
      <c r="BK357" s="43">
        <f t="shared" si="307"/>
        <v>85.590156488414209</v>
      </c>
      <c r="BL357">
        <f t="shared" si="355"/>
        <v>-7.3160351017351335</v>
      </c>
      <c r="BM357" s="43">
        <f t="shared" si="356"/>
        <v>69.057339501604233</v>
      </c>
    </row>
    <row r="358" spans="14:65" x14ac:dyDescent="0.25">
      <c r="N358" s="9">
        <v>40</v>
      </c>
      <c r="O358" s="34">
        <f t="shared" si="308"/>
        <v>25118.86431509586</v>
      </c>
      <c r="P358" s="33" t="str">
        <f t="shared" si="309"/>
        <v>66,7780509511648</v>
      </c>
      <c r="Q358" s="4" t="str">
        <f t="shared" si="310"/>
        <v>1+615,114479790258i</v>
      </c>
      <c r="R358" s="4">
        <f t="shared" si="322"/>
        <v>615.11529264654098</v>
      </c>
      <c r="S358" s="4">
        <f t="shared" si="323"/>
        <v>1.5691706145870474</v>
      </c>
      <c r="T358" s="4" t="str">
        <f t="shared" si="311"/>
        <v>1+0,157826479197648i</v>
      </c>
      <c r="U358" s="4">
        <f t="shared" si="324"/>
        <v>1.0123779914320172</v>
      </c>
      <c r="V358" s="4">
        <f t="shared" si="325"/>
        <v>0.1565352789584353</v>
      </c>
      <c r="W358" t="str">
        <f t="shared" si="312"/>
        <v>1-0,343331288052933i</v>
      </c>
      <c r="X358" s="4">
        <f t="shared" si="326"/>
        <v>1.0572967290955204</v>
      </c>
      <c r="Y358" s="4">
        <f t="shared" si="327"/>
        <v>-0.33072156472876141</v>
      </c>
      <c r="Z358" t="str">
        <f t="shared" si="313"/>
        <v>0,99936904265552+0,0674818824606766i</v>
      </c>
      <c r="AA358" s="4">
        <f t="shared" si="328"/>
        <v>1.0016447912701625</v>
      </c>
      <c r="AB358" s="4">
        <f t="shared" si="329"/>
        <v>6.7422140144866083E-2</v>
      </c>
      <c r="AC358" s="47" t="str">
        <f t="shared" si="330"/>
        <v>-0,0275744185425264-0,112687376178812i</v>
      </c>
      <c r="AD358" s="20">
        <f t="shared" si="331"/>
        <v>-18.709938764537345</v>
      </c>
      <c r="AE358" s="43">
        <f t="shared" si="332"/>
        <v>-103.74999665152711</v>
      </c>
      <c r="AF358" t="str">
        <f t="shared" si="314"/>
        <v>223,849857273222</v>
      </c>
      <c r="AG358" t="str">
        <f t="shared" si="315"/>
        <v>1+623,017286589673i</v>
      </c>
      <c r="AH358">
        <f t="shared" si="333"/>
        <v>623.01808913510581</v>
      </c>
      <c r="AI358">
        <f t="shared" si="334"/>
        <v>1.5691912362737301</v>
      </c>
      <c r="AJ358" t="str">
        <f t="shared" si="316"/>
        <v>1+0,157826479197648i</v>
      </c>
      <c r="AK358">
        <f t="shared" si="335"/>
        <v>1.0123779914320172</v>
      </c>
      <c r="AL358">
        <f t="shared" si="336"/>
        <v>0.1565352789584353</v>
      </c>
      <c r="AM358" t="str">
        <f t="shared" si="317"/>
        <v>1-0,103737124111525i</v>
      </c>
      <c r="AN358">
        <f t="shared" si="337"/>
        <v>1.0053662968883181</v>
      </c>
      <c r="AO358">
        <f t="shared" si="338"/>
        <v>-0.10336738992217147</v>
      </c>
      <c r="AP358" s="41" t="str">
        <f t="shared" si="339"/>
        <v>0,0200203826805643-0,365150078102731i</v>
      </c>
      <c r="AQ358">
        <f t="shared" si="340"/>
        <v>-8.737536343821187</v>
      </c>
      <c r="AR358" s="43">
        <f t="shared" si="341"/>
        <v>-86.861739440002893</v>
      </c>
      <c r="AS358" t="str">
        <f t="shared" si="318"/>
        <v>-0,0000166666666666667</v>
      </c>
      <c r="AT358" t="str">
        <f t="shared" si="319"/>
        <v>0,000158299958635241i</v>
      </c>
      <c r="AU358">
        <f t="shared" si="342"/>
        <v>1.58299958635241E-4</v>
      </c>
      <c r="AV358">
        <f t="shared" si="343"/>
        <v>1.5707963267948966</v>
      </c>
      <c r="AW358" t="str">
        <f t="shared" si="320"/>
        <v>1+0,103853914526867i</v>
      </c>
      <c r="AX358">
        <f t="shared" si="344"/>
        <v>1.005378354433073</v>
      </c>
      <c r="AY358">
        <f t="shared" si="345"/>
        <v>0.10348293550590548</v>
      </c>
      <c r="AZ358" t="str">
        <f t="shared" si="321"/>
        <v>1+34,7218254234825i</v>
      </c>
      <c r="BA358">
        <f t="shared" si="346"/>
        <v>34.736222603196161</v>
      </c>
      <c r="BB358">
        <f t="shared" si="347"/>
        <v>1.5420039566067896</v>
      </c>
      <c r="BC358" s="41" t="str">
        <f t="shared" si="348"/>
        <v>-3,60587363325344+0,479769442840236i</v>
      </c>
      <c r="BD358">
        <f t="shared" si="349"/>
        <v>11.216420135064544</v>
      </c>
      <c r="BE358" s="43">
        <f t="shared" si="350"/>
        <v>172.42118324993029</v>
      </c>
      <c r="BF358" s="41" t="str">
        <f t="shared" si="351"/>
        <v>0,153493828459227+0,393107075142899i</v>
      </c>
      <c r="BG358" s="20">
        <f t="shared" si="352"/>
        <v>-7.4935186294727982</v>
      </c>
      <c r="BH358" s="43">
        <f t="shared" si="353"/>
        <v>68.671186598403239</v>
      </c>
      <c r="BI358" s="41" t="str">
        <f t="shared" si="306"/>
        <v>0,102996879488925+1,32629020665517i</v>
      </c>
      <c r="BJ358" s="20">
        <f t="shared" si="354"/>
        <v>2.4788837912433288</v>
      </c>
      <c r="BK358" s="43">
        <f t="shared" si="307"/>
        <v>85.559443809927387</v>
      </c>
      <c r="BL358">
        <f t="shared" si="355"/>
        <v>-7.4935186294727982</v>
      </c>
      <c r="BM358" s="43">
        <f t="shared" si="356"/>
        <v>68.671186598403239</v>
      </c>
    </row>
    <row r="359" spans="14:65" x14ac:dyDescent="0.25">
      <c r="N359" s="9">
        <v>41</v>
      </c>
      <c r="O359" s="34">
        <f t="shared" si="308"/>
        <v>25703.95782768865</v>
      </c>
      <c r="P359" s="33" t="str">
        <f t="shared" si="309"/>
        <v>66,7780509511648</v>
      </c>
      <c r="Q359" s="4" t="str">
        <f t="shared" si="310"/>
        <v>1+629,442336619791i</v>
      </c>
      <c r="R359" s="4">
        <f t="shared" si="322"/>
        <v>629.44313097322959</v>
      </c>
      <c r="S359" s="4">
        <f t="shared" si="323"/>
        <v>1.569207620251831</v>
      </c>
      <c r="T359" s="4" t="str">
        <f t="shared" si="311"/>
        <v>1+0,161502730159297i</v>
      </c>
      <c r="U359" s="4">
        <f t="shared" si="324"/>
        <v>1.0129576160180183</v>
      </c>
      <c r="V359" s="4">
        <f t="shared" si="325"/>
        <v>0.16012013823385315</v>
      </c>
      <c r="W359" t="str">
        <f t="shared" si="312"/>
        <v>1-0,35132850109529i</v>
      </c>
      <c r="X359" s="4">
        <f t="shared" si="326"/>
        <v>1.0599206176322182</v>
      </c>
      <c r="Y359" s="4">
        <f t="shared" si="327"/>
        <v>-0.33785784869275237</v>
      </c>
      <c r="Z359" t="str">
        <f t="shared" si="313"/>
        <v>0,999339306551992+0,0690537374279237i</v>
      </c>
      <c r="AA359" s="4">
        <f t="shared" si="328"/>
        <v>1.0017222510619304</v>
      </c>
      <c r="AB359" s="4">
        <f t="shared" si="329"/>
        <v>6.8989728055668192E-2</v>
      </c>
      <c r="AC359" s="47" t="str">
        <f t="shared" si="330"/>
        <v>-0,0275961214076123-0,110309439932128i</v>
      </c>
      <c r="AD359" s="20">
        <f t="shared" si="331"/>
        <v>-18.884109317956906</v>
      </c>
      <c r="AE359" s="43">
        <f t="shared" si="332"/>
        <v>-104.04541473715572</v>
      </c>
      <c r="AF359" t="str">
        <f t="shared" si="314"/>
        <v>223,849857273222</v>
      </c>
      <c r="AG359" t="str">
        <f t="shared" si="315"/>
        <v>1+637,529223436981i</v>
      </c>
      <c r="AH359">
        <f t="shared" si="333"/>
        <v>637.5300077142723</v>
      </c>
      <c r="AI359">
        <f t="shared" si="334"/>
        <v>1.5692277725339829</v>
      </c>
      <c r="AJ359" t="str">
        <f t="shared" si="316"/>
        <v>1+0,161502730159297i</v>
      </c>
      <c r="AK359">
        <f t="shared" si="335"/>
        <v>1.0129576160180183</v>
      </c>
      <c r="AL359">
        <f t="shared" si="336"/>
        <v>0.16012013823385315</v>
      </c>
      <c r="AM359" t="str">
        <f t="shared" si="317"/>
        <v>1-0,106153472142682i</v>
      </c>
      <c r="AN359">
        <f t="shared" si="337"/>
        <v>1.0056184960749017</v>
      </c>
      <c r="AO359">
        <f t="shared" si="338"/>
        <v>-0.1057574142706631</v>
      </c>
      <c r="AP359" s="41" t="str">
        <f t="shared" si="339"/>
        <v>0,0199944288911921-0,357109216869608i</v>
      </c>
      <c r="AQ359">
        <f t="shared" si="340"/>
        <v>-8.9303856553423646</v>
      </c>
      <c r="AR359" s="43">
        <f t="shared" si="341"/>
        <v>-86.795373814986888</v>
      </c>
      <c r="AS359" t="str">
        <f t="shared" si="318"/>
        <v>-0,0000166666666666667</v>
      </c>
      <c r="AT359" t="str">
        <f t="shared" si="319"/>
        <v>0,000161987238349775i</v>
      </c>
      <c r="AU359">
        <f t="shared" si="342"/>
        <v>1.61987238349775E-4</v>
      </c>
      <c r="AV359">
        <f t="shared" si="343"/>
        <v>1.5707963267948966</v>
      </c>
      <c r="AW359" t="str">
        <f t="shared" si="320"/>
        <v>1+0,106272982956267i</v>
      </c>
      <c r="AX359">
        <f t="shared" si="344"/>
        <v>1.0056311187042806</v>
      </c>
      <c r="AY359">
        <f t="shared" si="345"/>
        <v>0.10587559189284812</v>
      </c>
      <c r="AZ359" t="str">
        <f t="shared" si="321"/>
        <v>1+35,5306006350453i</v>
      </c>
      <c r="BA359">
        <f t="shared" si="346"/>
        <v>35.544670226168677</v>
      </c>
      <c r="BB359">
        <f t="shared" si="347"/>
        <v>1.5426590010765397</v>
      </c>
      <c r="BC359" s="41" t="str">
        <f t="shared" si="348"/>
        <v>-3,60406119634729+0,485903097654978i</v>
      </c>
      <c r="BD359">
        <f t="shared" si="349"/>
        <v>11.214074673266747</v>
      </c>
      <c r="BE359" s="43">
        <f t="shared" si="350"/>
        <v>172.3216254206435</v>
      </c>
      <c r="BF359" s="41" t="str">
        <f t="shared" si="351"/>
        <v>0,153057808898471+0,384152931174963i</v>
      </c>
      <c r="BG359" s="20">
        <f t="shared" si="352"/>
        <v>-7.6700346446901637</v>
      </c>
      <c r="BH359" s="43">
        <f t="shared" si="353"/>
        <v>68.276210683487776</v>
      </c>
      <c r="BI359" s="41" t="str">
        <f t="shared" si="306"/>
        <v>0,101459329368215+1,2967588263118i</v>
      </c>
      <c r="BJ359" s="20">
        <f t="shared" si="354"/>
        <v>2.2836890179244103</v>
      </c>
      <c r="BK359" s="43">
        <f t="shared" si="307"/>
        <v>85.526251605656668</v>
      </c>
      <c r="BL359">
        <f t="shared" si="355"/>
        <v>-7.6700346446901637</v>
      </c>
      <c r="BM359" s="43">
        <f t="shared" si="356"/>
        <v>68.276210683487776</v>
      </c>
    </row>
    <row r="360" spans="14:65" x14ac:dyDescent="0.25">
      <c r="N360" s="9">
        <v>42</v>
      </c>
      <c r="O360" s="34">
        <f t="shared" si="308"/>
        <v>26302.679918953829</v>
      </c>
      <c r="P360" s="33" t="str">
        <f t="shared" si="309"/>
        <v>66,7780509511648</v>
      </c>
      <c r="Q360" s="4" t="str">
        <f t="shared" si="310"/>
        <v>1+644,103932107855i</v>
      </c>
      <c r="R360" s="4">
        <f t="shared" si="322"/>
        <v>644.10470837962384</v>
      </c>
      <c r="S360" s="4">
        <f t="shared" si="323"/>
        <v>1.5692437835690483</v>
      </c>
      <c r="T360" s="4" t="str">
        <f t="shared" si="311"/>
        <v>1+0,165264612006218i</v>
      </c>
      <c r="U360" s="4">
        <f t="shared" si="324"/>
        <v>1.0135642022001201</v>
      </c>
      <c r="V360" s="4">
        <f t="shared" si="325"/>
        <v>0.16378420674362368</v>
      </c>
      <c r="W360" t="str">
        <f t="shared" si="312"/>
        <v>1-0,359511993159311i</v>
      </c>
      <c r="X360" s="4">
        <f t="shared" si="326"/>
        <v>1.0626612222271878</v>
      </c>
      <c r="Y360" s="4">
        <f t="shared" si="327"/>
        <v>-0.34512349602080655</v>
      </c>
      <c r="Z360" t="str">
        <f t="shared" si="313"/>
        <v>0,999308169029081+0,0706622056007895i</v>
      </c>
      <c r="AA360" s="4">
        <f t="shared" si="328"/>
        <v>1.0018033559479738</v>
      </c>
      <c r="AB360" s="4">
        <f t="shared" si="329"/>
        <v>7.0593624685939271E-2</v>
      </c>
      <c r="AC360" s="47" t="str">
        <f t="shared" si="330"/>
        <v>-0,0276181103179683-0,107989912442148i</v>
      </c>
      <c r="AD360" s="20">
        <f t="shared" si="331"/>
        <v>-19.057182410366288</v>
      </c>
      <c r="AE360" s="43">
        <f t="shared" si="332"/>
        <v>-104.34573851616663</v>
      </c>
      <c r="AF360" t="str">
        <f t="shared" si="314"/>
        <v>223,849857273222</v>
      </c>
      <c r="AG360" t="str">
        <f t="shared" si="315"/>
        <v>1+652,379186717253i</v>
      </c>
      <c r="AH360">
        <f t="shared" si="333"/>
        <v>652.37995314223485</v>
      </c>
      <c r="AI360">
        <f t="shared" si="334"/>
        <v>1.5692634771314633</v>
      </c>
      <c r="AJ360" t="str">
        <f t="shared" si="316"/>
        <v>1+0,165264612006218i</v>
      </c>
      <c r="AK360">
        <f t="shared" si="335"/>
        <v>1.0135642022001201</v>
      </c>
      <c r="AL360">
        <f t="shared" si="336"/>
        <v>0.16378420674362368</v>
      </c>
      <c r="AM360" t="str">
        <f t="shared" si="317"/>
        <v>1-0,108626104149876i</v>
      </c>
      <c r="AN360">
        <f t="shared" si="337"/>
        <v>1.0058825132702027</v>
      </c>
      <c r="AO360">
        <f t="shared" si="338"/>
        <v>-0.10820185442040847</v>
      </c>
      <c r="AP360" s="41" t="str">
        <f t="shared" si="339"/>
        <v>0,019969643209144-0,349257696004706i</v>
      </c>
      <c r="AQ360">
        <f t="shared" si="340"/>
        <v>-9.1229052751020649</v>
      </c>
      <c r="AR360" s="43">
        <f t="shared" si="341"/>
        <v>-86.72753998012783</v>
      </c>
      <c r="AS360" t="str">
        <f t="shared" si="318"/>
        <v>-0,0000166666666666667</v>
      </c>
      <c r="AT360" t="str">
        <f t="shared" si="319"/>
        <v>0,000165760405842237i</v>
      </c>
      <c r="AU360">
        <f t="shared" si="342"/>
        <v>1.65760405842237E-4</v>
      </c>
      <c r="AV360">
        <f t="shared" si="343"/>
        <v>1.5707963267948966</v>
      </c>
      <c r="AW360" t="str">
        <f t="shared" si="320"/>
        <v>1+0,10874839872792i</v>
      </c>
      <c r="AX360">
        <f t="shared" si="344"/>
        <v>1.0058957273126707</v>
      </c>
      <c r="AY360">
        <f t="shared" si="345"/>
        <v>0.10832272120877341</v>
      </c>
      <c r="AZ360" t="str">
        <f t="shared" si="321"/>
        <v>1+36,3582146413679i</v>
      </c>
      <c r="BA360">
        <f t="shared" si="346"/>
        <v>36.371964091973084</v>
      </c>
      <c r="BB360">
        <f t="shared" si="347"/>
        <v>1.5432991582531916</v>
      </c>
      <c r="BC360" s="41" t="str">
        <f t="shared" si="348"/>
        <v>-3,60216529370591+0,492276437014926i</v>
      </c>
      <c r="BD360">
        <f t="shared" si="349"/>
        <v>11.211634769489844</v>
      </c>
      <c r="BE360" s="43">
        <f t="shared" si="350"/>
        <v>172.21809354336546</v>
      </c>
      <c r="BF360" s="41" t="str">
        <f t="shared" si="351"/>
        <v>0,152645887795701+0,375401769725031i</v>
      </c>
      <c r="BG360" s="20">
        <f t="shared" si="352"/>
        <v>-7.845547640876446</v>
      </c>
      <c r="BH360" s="43">
        <f t="shared" si="353"/>
        <v>67.872355027198807</v>
      </c>
      <c r="BI360" s="41" t="str">
        <f t="shared" si="306"/>
        <v>0,0999973784935704+1,2679145359153i</v>
      </c>
      <c r="BJ360" s="20">
        <f t="shared" si="354"/>
        <v>2.0887294943877892</v>
      </c>
      <c r="BK360" s="43">
        <f t="shared" si="307"/>
        <v>85.49055356323764</v>
      </c>
      <c r="BL360">
        <f t="shared" si="355"/>
        <v>-7.845547640876446</v>
      </c>
      <c r="BM360" s="43">
        <f t="shared" si="356"/>
        <v>67.872355027198807</v>
      </c>
    </row>
    <row r="361" spans="14:65" x14ac:dyDescent="0.25">
      <c r="N361" s="9">
        <v>43</v>
      </c>
      <c r="O361" s="34">
        <f t="shared" si="308"/>
        <v>26915.348039269167</v>
      </c>
      <c r="P361" s="33" t="str">
        <f t="shared" si="309"/>
        <v>66,7780509511648</v>
      </c>
      <c r="Q361" s="4" t="str">
        <f t="shared" si="310"/>
        <v>1+659,107040026448i</v>
      </c>
      <c r="R361" s="4">
        <f t="shared" si="322"/>
        <v>659.10779862813467</v>
      </c>
      <c r="S361" s="4">
        <f t="shared" si="323"/>
        <v>1.56927912371259</v>
      </c>
      <c r="T361" s="4" t="str">
        <f t="shared" si="311"/>
        <v>1+0,169114119337961i</v>
      </c>
      <c r="U361" s="4">
        <f t="shared" si="324"/>
        <v>1.0141989870629204</v>
      </c>
      <c r="V361" s="4">
        <f t="shared" si="325"/>
        <v>0.16752903349309933</v>
      </c>
      <c r="W361" t="str">
        <f t="shared" si="312"/>
        <v>1-0,36788610324081i</v>
      </c>
      <c r="X361" s="4">
        <f t="shared" si="326"/>
        <v>1.065523432383215</v>
      </c>
      <c r="Y361" s="4">
        <f t="shared" si="327"/>
        <v>-0.35251928969618423</v>
      </c>
      <c r="Z361" t="str">
        <f t="shared" si="313"/>
        <v>0,999275564039925+0,0723081398103899i</v>
      </c>
      <c r="AA361" s="4">
        <f t="shared" si="328"/>
        <v>1.001888277189702</v>
      </c>
      <c r="AB361" s="4">
        <f t="shared" si="329"/>
        <v>7.2234661174201728E-2</v>
      </c>
      <c r="AC361" s="47" t="str">
        <f t="shared" si="330"/>
        <v>-0,0276404312646248-0,105727558427662i</v>
      </c>
      <c r="AD361" s="20">
        <f t="shared" si="331"/>
        <v>-19.229116576612235</v>
      </c>
      <c r="AE361" s="43">
        <f t="shared" si="332"/>
        <v>-104.65097281803948</v>
      </c>
      <c r="AF361" t="str">
        <f t="shared" si="314"/>
        <v>223,849857273222</v>
      </c>
      <c r="AG361" t="str">
        <f t="shared" si="315"/>
        <v>1+667,575050077584i</v>
      </c>
      <c r="AH361">
        <f t="shared" si="333"/>
        <v>667.57579905662305</v>
      </c>
      <c r="AI361">
        <f t="shared" si="334"/>
        <v>1.5692983689968565</v>
      </c>
      <c r="AJ361" t="str">
        <f t="shared" si="316"/>
        <v>1+0,169114119337961i</v>
      </c>
      <c r="AK361">
        <f t="shared" si="335"/>
        <v>1.0141989870629204</v>
      </c>
      <c r="AL361">
        <f t="shared" si="336"/>
        <v>0.16752903349309933</v>
      </c>
      <c r="AM361" t="str">
        <f t="shared" si="317"/>
        <v>1-0,111156331155328i</v>
      </c>
      <c r="AN361">
        <f t="shared" si="337"/>
        <v>1.0061588989597583</v>
      </c>
      <c r="AO361">
        <f t="shared" si="338"/>
        <v>-0.11070188953243205</v>
      </c>
      <c r="AP361" s="41" t="str">
        <f t="shared" si="339"/>
        <v>0,0199459730614242-0,341591352772388i</v>
      </c>
      <c r="AQ361">
        <f t="shared" si="340"/>
        <v>-9.3150803465418512</v>
      </c>
      <c r="AR361" s="43">
        <f t="shared" si="341"/>
        <v>-86.658217829555028</v>
      </c>
      <c r="AS361" t="str">
        <f t="shared" si="318"/>
        <v>-0,0000166666666666667</v>
      </c>
      <c r="AT361" t="str">
        <f t="shared" si="319"/>
        <v>0,000169621461695975i</v>
      </c>
      <c r="AU361">
        <f t="shared" si="342"/>
        <v>1.69621461695975E-4</v>
      </c>
      <c r="AV361">
        <f t="shared" si="343"/>
        <v>1.5707963267948966</v>
      </c>
      <c r="AW361" t="str">
        <f t="shared" si="320"/>
        <v>1+0,111281474340034i</v>
      </c>
      <c r="AX361">
        <f t="shared" si="344"/>
        <v>1.0061727319557472</v>
      </c>
      <c r="AY361">
        <f t="shared" si="345"/>
        <v>0.11082550365426359</v>
      </c>
      <c r="AZ361" t="str">
        <f t="shared" si="321"/>
        <v>1+37,2051062543514i</v>
      </c>
      <c r="BA361">
        <f t="shared" si="346"/>
        <v>37.218542843555518</v>
      </c>
      <c r="BB361">
        <f t="shared" si="347"/>
        <v>1.543924765456655</v>
      </c>
      <c r="BC361" s="41" t="str">
        <f t="shared" si="348"/>
        <v>-3,60018217663719+0,498891586895729i</v>
      </c>
      <c r="BD361">
        <f t="shared" si="349"/>
        <v>11.209095414158837</v>
      </c>
      <c r="BE361" s="43">
        <f t="shared" si="350"/>
        <v>172.11053932459086</v>
      </c>
      <c r="BF361" s="41" t="str">
        <f t="shared" si="351"/>
        <v>0,152257177396055+0,366848892814545i</v>
      </c>
      <c r="BG361" s="20">
        <f t="shared" si="352"/>
        <v>-8.020021162453391</v>
      </c>
      <c r="BH361" s="43">
        <f t="shared" si="353"/>
        <v>67.459566506551369</v>
      </c>
      <c r="BI361" s="41" t="str">
        <f t="shared" si="306"/>
        <v>0,0986079153430505+1,23974197809733i</v>
      </c>
      <c r="BJ361" s="20">
        <f t="shared" si="354"/>
        <v>1.8940150676169776</v>
      </c>
      <c r="BK361" s="43">
        <f t="shared" si="307"/>
        <v>85.452321495035847</v>
      </c>
      <c r="BL361">
        <f t="shared" si="355"/>
        <v>-8.020021162453391</v>
      </c>
      <c r="BM361" s="43">
        <f t="shared" si="356"/>
        <v>67.459566506551369</v>
      </c>
    </row>
    <row r="362" spans="14:65" x14ac:dyDescent="0.25">
      <c r="N362" s="9">
        <v>44</v>
      </c>
      <c r="O362" s="34">
        <f t="shared" si="308"/>
        <v>27542.287033381719</v>
      </c>
      <c r="P362" s="33" t="str">
        <f t="shared" si="309"/>
        <v>66,7780509511648</v>
      </c>
      <c r="Q362" s="4" t="str">
        <f t="shared" si="310"/>
        <v>1+674,459615221976i</v>
      </c>
      <c r="R362" s="4">
        <f t="shared" si="322"/>
        <v>674.46035655579931</v>
      </c>
      <c r="S362" s="4">
        <f t="shared" si="323"/>
        <v>1.5693136594199149</v>
      </c>
      <c r="T362" s="4" t="str">
        <f t="shared" si="311"/>
        <v>1+0,173053293214267i</v>
      </c>
      <c r="U362" s="4">
        <f t="shared" si="324"/>
        <v>1.014863262854806</v>
      </c>
      <c r="V362" s="4">
        <f t="shared" si="325"/>
        <v>0.17135618369567321</v>
      </c>
      <c r="W362" t="str">
        <f t="shared" si="312"/>
        <v>1-0,376455271403796i</v>
      </c>
      <c r="X362" s="4">
        <f t="shared" si="326"/>
        <v>1.0685123169003274</v>
      </c>
      <c r="Y362" s="4">
        <f t="shared" si="327"/>
        <v>-0.36004591382596052</v>
      </c>
      <c r="Z362" t="str">
        <f t="shared" si="313"/>
        <v>0,999241422424971+0,0739924127528291i</v>
      </c>
      <c r="AA362" s="4">
        <f t="shared" si="328"/>
        <v>1.0019771940692386</v>
      </c>
      <c r="AB362" s="4">
        <f t="shared" si="329"/>
        <v>7.3913686982739854E-2</v>
      </c>
      <c r="AC362" s="47" t="str">
        <f t="shared" si="330"/>
        <v>-0,0276631308806562-0,103521172527014i</v>
      </c>
      <c r="AD362" s="20">
        <f t="shared" si="331"/>
        <v>-19.399869217947259</v>
      </c>
      <c r="AE362" s="43">
        <f t="shared" si="332"/>
        <v>-104.96111690328182</v>
      </c>
      <c r="AF362" t="str">
        <f t="shared" si="314"/>
        <v>223,849857273222</v>
      </c>
      <c r="AG362" t="str">
        <f t="shared" si="315"/>
        <v>1+683,124870565866i</v>
      </c>
      <c r="AH362">
        <f t="shared" si="333"/>
        <v>683.12560249607907</v>
      </c>
      <c r="AI362">
        <f t="shared" si="334"/>
        <v>1.569332466629952</v>
      </c>
      <c r="AJ362" t="str">
        <f t="shared" si="316"/>
        <v>1+0,173053293214267i</v>
      </c>
      <c r="AK362">
        <f t="shared" si="335"/>
        <v>1.014863262854806</v>
      </c>
      <c r="AL362">
        <f t="shared" si="336"/>
        <v>0.17135618369567321</v>
      </c>
      <c r="AM362" t="str">
        <f t="shared" si="317"/>
        <v>1-0,113745494718886i</v>
      </c>
      <c r="AN362">
        <f t="shared" si="337"/>
        <v>1.006448228956087</v>
      </c>
      <c r="AO362">
        <f t="shared" si="338"/>
        <v>-0.11325872008526765</v>
      </c>
      <c r="AP362" s="41" t="str">
        <f t="shared" si="339"/>
        <v>0,0199233682411685-0,334106122604318i</v>
      </c>
      <c r="AQ362">
        <f t="shared" si="340"/>
        <v>-9.5068953764661828</v>
      </c>
      <c r="AR362" s="43">
        <f t="shared" si="341"/>
        <v>-86.58738752546023</v>
      </c>
      <c r="AS362" t="str">
        <f t="shared" si="318"/>
        <v>-0,0000166666666666667</v>
      </c>
      <c r="AT362" t="str">
        <f t="shared" si="319"/>
        <v>0,00017357245309391i</v>
      </c>
      <c r="AU362">
        <f t="shared" si="342"/>
        <v>1.7357245309391E-4</v>
      </c>
      <c r="AV362">
        <f t="shared" si="343"/>
        <v>1.5707963267948966</v>
      </c>
      <c r="AW362" t="str">
        <f t="shared" si="320"/>
        <v>1+0,113873552862828i</v>
      </c>
      <c r="AX362">
        <f t="shared" si="344"/>
        <v>1.0064627097123884</v>
      </c>
      <c r="AY362">
        <f t="shared" si="345"/>
        <v>0.11338514075174695</v>
      </c>
      <c r="AZ362" t="str">
        <f t="shared" si="321"/>
        <v>1+38,0717245071387i</v>
      </c>
      <c r="BA362">
        <f t="shared" si="346"/>
        <v>38.084855348910871</v>
      </c>
      <c r="BB362">
        <f t="shared" si="347"/>
        <v>1.5445361524322052</v>
      </c>
      <c r="BC362" s="41" t="str">
        <f t="shared" si="348"/>
        <v>-3,59810793712782+0,505750715482813i</v>
      </c>
      <c r="BD362">
        <f t="shared" si="349"/>
        <v>11.20645140234325</v>
      </c>
      <c r="BE362" s="43">
        <f t="shared" si="350"/>
        <v>171.99891281516818</v>
      </c>
      <c r="BF362" s="41" t="str">
        <f t="shared" si="351"/>
        <v>0,151890837860652+0,358489704294841i</v>
      </c>
      <c r="BG362" s="20">
        <f t="shared" si="352"/>
        <v>-8.1934178156040041</v>
      </c>
      <c r="BH362" s="43">
        <f t="shared" si="353"/>
        <v>67.037795911886349</v>
      </c>
      <c r="BI362" s="41" t="str">
        <f t="shared" si="306"/>
        <v>0,0972879811514536+1,2122261493284i</v>
      </c>
      <c r="BJ362" s="20">
        <f t="shared" si="354"/>
        <v>1.6995560258770979</v>
      </c>
      <c r="BK362" s="43">
        <f t="shared" si="307"/>
        <v>85.411525289707967</v>
      </c>
      <c r="BL362">
        <f t="shared" si="355"/>
        <v>-8.1934178156040041</v>
      </c>
      <c r="BM362" s="43">
        <f t="shared" si="356"/>
        <v>67.037795911886349</v>
      </c>
    </row>
    <row r="363" spans="14:65" x14ac:dyDescent="0.25">
      <c r="N363" s="9">
        <v>45</v>
      </c>
      <c r="O363" s="34">
        <f t="shared" si="308"/>
        <v>28183.829312644593</v>
      </c>
      <c r="P363" s="33" t="str">
        <f t="shared" si="309"/>
        <v>66,7780509511648</v>
      </c>
      <c r="Q363" s="4" t="str">
        <f t="shared" si="310"/>
        <v>1+690,169797833022i</v>
      </c>
      <c r="R363" s="4">
        <f t="shared" si="322"/>
        <v>690.17052229204523</v>
      </c>
      <c r="S363" s="4">
        <f t="shared" si="323"/>
        <v>1.5693474090019823</v>
      </c>
      <c r="T363" s="4" t="str">
        <f t="shared" si="311"/>
        <v>1+0,177084222237266i</v>
      </c>
      <c r="U363" s="4">
        <f t="shared" si="324"/>
        <v>1.0155583792994756</v>
      </c>
      <c r="V363" s="4">
        <f t="shared" si="325"/>
        <v>0.1752672378797136</v>
      </c>
      <c r="W363" t="str">
        <f t="shared" si="312"/>
        <v>1-0,385224041134654i</v>
      </c>
      <c r="X363" s="4">
        <f t="shared" si="326"/>
        <v>1.0716331283924148</v>
      </c>
      <c r="Y363" s="4">
        <f t="shared" si="327"/>
        <v>-0.36770394706267112</v>
      </c>
      <c r="Z363" t="str">
        <f t="shared" si="313"/>
        <v>0,999205671765276+0,0757159174519152i</v>
      </c>
      <c r="AA363" s="4">
        <f t="shared" si="328"/>
        <v>1.0020702942625741</v>
      </c>
      <c r="AB363" s="4">
        <f t="shared" si="329"/>
        <v>7.5631570251326871E-2</v>
      </c>
      <c r="AC363" s="47" t="str">
        <f t="shared" si="330"/>
        <v>-0,0276862565341535-0,101369578632057i</v>
      </c>
      <c r="AD363" s="20">
        <f t="shared" si="331"/>
        <v>-19.56939660678686</v>
      </c>
      <c r="AE363" s="43">
        <f t="shared" si="332"/>
        <v>-105.2761641585227</v>
      </c>
      <c r="AF363" t="str">
        <f t="shared" si="314"/>
        <v>223,849857273222</v>
      </c>
      <c r="AG363" t="str">
        <f t="shared" si="315"/>
        <v>1+699,036892902748i</v>
      </c>
      <c r="AH363">
        <f t="shared" si="333"/>
        <v>699.03760817221269</v>
      </c>
      <c r="AI363">
        <f t="shared" si="334"/>
        <v>1.5693657881094483</v>
      </c>
      <c r="AJ363" t="str">
        <f t="shared" si="316"/>
        <v>1+0,177084222237266i</v>
      </c>
      <c r="AK363">
        <f t="shared" si="335"/>
        <v>1.0155583792994756</v>
      </c>
      <c r="AL363">
        <f t="shared" si="336"/>
        <v>0.1752672378797136</v>
      </c>
      <c r="AM363" t="str">
        <f t="shared" si="317"/>
        <v>1-0,116394967649344i</v>
      </c>
      <c r="AN363">
        <f t="shared" si="337"/>
        <v>1.0067511055340796</v>
      </c>
      <c r="AO363">
        <f t="shared" si="338"/>
        <v>-0.11587356795203743</v>
      </c>
      <c r="AP363" s="41" t="str">
        <f t="shared" si="339"/>
        <v>0,0199017808011537-0,326798036945467i</v>
      </c>
      <c r="AQ363">
        <f t="shared" si="340"/>
        <v>-9.6983342107981478</v>
      </c>
      <c r="AR363" s="43">
        <f t="shared" si="341"/>
        <v>-86.515029554244691</v>
      </c>
      <c r="AS363" t="str">
        <f t="shared" si="318"/>
        <v>-0,0000166666666666667</v>
      </c>
      <c r="AT363" t="str">
        <f t="shared" si="319"/>
        <v>0,000177615474903978i</v>
      </c>
      <c r="AU363">
        <f t="shared" si="342"/>
        <v>1.7761547490397801E-4</v>
      </c>
      <c r="AV363">
        <f t="shared" si="343"/>
        <v>1.5707963267948966</v>
      </c>
      <c r="AW363" t="str">
        <f t="shared" si="320"/>
        <v>1+0,116526008650644i</v>
      </c>
      <c r="AX363">
        <f t="shared" si="344"/>
        <v>1.0067662641805446</v>
      </c>
      <c r="AY363">
        <f t="shared" si="345"/>
        <v>0.11600285542135917</v>
      </c>
      <c r="AZ363" t="str">
        <f t="shared" si="321"/>
        <v>1+38,9585288921985i</v>
      </c>
      <c r="BA363">
        <f t="shared" si="346"/>
        <v>38.971360939082757</v>
      </c>
      <c r="BB363">
        <f t="shared" si="347"/>
        <v>1.545133641516</v>
      </c>
      <c r="BC363" s="41" t="str">
        <f t="shared" si="348"/>
        <v>-3,59593850193752+0,512856028600626i</v>
      </c>
      <c r="BD363">
        <f t="shared" si="349"/>
        <v>11.203697324196337</v>
      </c>
      <c r="BE363" s="43">
        <f t="shared" si="350"/>
        <v>171.88316241543654</v>
      </c>
      <c r="BF363" s="41" t="str">
        <f t="shared" si="351"/>
        <v>0,151546075363837+0,350319707155273i</v>
      </c>
      <c r="BG363" s="20">
        <f t="shared" si="352"/>
        <v>-8.3656992825905192</v>
      </c>
      <c r="BH363" s="43">
        <f t="shared" si="353"/>
        <v>66.606998256913926</v>
      </c>
      <c r="BI363" s="41" t="str">
        <f t="shared" si="306"/>
        <v>0,0960347635423433+1,18535239167356i</v>
      </c>
      <c r="BJ363" s="20">
        <f t="shared" si="354"/>
        <v>1.5053631133981562</v>
      </c>
      <c r="BK363" s="43">
        <f t="shared" si="307"/>
        <v>85.368132861191839</v>
      </c>
      <c r="BL363">
        <f t="shared" si="355"/>
        <v>-8.3656992825905192</v>
      </c>
      <c r="BM363" s="43">
        <f t="shared" si="356"/>
        <v>66.606998256913926</v>
      </c>
    </row>
    <row r="364" spans="14:65" x14ac:dyDescent="0.25">
      <c r="N364" s="9">
        <v>46</v>
      </c>
      <c r="O364" s="34">
        <f t="shared" si="308"/>
        <v>28840.315031266062</v>
      </c>
      <c r="P364" s="33" t="str">
        <f t="shared" si="309"/>
        <v>66,7780509511648</v>
      </c>
      <c r="Q364" s="4" t="str">
        <f t="shared" si="310"/>
        <v>1+706,245917606352i</v>
      </c>
      <c r="R364" s="4">
        <f t="shared" si="322"/>
        <v>706.24662557469128</v>
      </c>
      <c r="S364" s="4">
        <f t="shared" si="323"/>
        <v>1.56938039035296</v>
      </c>
      <c r="T364" s="4" t="str">
        <f t="shared" si="311"/>
        <v>1+0,181209043658881i</v>
      </c>
      <c r="U364" s="4">
        <f t="shared" si="324"/>
        <v>1.0162857459906471</v>
      </c>
      <c r="V364" s="4">
        <f t="shared" si="325"/>
        <v>0.17926379090092892</v>
      </c>
      <c r="W364" t="str">
        <f t="shared" si="312"/>
        <v>1-0,394197061751162i</v>
      </c>
      <c r="X364" s="4">
        <f t="shared" si="326"/>
        <v>1.0748913077577888</v>
      </c>
      <c r="Y364" s="4">
        <f t="shared" si="327"/>
        <v>-0.37549385591510026</v>
      </c>
      <c r="Z364" t="str">
        <f t="shared" si="313"/>
        <v>0,999168236228897+0,0774795677326524i</v>
      </c>
      <c r="AA364" s="4">
        <f t="shared" si="328"/>
        <v>1.002167774229846</v>
      </c>
      <c r="AB364" s="4">
        <f t="shared" si="329"/>
        <v>7.7389198154083683E-2</v>
      </c>
      <c r="AC364" s="47" t="str">
        <f t="shared" si="330"/>
        <v>-0,0277098564221925-0,0992716292357186i</v>
      </c>
      <c r="AD364" s="20">
        <f t="shared" si="331"/>
        <v>-19.737653894892762</v>
      </c>
      <c r="AE364" s="43">
        <f t="shared" si="332"/>
        <v>-105.59610179083869</v>
      </c>
      <c r="AF364" t="str">
        <f t="shared" si="314"/>
        <v>223,849857273222</v>
      </c>
      <c r="AG364" t="str">
        <f t="shared" si="315"/>
        <v>1+715,31955385309i</v>
      </c>
      <c r="AH364">
        <f t="shared" si="333"/>
        <v>715.32025284104998</v>
      </c>
      <c r="AI364">
        <f t="shared" si="334"/>
        <v>1.5693983511025391</v>
      </c>
      <c r="AJ364" t="str">
        <f t="shared" si="316"/>
        <v>1+0,181209043658881i</v>
      </c>
      <c r="AK364">
        <f t="shared" si="335"/>
        <v>1.0162857459906471</v>
      </c>
      <c r="AL364">
        <f t="shared" si="336"/>
        <v>0.17926379090092892</v>
      </c>
      <c r="AM364" t="str">
        <f t="shared" si="317"/>
        <v>1-0,119106154732318i</v>
      </c>
      <c r="AN364">
        <f t="shared" si="337"/>
        <v>1.0070681586144599</v>
      </c>
      <c r="AO364">
        <f t="shared" si="338"/>
        <v>-0.1185476764517123</v>
      </c>
      <c r="AP364" s="41" t="str">
        <f t="shared" si="339"/>
        <v>0,0198811649521014-0,31966322115095i</v>
      </c>
      <c r="AQ364">
        <f t="shared" si="340"/>
        <v>-9.8893800096988009</v>
      </c>
      <c r="AR364" s="43">
        <f t="shared" si="341"/>
        <v>-86.441124786592638</v>
      </c>
      <c r="AS364" t="str">
        <f t="shared" si="318"/>
        <v>-0,0000166666666666667</v>
      </c>
      <c r="AT364" t="str">
        <f t="shared" si="319"/>
        <v>0,000181752670789858i</v>
      </c>
      <c r="AU364">
        <f t="shared" si="342"/>
        <v>1.8175267078985799E-4</v>
      </c>
      <c r="AV364">
        <f t="shared" si="343"/>
        <v>1.5707963267948966</v>
      </c>
      <c r="AW364" t="str">
        <f t="shared" si="320"/>
        <v>1+0,119240248070649i</v>
      </c>
      <c r="AX364">
        <f t="shared" si="344"/>
        <v>1.0070840266630932</v>
      </c>
      <c r="AY364">
        <f t="shared" si="345"/>
        <v>0.1186798920308914</v>
      </c>
      <c r="AZ364" t="str">
        <f t="shared" si="321"/>
        <v>1+39,8659896049538i</v>
      </c>
      <c r="BA364">
        <f t="shared" si="346"/>
        <v>39.878529651709634</v>
      </c>
      <c r="BB364">
        <f t="shared" si="347"/>
        <v>1.5457175477972869</v>
      </c>
      <c r="BC364" s="41" t="str">
        <f t="shared" si="348"/>
        <v>-3,59366962655889+0,520209764803086i</v>
      </c>
      <c r="BD364">
        <f t="shared" si="349"/>
        <v>11.20082755509477</v>
      </c>
      <c r="BE364" s="43">
        <f t="shared" si="350"/>
        <v>171.76323488165727</v>
      </c>
      <c r="BF364" s="41" t="str">
        <f t="shared" si="351"/>
        <v>0,151222140277073+0,342334500871301i</v>
      </c>
      <c r="BG364" s="20">
        <f t="shared" si="352"/>
        <v>-8.5368263397980026</v>
      </c>
      <c r="BH364" s="43">
        <f t="shared" si="353"/>
        <v>66.167133090818609</v>
      </c>
      <c r="BI364" s="41" t="str">
        <f t="shared" si="306"/>
        <v>0,0948455904621587+1,15910638472189i</v>
      </c>
      <c r="BJ364" s="20">
        <f t="shared" si="354"/>
        <v>1.3114475453959629</v>
      </c>
      <c r="BK364" s="43">
        <f t="shared" si="307"/>
        <v>85.32211009506463</v>
      </c>
      <c r="BL364">
        <f t="shared" si="355"/>
        <v>-8.5368263397980026</v>
      </c>
      <c r="BM364" s="43">
        <f t="shared" si="356"/>
        <v>66.167133090818609</v>
      </c>
    </row>
    <row r="365" spans="14:65" x14ac:dyDescent="0.25">
      <c r="N365" s="9">
        <v>47</v>
      </c>
      <c r="O365" s="34">
        <f t="shared" si="308"/>
        <v>29512.092266663854</v>
      </c>
      <c r="P365" s="33" t="str">
        <f t="shared" si="309"/>
        <v>66,7780509511648</v>
      </c>
      <c r="Q365" s="4" t="str">
        <f t="shared" si="310"/>
        <v>1+722,696498313474i</v>
      </c>
      <c r="R365" s="4">
        <f t="shared" si="322"/>
        <v>722.69719016650185</v>
      </c>
      <c r="S365" s="4">
        <f t="shared" si="323"/>
        <v>1.569412620959709</v>
      </c>
      <c r="T365" s="4" t="str">
        <f t="shared" si="311"/>
        <v>1+0,185429944514031i</v>
      </c>
      <c r="U365" s="4">
        <f t="shared" si="324"/>
        <v>1.0170468348716672</v>
      </c>
      <c r="V365" s="4">
        <f t="shared" si="325"/>
        <v>0.18334745085456702</v>
      </c>
      <c r="W365" t="str">
        <f t="shared" si="312"/>
        <v>1-0,40337909086763i</v>
      </c>
      <c r="X365" s="4">
        <f t="shared" si="326"/>
        <v>1.0782924885898055</v>
      </c>
      <c r="Y365" s="4">
        <f t="shared" si="327"/>
        <v>-0.38341598797117793</v>
      </c>
      <c r="Z365" t="str">
        <f t="shared" si="313"/>
        <v>0,999129036410044+0,0792842987057656i</v>
      </c>
      <c r="AA365" s="4">
        <f t="shared" si="328"/>
        <v>1.0022698396235059</v>
      </c>
      <c r="AB365" s="4">
        <f t="shared" si="329"/>
        <v>7.9187477259196129E-2</v>
      </c>
      <c r="AC365" s="47" t="str">
        <f t="shared" si="330"/>
        <v>-0,027733979665945-0,0972262047927006i</v>
      </c>
      <c r="AD365" s="20">
        <f t="shared" si="331"/>
        <v>-19.904595125207464</v>
      </c>
      <c r="AE365" s="43">
        <f t="shared" si="332"/>
        <v>-105.92091052293451</v>
      </c>
      <c r="AF365" t="str">
        <f t="shared" si="314"/>
        <v>223,849857273222</v>
      </c>
      <c r="AG365" t="str">
        <f t="shared" si="315"/>
        <v>1+731,981486699266i</v>
      </c>
      <c r="AH365">
        <f t="shared" si="333"/>
        <v>731.98216977633263</v>
      </c>
      <c r="AI365">
        <f t="shared" si="334"/>
        <v>1.5694301728742781</v>
      </c>
      <c r="AJ365" t="str">
        <f t="shared" si="316"/>
        <v>1+0,185429944514031i</v>
      </c>
      <c r="AK365">
        <f t="shared" si="335"/>
        <v>1.0170468348716672</v>
      </c>
      <c r="AL365">
        <f t="shared" si="336"/>
        <v>0.18334745085456702</v>
      </c>
      <c r="AM365" t="str">
        <f t="shared" si="317"/>
        <v>1-0,121880493475089i</v>
      </c>
      <c r="AN365">
        <f t="shared" si="337"/>
        <v>1.0074000469970861</v>
      </c>
      <c r="AO365">
        <f t="shared" si="338"/>
        <v>-0.12128231037228197</v>
      </c>
      <c r="AP365" s="41" t="str">
        <f t="shared" si="339"/>
        <v>0,0198614769655566-0,312697892432574i</v>
      </c>
      <c r="AQ365">
        <f t="shared" si="340"/>
        <v>-10.080015222062311</v>
      </c>
      <c r="AR365" s="43">
        <f t="shared" si="341"/>
        <v>-86.36565454166184</v>
      </c>
      <c r="AS365" t="str">
        <f t="shared" si="318"/>
        <v>-0,0000166666666666667</v>
      </c>
      <c r="AT365" t="str">
        <f t="shared" si="319"/>
        <v>0,000185986234347573i</v>
      </c>
      <c r="AU365">
        <f t="shared" si="342"/>
        <v>1.8598623434757299E-4</v>
      </c>
      <c r="AV365">
        <f t="shared" si="343"/>
        <v>1.5707963267948966</v>
      </c>
      <c r="AW365" t="str">
        <f t="shared" si="320"/>
        <v>1+0,122017710248515i</v>
      </c>
      <c r="AX365">
        <f t="shared" si="344"/>
        <v>1.0074166574036238</v>
      </c>
      <c r="AY365">
        <f t="shared" si="345"/>
        <v>0.1214175164175242</v>
      </c>
      <c r="AZ365" t="str">
        <f t="shared" si="321"/>
        <v>1+40,7945877930868i</v>
      </c>
      <c r="BA365">
        <f t="shared" si="346"/>
        <v>40.806842480249152</v>
      </c>
      <c r="BB365">
        <f t="shared" si="347"/>
        <v>1.5462881792773462</v>
      </c>
      <c r="BC365" s="41" t="str">
        <f t="shared" si="348"/>
        <v>-3,59129688904977+0,527814190102761i</v>
      </c>
      <c r="BD365">
        <f t="shared" si="349"/>
        <v>11.197836245471972</v>
      </c>
      <c r="BE365" s="43">
        <f t="shared" si="350"/>
        <v>171.63907533387578</v>
      </c>
      <c r="BF365" s="41" t="str">
        <f t="shared" si="351"/>
        <v>0,150918325434702+0,334529778790434i</v>
      </c>
      <c r="BG365" s="20">
        <f t="shared" si="352"/>
        <v>-8.7067588797354993</v>
      </c>
      <c r="BH365" s="43">
        <f t="shared" si="353"/>
        <v>65.718164810941303</v>
      </c>
      <c r="BI365" s="41" t="str">
        <f t="shared" si="306"/>
        <v>0,0937179244028022+1,13347413768434i</v>
      </c>
      <c r="BJ365" s="20">
        <f t="shared" si="354"/>
        <v>1.1178210234096437</v>
      </c>
      <c r="BK365" s="43">
        <f t="shared" si="307"/>
        <v>85.273420792213955</v>
      </c>
      <c r="BL365">
        <f t="shared" si="355"/>
        <v>-8.7067588797354993</v>
      </c>
      <c r="BM365" s="43">
        <f t="shared" si="356"/>
        <v>65.718164810941303</v>
      </c>
    </row>
    <row r="366" spans="14:65" x14ac:dyDescent="0.25">
      <c r="N366" s="9">
        <v>48</v>
      </c>
      <c r="O366" s="34">
        <f t="shared" si="308"/>
        <v>30199.517204020212</v>
      </c>
      <c r="P366" s="33" t="str">
        <f t="shared" si="309"/>
        <v>66,7780509511648</v>
      </c>
      <c r="Q366" s="4" t="str">
        <f t="shared" si="310"/>
        <v>1+739,530262270018i</v>
      </c>
      <c r="R366" s="4">
        <f t="shared" si="322"/>
        <v>739.53093837456288</v>
      </c>
      <c r="S366" s="4">
        <f t="shared" si="323"/>
        <v>1.5694441179110563</v>
      </c>
      <c r="T366" s="4" t="str">
        <f t="shared" si="311"/>
        <v>1+0,189749162780217i</v>
      </c>
      <c r="U366" s="4">
        <f t="shared" si="324"/>
        <v>1.0178431828016501</v>
      </c>
      <c r="V366" s="4">
        <f t="shared" si="325"/>
        <v>0.18751983788165191</v>
      </c>
      <c r="W366" t="str">
        <f t="shared" si="312"/>
        <v>1-0,412774996917427i</v>
      </c>
      <c r="X366" s="4">
        <f t="shared" si="326"/>
        <v>1.0818425015131277</v>
      </c>
      <c r="Y366" s="4">
        <f t="shared" si="327"/>
        <v>-0.39147056505870897</v>
      </c>
      <c r="Z366" t="str">
        <f t="shared" si="313"/>
        <v>0,999087989160644+0,081131067263504i</v>
      </c>
      <c r="AA366" s="4">
        <f t="shared" si="328"/>
        <v>1.0023767057151589</v>
      </c>
      <c r="AB366" s="4">
        <f t="shared" si="329"/>
        <v>8.1027333891173933E-2</v>
      </c>
      <c r="AC366" s="47" t="str">
        <f t="shared" si="330"/>
        <v>-0,0277586764070758-0,0952322130928447i</v>
      </c>
      <c r="AD366" s="20">
        <f t="shared" si="331"/>
        <v>-20.070173247561627</v>
      </c>
      <c r="AE366" s="43">
        <f t="shared" si="332"/>
        <v>-106.25056429096691</v>
      </c>
      <c r="AF366" t="str">
        <f t="shared" si="314"/>
        <v>223,849857273222</v>
      </c>
      <c r="AG366" t="str">
        <f t="shared" si="315"/>
        <v>1+749,031525818607i</v>
      </c>
      <c r="AH366">
        <f t="shared" si="333"/>
        <v>749.03219334695518</v>
      </c>
      <c r="AI366">
        <f t="shared" si="334"/>
        <v>1.5694612702967314</v>
      </c>
      <c r="AJ366" t="str">
        <f t="shared" si="316"/>
        <v>1+0,189749162780217i</v>
      </c>
      <c r="AK366">
        <f t="shared" si="335"/>
        <v>1.0178431828016501</v>
      </c>
      <c r="AL366">
        <f t="shared" si="336"/>
        <v>0.18751983788165191</v>
      </c>
      <c r="AM366" t="str">
        <f t="shared" si="317"/>
        <v>1-0,124719454868779i</v>
      </c>
      <c r="AN366">
        <f t="shared" si="337"/>
        <v>1.0077474596459004</v>
      </c>
      <c r="AO366">
        <f t="shared" si="338"/>
        <v>-0.12407875596336818</v>
      </c>
      <c r="AP366" s="41" t="str">
        <f t="shared" si="339"/>
        <v>0,0198426750811395-0,30589835785406i</v>
      </c>
      <c r="AQ366">
        <f t="shared" si="340"/>
        <v>-10.270221559401222</v>
      </c>
      <c r="AR366" s="43">
        <f t="shared" si="341"/>
        <v>-86.288600655582258</v>
      </c>
      <c r="AS366" t="str">
        <f t="shared" si="318"/>
        <v>-0,0000166666666666667</v>
      </c>
      <c r="AT366" t="str">
        <f t="shared" si="319"/>
        <v>0,000190318410268558i</v>
      </c>
      <c r="AU366">
        <f t="shared" si="342"/>
        <v>1.9031841026855801E-4</v>
      </c>
      <c r="AV366">
        <f t="shared" si="343"/>
        <v>1.5707963267948966</v>
      </c>
      <c r="AW366" t="str">
        <f t="shared" si="320"/>
        <v>1+0,124859867831449i</v>
      </c>
      <c r="AX366">
        <f t="shared" si="344"/>
        <v>1.0077648468739555</v>
      </c>
      <c r="AY366">
        <f t="shared" si="345"/>
        <v>0.12421701587887914</v>
      </c>
      <c r="AZ366" t="str">
        <f t="shared" si="321"/>
        <v>1+41,7448158116477i</v>
      </c>
      <c r="BA366">
        <f t="shared" si="346"/>
        <v>41.756791629007992</v>
      </c>
      <c r="BB366">
        <f t="shared" si="347"/>
        <v>1.5468458370252165</v>
      </c>
      <c r="BC366" s="41" t="str">
        <f t="shared" si="348"/>
        <v>-3,58881568374522+0,535671592315275i</v>
      </c>
      <c r="BD366">
        <f t="shared" si="349"/>
        <v>11.194717310336337</v>
      </c>
      <c r="BE366" s="43">
        <f t="shared" si="350"/>
        <v>171.51062726535676</v>
      </c>
      <c r="BF366" s="41" t="str">
        <f t="shared" si="351"/>
        <v>0,150633964476874+0,326901325553825i</v>
      </c>
      <c r="BG366" s="20">
        <f t="shared" si="352"/>
        <v>-8.8754559372252917</v>
      </c>
      <c r="BH366" s="43">
        <f t="shared" si="353"/>
        <v>65.260062974389783</v>
      </c>
      <c r="BI366" s="41" t="str">
        <f t="shared" si="306"/>
        <v>0,0926493568996582+1,10844198165507i</v>
      </c>
      <c r="BJ366" s="20">
        <f t="shared" si="354"/>
        <v>0.92449575093513658</v>
      </c>
      <c r="BK366" s="43">
        <f t="shared" si="307"/>
        <v>85.222026609774517</v>
      </c>
      <c r="BL366">
        <f t="shared" si="355"/>
        <v>-8.8754559372252917</v>
      </c>
      <c r="BM366" s="43">
        <f t="shared" si="356"/>
        <v>65.260062974389783</v>
      </c>
    </row>
    <row r="367" spans="14:65" x14ac:dyDescent="0.25">
      <c r="N367" s="9">
        <v>49</v>
      </c>
      <c r="O367" s="34">
        <f t="shared" si="308"/>
        <v>30902.954325135954</v>
      </c>
      <c r="P367" s="33" t="str">
        <f t="shared" si="309"/>
        <v>66,7780509511648</v>
      </c>
      <c r="Q367" s="4" t="str">
        <f t="shared" si="310"/>
        <v>1+756,756134960457i</v>
      </c>
      <c r="R367" s="4">
        <f t="shared" si="322"/>
        <v>756.75679567499708</v>
      </c>
      <c r="S367" s="4">
        <f t="shared" si="323"/>
        <v>1.5694748979068518</v>
      </c>
      <c r="T367" s="4" t="str">
        <f t="shared" si="311"/>
        <v>1+0,194168988564136i</v>
      </c>
      <c r="U367" s="4">
        <f t="shared" si="324"/>
        <v>1.0186763942096722</v>
      </c>
      <c r="V367" s="4">
        <f t="shared" si="325"/>
        <v>0.19178258286333849</v>
      </c>
      <c r="W367" t="str">
        <f t="shared" si="312"/>
        <v>1-0,422389761734313i</v>
      </c>
      <c r="X367" s="4">
        <f t="shared" si="326"/>
        <v>1.0855473784307941</v>
      </c>
      <c r="Y367" s="4">
        <f t="shared" si="327"/>
        <v>-0.39965767637263572</v>
      </c>
      <c r="Z367" t="str">
        <f t="shared" si="313"/>
        <v>0,999045007413979+0,0830208525870021i</v>
      </c>
      <c r="AA367" s="4">
        <f t="shared" si="328"/>
        <v>1.0024885978419256</v>
      </c>
      <c r="AB367" s="4">
        <f t="shared" si="329"/>
        <v>8.2909714495326026E-2</v>
      </c>
      <c r="AC367" s="47" t="str">
        <f t="shared" si="330"/>
        <v>-0,0277839979055674-0,093288588646683i</v>
      </c>
      <c r="AD367" s="20">
        <f t="shared" si="331"/>
        <v>-20.234340138471275</v>
      </c>
      <c r="AE367" s="43">
        <f t="shared" si="332"/>
        <v>-106.58502994697523</v>
      </c>
      <c r="AF367" t="str">
        <f t="shared" si="314"/>
        <v>223,849857273222</v>
      </c>
      <c r="AG367" t="str">
        <f t="shared" si="315"/>
        <v>1+766,478711367541i</v>
      </c>
      <c r="AH367">
        <f t="shared" si="333"/>
        <v>766.4793637011021</v>
      </c>
      <c r="AI367">
        <f t="shared" si="334"/>
        <v>1.5694916598579238</v>
      </c>
      <c r="AJ367" t="str">
        <f t="shared" si="316"/>
        <v>1+0,194168988564136i</v>
      </c>
      <c r="AK367">
        <f t="shared" si="335"/>
        <v>1.0186763942096722</v>
      </c>
      <c r="AL367">
        <f t="shared" si="336"/>
        <v>0.19178258286333849</v>
      </c>
      <c r="AM367" t="str">
        <f t="shared" si="317"/>
        <v>1-0,127624544168297i</v>
      </c>
      <c r="AN367">
        <f t="shared" si="337"/>
        <v>1.0081111170273671</v>
      </c>
      <c r="AO367">
        <f t="shared" si="338"/>
        <v>-0.12693832089572613</v>
      </c>
      <c r="AP367" s="41" t="str">
        <f t="shared" si="339"/>
        <v>0,0198247194179693-0,299261012373813i</v>
      </c>
      <c r="AQ367">
        <f t="shared" si="340"/>
        <v>-10.459979969143237</v>
      </c>
      <c r="AR367" s="43">
        <f t="shared" si="341"/>
        <v>-86.20994555445634</v>
      </c>
      <c r="AS367" t="str">
        <f t="shared" si="318"/>
        <v>-0,0000166666666666667</v>
      </c>
      <c r="AT367" t="str">
        <f t="shared" si="319"/>
        <v>0,000194751495529828i</v>
      </c>
      <c r="AU367">
        <f t="shared" si="342"/>
        <v>1.9475149552982801E-4</v>
      </c>
      <c r="AV367">
        <f t="shared" si="343"/>
        <v>1.5707963267948966</v>
      </c>
      <c r="AW367" t="str">
        <f t="shared" si="320"/>
        <v>1+0,127768227769023i</v>
      </c>
      <c r="AX367">
        <f t="shared" si="344"/>
        <v>1.0081293171152383</v>
      </c>
      <c r="AY367">
        <f t="shared" si="345"/>
        <v>0.12707969913083844</v>
      </c>
      <c r="AZ367" t="str">
        <f t="shared" si="321"/>
        <v>1+42,7171774841099i</v>
      </c>
      <c r="BA367">
        <f t="shared" si="346"/>
        <v>42.728880774119808</v>
      </c>
      <c r="BB367">
        <f t="shared" si="347"/>
        <v>1.5473908153302498</v>
      </c>
      <c r="BC367" s="41" t="str">
        <f t="shared" si="348"/>
        <v>-3,58622121485806+0,543784274994688i</v>
      </c>
      <c r="BD367">
        <f t="shared" si="349"/>
        <v>11.19146441846681</v>
      </c>
      <c r="BE367" s="43">
        <f t="shared" si="350"/>
        <v>171.37783255374134</v>
      </c>
      <c r="BF367" s="41" t="str">
        <f t="shared" si="351"/>
        <v>0,150368430265032+0,319445014551368i</v>
      </c>
      <c r="BG367" s="20">
        <f t="shared" si="352"/>
        <v>-9.0428757200044725</v>
      </c>
      <c r="BH367" s="43">
        <f t="shared" si="353"/>
        <v>64.79280260676606</v>
      </c>
      <c r="BI367" s="41" t="str">
        <f t="shared" si="306"/>
        <v>0,0916376032925402+1,08399656203054i</v>
      </c>
      <c r="BJ367" s="20">
        <f t="shared" si="354"/>
        <v>0.73148444932355305</v>
      </c>
      <c r="BK367" s="43">
        <f t="shared" si="307"/>
        <v>85.167886999284974</v>
      </c>
      <c r="BL367">
        <f t="shared" si="355"/>
        <v>-9.0428757200044725</v>
      </c>
      <c r="BM367" s="43">
        <f t="shared" si="356"/>
        <v>64.79280260676606</v>
      </c>
    </row>
    <row r="368" spans="14:65" x14ac:dyDescent="0.25">
      <c r="N368" s="9">
        <v>50</v>
      </c>
      <c r="O368" s="34">
        <f t="shared" si="308"/>
        <v>31622.77660168384</v>
      </c>
      <c r="P368" s="33" t="str">
        <f t="shared" si="309"/>
        <v>66,7780509511648</v>
      </c>
      <c r="Q368" s="4" t="str">
        <f t="shared" si="310"/>
        <v>1+774,383249770503i</v>
      </c>
      <c r="R368" s="4">
        <f t="shared" si="322"/>
        <v>774.38389544535676</v>
      </c>
      <c r="S368" s="4">
        <f t="shared" si="323"/>
        <v>1.5695049772668237</v>
      </c>
      <c r="T368" s="4" t="str">
        <f t="shared" si="311"/>
        <v>1+0,198691765315922i</v>
      </c>
      <c r="U368" s="4">
        <f t="shared" si="324"/>
        <v>1.0195481438384151</v>
      </c>
      <c r="V368" s="4">
        <f t="shared" si="325"/>
        <v>0.19613732599725292</v>
      </c>
      <c r="W368" t="str">
        <f t="shared" si="312"/>
        <v>1-0,432228483193859i</v>
      </c>
      <c r="X368" s="4">
        <f t="shared" si="326"/>
        <v>1.0894133566668183</v>
      </c>
      <c r="Y368" s="4">
        <f t="shared" si="327"/>
        <v>-0.40797727160030711</v>
      </c>
      <c r="Z368" t="str">
        <f t="shared" si="313"/>
        <v>0,999+0,0849546566654527i</v>
      </c>
      <c r="AA368" s="4">
        <f t="shared" si="328"/>
        <v>1.0026057518731601</v>
      </c>
      <c r="AB368" s="4">
        <f t="shared" si="329"/>
        <v>8.4835586004065849E-2</v>
      </c>
      <c r="AC368" s="47" t="str">
        <f t="shared" si="330"/>
        <v>-0,0278099966391103-0,0913942920827059i</v>
      </c>
      <c r="AD368" s="20">
        <f t="shared" si="331"/>
        <v>-20.397046625232882</v>
      </c>
      <c r="AE368" s="43">
        <f t="shared" si="332"/>
        <v>-106.92426696805327</v>
      </c>
      <c r="AF368" t="str">
        <f t="shared" si="314"/>
        <v>223,849857273222</v>
      </c>
      <c r="AG368" t="str">
        <f t="shared" si="315"/>
        <v>1+784,332294074787i</v>
      </c>
      <c r="AH368">
        <f t="shared" si="333"/>
        <v>784.33293155943545</v>
      </c>
      <c r="AI368">
        <f t="shared" si="334"/>
        <v>1.5695213576705782</v>
      </c>
      <c r="AJ368" t="str">
        <f t="shared" si="316"/>
        <v>1+0,198691765315922i</v>
      </c>
      <c r="AK368">
        <f t="shared" si="335"/>
        <v>1.0195481438384151</v>
      </c>
      <c r="AL368">
        <f t="shared" si="336"/>
        <v>0.19613732599725292</v>
      </c>
      <c r="AM368" t="str">
        <f t="shared" si="317"/>
        <v>1-0,130597301690444i</v>
      </c>
      <c r="AN368">
        <f t="shared" si="337"/>
        <v>1.0084917725042801</v>
      </c>
      <c r="AO368">
        <f t="shared" si="338"/>
        <v>-0.12986233418486848</v>
      </c>
      <c r="AP368" s="41" t="str">
        <f t="shared" si="339"/>
        <v>0,0198075718900755-0,292782336934257i</v>
      </c>
      <c r="AQ368">
        <f t="shared" si="340"/>
        <v>-10.649270607362153</v>
      </c>
      <c r="AR368" s="43">
        <f t="shared" si="341"/>
        <v>-86.129672332053346</v>
      </c>
      <c r="AS368" t="str">
        <f t="shared" si="318"/>
        <v>-0,0000166666666666667</v>
      </c>
      <c r="AT368" t="str">
        <f t="shared" si="319"/>
        <v>0,00019928784061187i</v>
      </c>
      <c r="AU368">
        <f t="shared" si="342"/>
        <v>1.9928784061186999E-4</v>
      </c>
      <c r="AV368">
        <f t="shared" si="343"/>
        <v>1.5707963267948966</v>
      </c>
      <c r="AW368" t="str">
        <f t="shared" si="320"/>
        <v>1+0,130744332112172i</v>
      </c>
      <c r="AX368">
        <f t="shared" si="344"/>
        <v>1.0085108231345155</v>
      </c>
      <c r="AY368">
        <f t="shared" si="345"/>
        <v>0.13000689622933748</v>
      </c>
      <c r="AZ368" t="str">
        <f t="shared" si="321"/>
        <v>1+43,7121883695028i</v>
      </c>
      <c r="BA368">
        <f t="shared" si="346"/>
        <v>43.723625330602403</v>
      </c>
      <c r="BB368">
        <f t="shared" si="347"/>
        <v>1.5479234018515404</v>
      </c>
      <c r="BC368" s="41" t="str">
        <f t="shared" si="348"/>
        <v>-3,58350848997817+0,552154550934259i</v>
      </c>
      <c r="BD368">
        <f t="shared" si="349"/>
        <v>11.188070981278377</v>
      </c>
      <c r="BE368" s="43">
        <f t="shared" si="350"/>
        <v>171.24063147408987</v>
      </c>
      <c r="BF368" s="41" t="str">
        <f t="shared" si="351"/>
        <v>0,150121133365397+0,31215680540817i</v>
      </c>
      <c r="BG368" s="20">
        <f t="shared" si="352"/>
        <v>-9.2089756439545081</v>
      </c>
      <c r="BH368" s="43">
        <f t="shared" si="353"/>
        <v>64.316364506036592</v>
      </c>
      <c r="BI368" s="41" t="str">
        <f t="shared" si="306"/>
        <v>0,0906804977374791+1,06012483108162i</v>
      </c>
      <c r="BJ368" s="20">
        <f t="shared" si="354"/>
        <v>0.53880037391620994</v>
      </c>
      <c r="BK368" s="43">
        <f t="shared" si="307"/>
        <v>85.110959142036521</v>
      </c>
      <c r="BL368">
        <f t="shared" si="355"/>
        <v>-9.2089756439545081</v>
      </c>
      <c r="BM368" s="43">
        <f t="shared" si="356"/>
        <v>64.316364506036592</v>
      </c>
    </row>
    <row r="369" spans="14:65" x14ac:dyDescent="0.25">
      <c r="N369" s="9">
        <v>51</v>
      </c>
      <c r="O369" s="34">
        <f t="shared" si="308"/>
        <v>32359.365692962871</v>
      </c>
      <c r="P369" s="33" t="str">
        <f t="shared" si="309"/>
        <v>66,7780509511648</v>
      </c>
      <c r="Q369" s="4" t="str">
        <f t="shared" si="310"/>
        <v>1+792,420952829752i</v>
      </c>
      <c r="R369" s="4">
        <f t="shared" si="322"/>
        <v>792.42158380726357</v>
      </c>
      <c r="S369" s="4">
        <f t="shared" si="323"/>
        <v>1.5695343719392285</v>
      </c>
      <c r="T369" s="4" t="str">
        <f t="shared" si="311"/>
        <v>1+0,203319891071675i</v>
      </c>
      <c r="U369" s="4">
        <f t="shared" si="324"/>
        <v>1.0204601795785067</v>
      </c>
      <c r="V369" s="4">
        <f t="shared" si="325"/>
        <v>0.2005857152495954</v>
      </c>
      <c r="W369" t="str">
        <f t="shared" si="312"/>
        <v>1-0,442296377916415i</v>
      </c>
      <c r="X369" s="4">
        <f t="shared" si="326"/>
        <v>1.0934468829888264</v>
      </c>
      <c r="Y369" s="4">
        <f t="shared" si="327"/>
        <v>-0.41642915407929126</v>
      </c>
      <c r="Z369" t="str">
        <f t="shared" si="313"/>
        <v>0,998952871451949+0,0869335048273751i</v>
      </c>
      <c r="AA369" s="4">
        <f t="shared" si="328"/>
        <v>1.0027284146984494</v>
      </c>
      <c r="AB369" s="4">
        <f t="shared" si="329"/>
        <v>8.6805936204642706E-2</v>
      </c>
      <c r="AC369" s="47" t="str">
        <f t="shared" si="330"/>
        <v>-0,027836726404196-0,0895483095558644i</v>
      </c>
      <c r="AD369" s="20">
        <f t="shared" si="331"/>
        <v>-20.558242514515022</v>
      </c>
      <c r="AE369" s="43">
        <f t="shared" si="332"/>
        <v>-107.26822717457382</v>
      </c>
      <c r="AF369" t="str">
        <f t="shared" si="314"/>
        <v>223,849857273222</v>
      </c>
      <c r="AG369" t="str">
        <f t="shared" si="315"/>
        <v>1+802,601740146216i</v>
      </c>
      <c r="AH369">
        <f t="shared" si="333"/>
        <v>802.60236311995357</v>
      </c>
      <c r="AI369">
        <f t="shared" si="334"/>
        <v>1.569550379480658</v>
      </c>
      <c r="AJ369" t="str">
        <f t="shared" si="316"/>
        <v>1+0,203319891071675i</v>
      </c>
      <c r="AK369">
        <f t="shared" si="335"/>
        <v>1.0204601795785067</v>
      </c>
      <c r="AL369">
        <f t="shared" si="336"/>
        <v>0.2005857152495954</v>
      </c>
      <c r="AM369" t="str">
        <f t="shared" si="317"/>
        <v>1-0,133639303630606i</v>
      </c>
      <c r="AN369">
        <f t="shared" si="337"/>
        <v>1.0088902137868487</v>
      </c>
      <c r="AO369">
        <f t="shared" si="338"/>
        <v>-0.13285214607591406</v>
      </c>
      <c r="AP369" s="41" t="str">
        <f t="shared" si="339"/>
        <v>0,0197911961256158-0,2864588965967i</v>
      </c>
      <c r="AQ369">
        <f t="shared" si="340"/>
        <v>-10.83807281097247</v>
      </c>
      <c r="AR369" s="43">
        <f t="shared" si="341"/>
        <v>-86.047764832389106</v>
      </c>
      <c r="AS369" t="str">
        <f t="shared" si="318"/>
        <v>-0,0000166666666666667</v>
      </c>
      <c r="AT369" t="str">
        <f t="shared" si="319"/>
        <v>0,000203929850744891i</v>
      </c>
      <c r="AU369">
        <f t="shared" si="342"/>
        <v>2.03929850744891E-4</v>
      </c>
      <c r="AV369">
        <f t="shared" si="343"/>
        <v>1.5707963267948966</v>
      </c>
      <c r="AW369" t="str">
        <f t="shared" si="320"/>
        <v>1+0,133789758830813i</v>
      </c>
      <c r="AX369">
        <f t="shared" si="344"/>
        <v>1.0089101543586561</v>
      </c>
      <c r="AY369">
        <f t="shared" si="345"/>
        <v>0.13299995845324791</v>
      </c>
      <c r="AZ369" t="str">
        <f t="shared" si="321"/>
        <v>1+44,7303760357685i</v>
      </c>
      <c r="BA369">
        <f t="shared" si="346"/>
        <v>44.741552725640325</v>
      </c>
      <c r="BB369">
        <f t="shared" si="347"/>
        <v>1.5484438777642806</v>
      </c>
      <c r="BC369" s="41" t="str">
        <f t="shared" si="348"/>
        <v>-3,58067231348349+0,560784735206468i</v>
      </c>
      <c r="BD369">
        <f t="shared" si="349"/>
        <v>11.18453014135298</v>
      </c>
      <c r="BE369" s="43">
        <f t="shared" si="350"/>
        <v>171.09896271397798</v>
      </c>
      <c r="BF369" s="41" t="str">
        <f t="shared" si="351"/>
        <v>0,149891520595992+0,305032741500341i</v>
      </c>
      <c r="BG369" s="20">
        <f t="shared" si="352"/>
        <v>-9.3737123731620358</v>
      </c>
      <c r="BH369" s="43">
        <f t="shared" si="353"/>
        <v>63.830735539404131</v>
      </c>
      <c r="BI369" s="41" t="str">
        <f t="shared" si="306"/>
        <v>0,0897759884578032+1,03681404067356i</v>
      </c>
      <c r="BJ369" s="20">
        <f t="shared" si="354"/>
        <v>0.34645733038053794</v>
      </c>
      <c r="BK369" s="43">
        <f t="shared" si="307"/>
        <v>85.051197881588891</v>
      </c>
      <c r="BL369">
        <f t="shared" si="355"/>
        <v>-9.3737123731620358</v>
      </c>
      <c r="BM369" s="43">
        <f t="shared" si="356"/>
        <v>63.830735539404131</v>
      </c>
    </row>
    <row r="370" spans="14:65" x14ac:dyDescent="0.25">
      <c r="N370" s="9">
        <v>52</v>
      </c>
      <c r="O370" s="34">
        <f t="shared" si="308"/>
        <v>33113.11214825909</v>
      </c>
      <c r="P370" s="33" t="str">
        <f t="shared" si="309"/>
        <v>66,7780509511648</v>
      </c>
      <c r="Q370" s="4" t="str">
        <f t="shared" si="310"/>
        <v>1+810,878807967122i</v>
      </c>
      <c r="R370" s="4">
        <f t="shared" si="322"/>
        <v>810.87942458184295</v>
      </c>
      <c r="S370" s="4">
        <f t="shared" si="323"/>
        <v>1.5695630975093078</v>
      </c>
      <c r="T370" s="4" t="str">
        <f t="shared" si="311"/>
        <v>1+0,208055819724931i</v>
      </c>
      <c r="U370" s="4">
        <f t="shared" si="324"/>
        <v>1.0214143253946526</v>
      </c>
      <c r="V370" s="4">
        <f t="shared" si="325"/>
        <v>0.20512940467664134</v>
      </c>
      <c r="W370" t="str">
        <f t="shared" si="312"/>
        <v>1-0,452598784033027i</v>
      </c>
      <c r="X370" s="4">
        <f t="shared" si="326"/>
        <v>1.0976546174950363</v>
      </c>
      <c r="Y370" s="4">
        <f t="shared" si="327"/>
        <v>-0.42501297402510219</v>
      </c>
      <c r="Z370" t="str">
        <f t="shared" si="313"/>
        <v>0,998903521803857+0,0889584462842579i</v>
      </c>
      <c r="AA370" s="4">
        <f t="shared" si="328"/>
        <v>1.002856844737801</v>
      </c>
      <c r="AB370" s="4">
        <f t="shared" si="329"/>
        <v>8.8821774107848653E-2</v>
      </c>
      <c r="AC370" s="47" t="str">
        <f t="shared" si="330"/>
        <v>-0,0278642424190435-0,0877496521668218i</v>
      </c>
      <c r="AD370" s="20">
        <f t="shared" si="331"/>
        <v>-20.717876625632012</v>
      </c>
      <c r="AE370" s="43">
        <f t="shared" si="332"/>
        <v>-107.61685445994685</v>
      </c>
      <c r="AF370" t="str">
        <f t="shared" si="314"/>
        <v>223,849857273222</v>
      </c>
      <c r="AG370" t="str">
        <f t="shared" si="315"/>
        <v>1+821,296736283961i</v>
      </c>
      <c r="AH370">
        <f t="shared" si="333"/>
        <v>821.29734507709577</v>
      </c>
      <c r="AI370">
        <f t="shared" si="334"/>
        <v>1.5695787406757156</v>
      </c>
      <c r="AJ370" t="str">
        <f t="shared" si="316"/>
        <v>1+0,208055819724931i</v>
      </c>
      <c r="AK370">
        <f t="shared" si="335"/>
        <v>1.0214143253946526</v>
      </c>
      <c r="AL370">
        <f t="shared" si="336"/>
        <v>0.20512940467664134</v>
      </c>
      <c r="AM370" t="str">
        <f t="shared" si="317"/>
        <v>1-0,136752162898479i</v>
      </c>
      <c r="AN370">
        <f t="shared" si="337"/>
        <v>1.0093072644430001</v>
      </c>
      <c r="AO370">
        <f t="shared" si="338"/>
        <v>-0.13590912788660262</v>
      </c>
      <c r="AP370" s="41" t="str">
        <f t="shared" si="339"/>
        <v>0,0197755573897293-0,280287338720762i</v>
      </c>
      <c r="AQ370">
        <f t="shared" si="340"/>
        <v>-11.02636506942118</v>
      </c>
      <c r="AR370" s="43">
        <f t="shared" si="341"/>
        <v>-85.964207737380633</v>
      </c>
      <c r="AS370" t="str">
        <f t="shared" si="318"/>
        <v>-0,0000166666666666667</v>
      </c>
      <c r="AT370" t="str">
        <f t="shared" si="319"/>
        <v>0,000208679987184106i</v>
      </c>
      <c r="AU370">
        <f t="shared" si="342"/>
        <v>2.08679987184106E-4</v>
      </c>
      <c r="AV370">
        <f t="shared" si="343"/>
        <v>1.5707963267948966</v>
      </c>
      <c r="AW370" t="str">
        <f t="shared" si="320"/>
        <v>1+0,136906122650503i</v>
      </c>
      <c r="AX370">
        <f t="shared" si="344"/>
        <v>1.0093281361476032</v>
      </c>
      <c r="AY370">
        <f t="shared" si="345"/>
        <v>0.13606025814525838</v>
      </c>
      <c r="AZ370" t="str">
        <f t="shared" si="321"/>
        <v>1+45,7722803394848i</v>
      </c>
      <c r="BA370">
        <f t="shared" si="346"/>
        <v>45.783202678235462</v>
      </c>
      <c r="BB370">
        <f t="shared" si="347"/>
        <v>1.548952517903087</v>
      </c>
      <c r="BC370" s="41" t="str">
        <f t="shared" si="348"/>
        <v>-3,57770727987559+0,569677137714909i</v>
      </c>
      <c r="BD370">
        <f t="shared" si="349"/>
        <v>11.180834760627576</v>
      </c>
      <c r="BE370" s="43">
        <f t="shared" si="350"/>
        <v>170.95276339082517</v>
      </c>
      <c r="BF370" s="41" t="str">
        <f t="shared" si="351"/>
        <v>0,149679073632704+0,298068947497914i</v>
      </c>
      <c r="BG370" s="20">
        <f t="shared" si="352"/>
        <v>-9.5370418650044382</v>
      </c>
      <c r="BH370" s="43">
        <f t="shared" si="353"/>
        <v>63.335908930878311</v>
      </c>
      <c r="BI370" s="41" t="str">
        <f t="shared" ref="BI370:BI433" si="357">IMPRODUCT(AP370,BC370)</f>
        <v>0,0889221332233408+1,01405173512872i</v>
      </c>
      <c r="BJ370" s="20">
        <f t="shared" si="354"/>
        <v>0.15446969120636819</v>
      </c>
      <c r="BK370" s="43">
        <f t="shared" ref="BK370:BK433" si="358">(180/PI())*IMARGUMENT(BI370)</f>
        <v>84.988555653444536</v>
      </c>
      <c r="BL370">
        <f t="shared" si="355"/>
        <v>-9.5370418650044382</v>
      </c>
      <c r="BM370" s="43">
        <f t="shared" si="356"/>
        <v>63.335908930878311</v>
      </c>
    </row>
    <row r="371" spans="14:65" x14ac:dyDescent="0.25">
      <c r="N371" s="9">
        <v>53</v>
      </c>
      <c r="O371" s="34">
        <f t="shared" si="308"/>
        <v>33884.41561392029</v>
      </c>
      <c r="P371" s="33" t="str">
        <f t="shared" si="309"/>
        <v>66,7780509511648</v>
      </c>
      <c r="Q371" s="4" t="str">
        <f t="shared" si="310"/>
        <v>1+829,766601781732i</v>
      </c>
      <c r="R371" s="4">
        <f t="shared" si="322"/>
        <v>829.7672043605985</v>
      </c>
      <c r="S371" s="4">
        <f t="shared" si="323"/>
        <v>1.5695911692075488</v>
      </c>
      <c r="T371" s="4" t="str">
        <f t="shared" si="311"/>
        <v>1+0,212902062327751i</v>
      </c>
      <c r="U371" s="4">
        <f t="shared" si="324"/>
        <v>1.0224124843444595</v>
      </c>
      <c r="V371" s="4">
        <f t="shared" si="325"/>
        <v>0.20977005260919301</v>
      </c>
      <c r="W371" t="str">
        <f t="shared" si="312"/>
        <v>1-0,46314116401579i</v>
      </c>
      <c r="X371" s="4">
        <f t="shared" si="326"/>
        <v>1.1020434373498627</v>
      </c>
      <c r="Y371" s="4">
        <f t="shared" si="327"/>
        <v>-0.4337282218691198</v>
      </c>
      <c r="Z371" t="str">
        <f t="shared" si="313"/>
        <v>0,998851846378503+0,0910305546868655i</v>
      </c>
      <c r="AA371" s="4">
        <f t="shared" si="328"/>
        <v>1.0029913124750101</v>
      </c>
      <c r="AB371" s="4">
        <f t="shared" si="329"/>
        <v>9.0884130317209627E-2</v>
      </c>
      <c r="AC371" s="47" t="str">
        <f t="shared" si="330"/>
        <v>-0,0278926014284881-0,0859973553914658i</v>
      </c>
      <c r="AD371" s="20">
        <f t="shared" si="331"/>
        <v>-20.875896828669106</v>
      </c>
      <c r="AE371" s="43">
        <f t="shared" si="332"/>
        <v>-107.97008453456027</v>
      </c>
      <c r="AF371" t="str">
        <f t="shared" si="314"/>
        <v>223,849857273222</v>
      </c>
      <c r="AG371" t="str">
        <f t="shared" si="315"/>
        <v>1+840,427194822436i</v>
      </c>
      <c r="AH371">
        <f t="shared" si="333"/>
        <v>840.42778975775707</v>
      </c>
      <c r="AI371">
        <f t="shared" si="334"/>
        <v>1.5696064562930494</v>
      </c>
      <c r="AJ371" t="str">
        <f t="shared" si="316"/>
        <v>1+0,212902062327751i</v>
      </c>
      <c r="AK371">
        <f t="shared" si="335"/>
        <v>1.0224124843444595</v>
      </c>
      <c r="AL371">
        <f t="shared" si="336"/>
        <v>0.20977005260919301</v>
      </c>
      <c r="AM371" t="str">
        <f t="shared" si="317"/>
        <v>1-0,139937529973251i</v>
      </c>
      <c r="AN371">
        <f t="shared" si="337"/>
        <v>1.0097437854698659</v>
      </c>
      <c r="AO371">
        <f t="shared" si="338"/>
        <v>-0.13903467180521434</v>
      </c>
      <c r="AP371" s="41" t="str">
        <f t="shared" si="339"/>
        <v>0,0197606225108629-0,274264391187384i</v>
      </c>
      <c r="AQ371">
        <f t="shared" si="340"/>
        <v>-11.21412499591697</v>
      </c>
      <c r="AR371" s="43">
        <f t="shared" si="341"/>
        <v>-85.878986659758368</v>
      </c>
      <c r="AS371" t="str">
        <f t="shared" si="318"/>
        <v>-0,0000166666666666667</v>
      </c>
      <c r="AT371" t="str">
        <f t="shared" si="319"/>
        <v>0,000213540768514734i</v>
      </c>
      <c r="AU371">
        <f t="shared" si="342"/>
        <v>2.1354076851473399E-4</v>
      </c>
      <c r="AV371">
        <f t="shared" si="343"/>
        <v>1.5707963267948966</v>
      </c>
      <c r="AW371" t="str">
        <f t="shared" si="320"/>
        <v>1+0,14009507590859i</v>
      </c>
      <c r="AX371">
        <f t="shared" si="344"/>
        <v>1.0097656313689001</v>
      </c>
      <c r="AY371">
        <f t="shared" si="345"/>
        <v>0.13918918850751075</v>
      </c>
      <c r="AZ371" t="str">
        <f t="shared" si="321"/>
        <v>1+46,8384537121052i</v>
      </c>
      <c r="BA371">
        <f t="shared" si="346"/>
        <v>46.84912748537608</v>
      </c>
      <c r="BB371">
        <f t="shared" si="347"/>
        <v>1.5494495909023482</v>
      </c>
      <c r="BC371" s="41" t="str">
        <f t="shared" si="348"/>
        <v>-3,57460776705686+0,578834055230044i</v>
      </c>
      <c r="BD371">
        <f t="shared" si="349"/>
        <v>11.176977408237125</v>
      </c>
      <c r="BE371" s="43">
        <f t="shared" si="350"/>
        <v>170.80196907164537</v>
      </c>
      <c r="BF371" s="41" t="str">
        <f t="shared" si="351"/>
        <v>0,149483307669996+0,291261626932916i</v>
      </c>
      <c r="BG371" s="20">
        <f t="shared" si="352"/>
        <v>-9.6989194204319755</v>
      </c>
      <c r="BH371" s="43">
        <f t="shared" si="353"/>
        <v>62.831884537085173</v>
      </c>
      <c r="BI371" s="41" t="str">
        <f t="shared" si="357"/>
        <v>0,0881170950469835+0,991825744227377i</v>
      </c>
      <c r="BJ371" s="20">
        <f t="shared" si="354"/>
        <v>-3.7147587679841484E-2</v>
      </c>
      <c r="BK371" s="43">
        <f t="shared" si="358"/>
        <v>84.922982411887006</v>
      </c>
      <c r="BL371">
        <f t="shared" si="355"/>
        <v>-9.6989194204319755</v>
      </c>
      <c r="BM371" s="43">
        <f t="shared" si="356"/>
        <v>62.831884537085173</v>
      </c>
    </row>
    <row r="372" spans="14:65" x14ac:dyDescent="0.25">
      <c r="N372" s="9">
        <v>54</v>
      </c>
      <c r="O372" s="34">
        <f t="shared" si="308"/>
        <v>34673.685045253202</v>
      </c>
      <c r="P372" s="33" t="str">
        <f t="shared" si="309"/>
        <v>66,7780509511648</v>
      </c>
      <c r="Q372" s="4" t="str">
        <f t="shared" si="310"/>
        <v>1+849,094348831858i</v>
      </c>
      <c r="R372" s="4">
        <f t="shared" si="322"/>
        <v>849.0949376943646</v>
      </c>
      <c r="S372" s="4">
        <f t="shared" si="323"/>
        <v>1.5696186019177609</v>
      </c>
      <c r="T372" s="4" t="str">
        <f t="shared" si="311"/>
        <v>1+0,217861188422107i</v>
      </c>
      <c r="U372" s="4">
        <f t="shared" si="324"/>
        <v>1.0234566416906448</v>
      </c>
      <c r="V372" s="4">
        <f t="shared" si="325"/>
        <v>0.21450931969345316</v>
      </c>
      <c r="W372" t="str">
        <f t="shared" si="312"/>
        <v>1-0,473929107574107i</v>
      </c>
      <c r="X372" s="4">
        <f t="shared" si="326"/>
        <v>1.1066204403525128</v>
      </c>
      <c r="Y372" s="4">
        <f t="shared" si="327"/>
        <v>-0.44257422174970018</v>
      </c>
      <c r="Z372" t="str">
        <f t="shared" si="313"/>
        <v>0,998797735565383+0,093150928694499i</v>
      </c>
      <c r="AA372" s="4">
        <f t="shared" si="328"/>
        <v>1.0031321010152074</v>
      </c>
      <c r="AB372" s="4">
        <f t="shared" si="329"/>
        <v>9.2994057398120208E-2</v>
      </c>
      <c r="AC372" s="47" t="str">
        <f t="shared" si="330"/>
        <v>-0,0279218618109567-0,0842904785201923i</v>
      </c>
      <c r="AD372" s="20">
        <f t="shared" si="331"/>
        <v>-21.032250087609139</v>
      </c>
      <c r="AE372" s="43">
        <f t="shared" si="332"/>
        <v>-108.32784468670965</v>
      </c>
      <c r="AF372" t="str">
        <f t="shared" si="314"/>
        <v>223,849857273222</v>
      </c>
      <c r="AG372" t="str">
        <f t="shared" si="315"/>
        <v>1+860,003258983967i</v>
      </c>
      <c r="AH372">
        <f t="shared" si="333"/>
        <v>860.00384037691617</v>
      </c>
      <c r="AI372">
        <f t="shared" si="334"/>
        <v>1.5696335410276763</v>
      </c>
      <c r="AJ372" t="str">
        <f t="shared" si="316"/>
        <v>1+0,217861188422107i</v>
      </c>
      <c r="AK372">
        <f t="shared" si="335"/>
        <v>1.0234566416906448</v>
      </c>
      <c r="AL372">
        <f t="shared" si="336"/>
        <v>0.21450931969345316</v>
      </c>
      <c r="AM372" t="str">
        <f t="shared" si="317"/>
        <v>1-0,143197093778705i</v>
      </c>
      <c r="AN372">
        <f t="shared" si="337"/>
        <v>1.0102006769284344</v>
      </c>
      <c r="AO372">
        <f t="shared" si="338"/>
        <v>-0.14223019063998413</v>
      </c>
      <c r="AP372" s="41" t="str">
        <f t="shared" si="339"/>
        <v>0,0197463598104121-0,268386860664496i</v>
      </c>
      <c r="AQ372">
        <f t="shared" si="340"/>
        <v>-11.401329298242119</v>
      </c>
      <c r="AR372" s="43">
        <f t="shared" si="341"/>
        <v>-85.792088241415186</v>
      </c>
      <c r="AS372" t="str">
        <f t="shared" si="318"/>
        <v>-0,0000166666666666667</v>
      </c>
      <c r="AT372" t="str">
        <f t="shared" si="319"/>
        <v>0,000218514771987374i</v>
      </c>
      <c r="AU372">
        <f t="shared" si="342"/>
        <v>2.1851477198737401E-4</v>
      </c>
      <c r="AV372">
        <f t="shared" si="343"/>
        <v>1.5707963267948966</v>
      </c>
      <c r="AW372" t="str">
        <f t="shared" si="320"/>
        <v>1+0,1433583094303i</v>
      </c>
      <c r="AX372">
        <f t="shared" si="344"/>
        <v>1.0102235420354813</v>
      </c>
      <c r="AY372">
        <f t="shared" si="345"/>
        <v>0.14238816334855189</v>
      </c>
      <c r="AZ372" t="str">
        <f t="shared" si="321"/>
        <v>1+47,9294614528635i</v>
      </c>
      <c r="BA372">
        <f t="shared" si="346"/>
        <v>47.939892314872047</v>
      </c>
      <c r="BB372">
        <f t="shared" si="347"/>
        <v>1.5499353593336442</v>
      </c>
      <c r="BC372" s="41" t="str">
        <f t="shared" si="348"/>
        <v>-3,57136792956707+0,588257762879788i</v>
      </c>
      <c r="BD372">
        <f t="shared" si="349"/>
        <v>11.172950348007413</v>
      </c>
      <c r="BE372" s="43">
        <f t="shared" si="350"/>
        <v>170.64651379541908</v>
      </c>
      <c r="BF372" s="41" t="str">
        <f t="shared" si="351"/>
        <v>0,149303770131809+0,284607059790525i</v>
      </c>
      <c r="BG372" s="20">
        <f t="shared" si="352"/>
        <v>-9.8592997396017257</v>
      </c>
      <c r="BH372" s="43">
        <f t="shared" si="353"/>
        <v>62.318669108709535</v>
      </c>
      <c r="BI372" s="41" t="str">
        <f t="shared" si="357"/>
        <v>0,087359138088228+0,970124176341459i</v>
      </c>
      <c r="BJ372" s="20">
        <f t="shared" si="354"/>
        <v>-0.22837895023470756</v>
      </c>
      <c r="BK372" s="43">
        <f t="shared" si="358"/>
        <v>84.85442555400391</v>
      </c>
      <c r="BL372">
        <f t="shared" si="355"/>
        <v>-9.8592997396017257</v>
      </c>
      <c r="BM372" s="43">
        <f t="shared" si="356"/>
        <v>62.318669108709535</v>
      </c>
    </row>
    <row r="373" spans="14:65" x14ac:dyDescent="0.25">
      <c r="N373" s="9">
        <v>55</v>
      </c>
      <c r="O373" s="34">
        <f t="shared" si="308"/>
        <v>35481.33892335758</v>
      </c>
      <c r="P373" s="33" t="str">
        <f t="shared" si="309"/>
        <v>66,7780509511648</v>
      </c>
      <c r="Q373" s="4" t="str">
        <f t="shared" si="310"/>
        <v>1+868,872296944834i</v>
      </c>
      <c r="R373" s="4">
        <f t="shared" si="322"/>
        <v>868.87287240320256</v>
      </c>
      <c r="S373" s="4">
        <f t="shared" si="323"/>
        <v>1.5696454101849646</v>
      </c>
      <c r="T373" s="4" t="str">
        <f t="shared" si="311"/>
        <v>1+0,2229358274023i</v>
      </c>
      <c r="U373" s="4">
        <f t="shared" si="324"/>
        <v>1.024548868107104</v>
      </c>
      <c r="V373" s="4">
        <f t="shared" si="325"/>
        <v>0.21934886678179702</v>
      </c>
      <c r="W373" t="str">
        <f t="shared" si="312"/>
        <v>1-0,484968334618457i</v>
      </c>
      <c r="X373" s="4">
        <f t="shared" si="326"/>
        <v>1.111392948323229</v>
      </c>
      <c r="Y373" s="4">
        <f t="shared" si="327"/>
        <v>-0.4515501252021713</v>
      </c>
      <c r="Z373" t="str">
        <f t="shared" si="313"/>
        <v>0,998741074588206+0,0953206925575255i</v>
      </c>
      <c r="AA373" s="4">
        <f t="shared" si="328"/>
        <v>1.0032795066676339</v>
      </c>
      <c r="AB373" s="4">
        <f t="shared" si="329"/>
        <v>9.5152630246350858E-2</v>
      </c>
      <c r="AC373" s="47" t="str">
        <f t="shared" si="330"/>
        <v>-0,0279520836876524-0,0826281041064481i</v>
      </c>
      <c r="AD373" s="20">
        <f t="shared" si="331"/>
        <v>-21.186882508590209</v>
      </c>
      <c r="AE373" s="43">
        <f t="shared" si="332"/>
        <v>-108.69005356347814</v>
      </c>
      <c r="AF373" t="str">
        <f t="shared" si="314"/>
        <v>223,849857273222</v>
      </c>
      <c r="AG373" t="str">
        <f t="shared" si="315"/>
        <v>1+880,035308256908i</v>
      </c>
      <c r="AH373">
        <f t="shared" si="333"/>
        <v>880.03587641574654</v>
      </c>
      <c r="AI373">
        <f t="shared" si="334"/>
        <v>1.5696600092401216</v>
      </c>
      <c r="AJ373" t="str">
        <f t="shared" si="316"/>
        <v>1+0,2229358274023i</v>
      </c>
      <c r="AK373">
        <f t="shared" si="335"/>
        <v>1.024548868107104</v>
      </c>
      <c r="AL373">
        <f t="shared" si="336"/>
        <v>0.21934886678179702</v>
      </c>
      <c r="AM373" t="str">
        <f t="shared" si="317"/>
        <v>1-0,146532582578719i</v>
      </c>
      <c r="AN373">
        <f t="shared" si="337"/>
        <v>1.0106788796433757</v>
      </c>
      <c r="AO373">
        <f t="shared" si="338"/>
        <v>-0.14549711751641775</v>
      </c>
      <c r="AP373" s="41" t="str">
        <f t="shared" si="339"/>
        <v>0,019732739035528-0,262651630914408i</v>
      </c>
      <c r="AQ373">
        <f t="shared" si="340"/>
        <v>-11.587953749199995</v>
      </c>
      <c r="AR373" s="43">
        <f t="shared" si="341"/>
        <v>-85.703500257360176</v>
      </c>
      <c r="AS373" t="str">
        <f t="shared" si="318"/>
        <v>-0,0000166666666666667</v>
      </c>
      <c r="AT373" t="str">
        <f t="shared" si="319"/>
        <v>0,000223604634884506i</v>
      </c>
      <c r="AU373">
        <f t="shared" si="342"/>
        <v>2.2360463488450599E-4</v>
      </c>
      <c r="AV373">
        <f t="shared" si="343"/>
        <v>1.5707963267948966</v>
      </c>
      <c r="AW373" t="str">
        <f t="shared" si="320"/>
        <v>1+0,146697553425242i</v>
      </c>
      <c r="AX373">
        <f t="shared" si="344"/>
        <v>1.0107028110087315</v>
      </c>
      <c r="AY373">
        <f t="shared" si="345"/>
        <v>0.14565861677800451</v>
      </c>
      <c r="AZ373" t="str">
        <f t="shared" si="321"/>
        <v>1+49,045882028506i</v>
      </c>
      <c r="BA373">
        <f t="shared" si="346"/>
        <v>49.056075505019031</v>
      </c>
      <c r="BB373">
        <f t="shared" si="347"/>
        <v>1.5504100798402836</v>
      </c>
      <c r="BC373" s="41" t="str">
        <f t="shared" si="348"/>
        <v>-3,56798169180034+0,59795050506529i</v>
      </c>
      <c r="BD373">
        <f t="shared" si="349"/>
        <v>11.168745525596179</v>
      </c>
      <c r="BE373" s="43">
        <f t="shared" si="350"/>
        <v>170.48633009829615</v>
      </c>
      <c r="BF373" s="41" t="str">
        <f t="shared" si="351"/>
        <v>0,149140039428253+0,27810160012132i</v>
      </c>
      <c r="BG373" s="20">
        <f t="shared" si="352"/>
        <v>-10.018136982994033</v>
      </c>
      <c r="BH373" s="43">
        <f t="shared" si="353"/>
        <v>61.79627653481792</v>
      </c>
      <c r="BI373" s="41" t="str">
        <f t="shared" si="357"/>
        <v>0,0866466237536546+0,948935411696724i</v>
      </c>
      <c r="BJ373" s="20">
        <f t="shared" si="354"/>
        <v>-0.41920822360381127</v>
      </c>
      <c r="BK373" s="43">
        <f t="shared" si="358"/>
        <v>84.782829840935989</v>
      </c>
      <c r="BL373">
        <f t="shared" si="355"/>
        <v>-10.018136982994033</v>
      </c>
      <c r="BM373" s="43">
        <f t="shared" si="356"/>
        <v>61.79627653481792</v>
      </c>
    </row>
    <row r="374" spans="14:65" x14ac:dyDescent="0.25">
      <c r="N374" s="9">
        <v>56</v>
      </c>
      <c r="O374" s="34">
        <f t="shared" si="308"/>
        <v>36307.805477010232</v>
      </c>
      <c r="P374" s="33" t="str">
        <f t="shared" si="309"/>
        <v>66,7780509511648</v>
      </c>
      <c r="Q374" s="4" t="str">
        <f t="shared" si="310"/>
        <v>1+889,11093265053i</v>
      </c>
      <c r="R374" s="4">
        <f t="shared" si="322"/>
        <v>889.11149500987517</v>
      </c>
      <c r="S374" s="4">
        <f t="shared" si="323"/>
        <v>1.5696716082231039</v>
      </c>
      <c r="T374" s="4" t="str">
        <f t="shared" si="311"/>
        <v>1+0,228128669909085i</v>
      </c>
      <c r="U374" s="4">
        <f t="shared" si="324"/>
        <v>1.0256913229790376</v>
      </c>
      <c r="V374" s="4">
        <f t="shared" si="325"/>
        <v>0.22429035266685068</v>
      </c>
      <c r="W374" t="str">
        <f t="shared" si="312"/>
        <v>1-0,496264698293135i</v>
      </c>
      <c r="X374" s="4">
        <f t="shared" si="326"/>
        <v>1.1163685102921779</v>
      </c>
      <c r="Y374" s="4">
        <f t="shared" si="327"/>
        <v>-0.46065490509568963</v>
      </c>
      <c r="Z374" t="str">
        <f t="shared" si="313"/>
        <v>0,998681743261444+0,0975409967134639i</v>
      </c>
      <c r="AA374" s="4">
        <f t="shared" si="328"/>
        <v>1.0034338395547424</v>
      </c>
      <c r="AB374" s="4">
        <f t="shared" si="329"/>
        <v>9.7360946455270506E-2</v>
      </c>
      <c r="AC374" s="47" t="str">
        <f t="shared" si="330"/>
        <v>-0,0279833290340593-0,0810093374240407i</v>
      </c>
      <c r="AD374" s="20">
        <f t="shared" si="331"/>
        <v>-21.3397393933963</v>
      </c>
      <c r="AE374" s="43">
        <f t="shared" si="332"/>
        <v>-109.05662097465364</v>
      </c>
      <c r="AF374" t="str">
        <f t="shared" si="314"/>
        <v>223,849857273222</v>
      </c>
      <c r="AG374" t="str">
        <f t="shared" si="315"/>
        <v>1+900,533963898926i</v>
      </c>
      <c r="AH374">
        <f t="shared" si="333"/>
        <v>900.53451912489868</v>
      </c>
      <c r="AI374">
        <f t="shared" si="334"/>
        <v>1.5696858749640339</v>
      </c>
      <c r="AJ374" t="str">
        <f t="shared" si="316"/>
        <v>1+0,228128669909085i</v>
      </c>
      <c r="AK374">
        <f t="shared" si="335"/>
        <v>1.0256913229790376</v>
      </c>
      <c r="AL374">
        <f t="shared" si="336"/>
        <v>0.22429035266685068</v>
      </c>
      <c r="AM374" t="str">
        <f t="shared" si="317"/>
        <v>1-0,149945764893604i</v>
      </c>
      <c r="AN374">
        <f t="shared" si="337"/>
        <v>1.0111793769700448</v>
      </c>
      <c r="AO374">
        <f t="shared" si="338"/>
        <v>-0.14883690551868389</v>
      </c>
      <c r="AP374" s="41" t="str">
        <f t="shared" si="339"/>
        <v>0,0197197312949504-0,257055661142063i</v>
      </c>
      <c r="AQ374">
        <f t="shared" si="340"/>
        <v>-11.773973156756419</v>
      </c>
      <c r="AR374" s="43">
        <f t="shared" si="341"/>
        <v>-85.613211725435619</v>
      </c>
      <c r="AS374" t="str">
        <f t="shared" si="318"/>
        <v>-0,0000166666666666667</v>
      </c>
      <c r="AT374" t="str">
        <f t="shared" si="319"/>
        <v>0,000228813055918812i</v>
      </c>
      <c r="AU374">
        <f t="shared" si="342"/>
        <v>2.28813055918812E-4</v>
      </c>
      <c r="AV374">
        <f t="shared" si="343"/>
        <v>1.5707963267948966</v>
      </c>
      <c r="AW374" t="str">
        <f t="shared" si="320"/>
        <v>1+0,150114578404782i</v>
      </c>
      <c r="AX374">
        <f t="shared" si="344"/>
        <v>1.0112044237688269</v>
      </c>
      <c r="AY374">
        <f t="shared" si="345"/>
        <v>0.1490020028451314</v>
      </c>
      <c r="AZ374" t="str">
        <f t="shared" si="321"/>
        <v>1+50,1883073799987i</v>
      </c>
      <c r="BA374">
        <f t="shared" si="346"/>
        <v>50.198268871239286</v>
      </c>
      <c r="BB374">
        <f t="shared" si="347"/>
        <v>1.5508740032690094</v>
      </c>
      <c r="BC374" s="41" t="str">
        <f t="shared" si="348"/>
        <v>-3,56444274122506+0,607914485771355i</v>
      </c>
      <c r="BD374">
        <f t="shared" si="349"/>
        <v>11.164354555279306</v>
      </c>
      <c r="BE374" s="43">
        <f t="shared" si="350"/>
        <v>170.32134904185014</v>
      </c>
      <c r="BF374" s="41" t="str">
        <f t="shared" si="351"/>
        <v>0,148991723753579+0,271741673672663i</v>
      </c>
      <c r="BG374" s="20">
        <f t="shared" si="352"/>
        <v>-10.175384838116987</v>
      </c>
      <c r="BH374" s="43">
        <f t="shared" si="353"/>
        <v>61.264728067196529</v>
      </c>
      <c r="BI374" s="41" t="str">
        <f t="shared" si="357"/>
        <v>0,0859780069845983+0,928248095758354i</v>
      </c>
      <c r="BJ374" s="20">
        <f t="shared" si="354"/>
        <v>-0.60961860147711522</v>
      </c>
      <c r="BK374" s="43">
        <f t="shared" si="358"/>
        <v>84.708137316414522</v>
      </c>
      <c r="BL374">
        <f t="shared" si="355"/>
        <v>-10.175384838116987</v>
      </c>
      <c r="BM374" s="43">
        <f t="shared" si="356"/>
        <v>61.264728067196529</v>
      </c>
    </row>
    <row r="375" spans="14:65" x14ac:dyDescent="0.25">
      <c r="N375" s="9">
        <v>57</v>
      </c>
      <c r="O375" s="34">
        <f t="shared" si="308"/>
        <v>37153.522909717351</v>
      </c>
      <c r="P375" s="33" t="str">
        <f t="shared" si="309"/>
        <v>66,7780509511648</v>
      </c>
      <c r="Q375" s="4" t="str">
        <f t="shared" si="310"/>
        <v>1+909,820986741493i</v>
      </c>
      <c r="R375" s="4">
        <f t="shared" si="322"/>
        <v>909.82153629998447</v>
      </c>
      <c r="S375" s="4">
        <f t="shared" si="323"/>
        <v>1.5696972099225814</v>
      </c>
      <c r="T375" s="4" t="str">
        <f t="shared" si="311"/>
        <v>1+0,233442469256296i</v>
      </c>
      <c r="U375" s="4">
        <f t="shared" si="324"/>
        <v>1.026886257797073</v>
      </c>
      <c r="V375" s="4">
        <f t="shared" si="325"/>
        <v>0.22933543165242593</v>
      </c>
      <c r="W375" t="str">
        <f t="shared" si="312"/>
        <v>1-0,507824188079687i</v>
      </c>
      <c r="X375" s="4">
        <f t="shared" si="326"/>
        <v>1.1215549054766749</v>
      </c>
      <c r="Y375" s="4">
        <f t="shared" si="327"/>
        <v>-0.46988734986728758</v>
      </c>
      <c r="Z375" t="str">
        <f t="shared" si="313"/>
        <v>0,998619615735397+0,0998130183969677i</v>
      </c>
      <c r="AA375" s="4">
        <f t="shared" si="328"/>
        <v>1.0035954242487484</v>
      </c>
      <c r="AB375" s="4">
        <f t="shared" si="329"/>
        <v>9.9620126681120857E-2</v>
      </c>
      <c r="AC375" s="47" t="str">
        <f t="shared" si="330"/>
        <v>-0,0280156617938796-0,0794333059326821i</v>
      </c>
      <c r="AD375" s="20">
        <f t="shared" si="331"/>
        <v>-21.490765298257642</v>
      </c>
      <c r="AE375" s="43">
        <f t="shared" si="332"/>
        <v>-109.42744772289929</v>
      </c>
      <c r="AF375" t="str">
        <f t="shared" si="314"/>
        <v>223,849857273222</v>
      </c>
      <c r="AG375" t="str">
        <f t="shared" si="315"/>
        <v>1+921,51009456858i</v>
      </c>
      <c r="AH375">
        <f t="shared" si="333"/>
        <v>921.51063715607381</v>
      </c>
      <c r="AI375">
        <f t="shared" si="334"/>
        <v>1.5697111519136238</v>
      </c>
      <c r="AJ375" t="str">
        <f t="shared" si="316"/>
        <v>1+0,233442469256296i</v>
      </c>
      <c r="AK375">
        <f t="shared" si="335"/>
        <v>1.026886257797073</v>
      </c>
      <c r="AL375">
        <f t="shared" si="336"/>
        <v>0.22933543165242593</v>
      </c>
      <c r="AM375" t="str">
        <f t="shared" si="317"/>
        <v>1-0,153438450437803i</v>
      </c>
      <c r="AN375">
        <f t="shared" si="337"/>
        <v>1.0117031966306889</v>
      </c>
      <c r="AO375">
        <f t="shared" si="338"/>
        <v>-0.15225102727113482</v>
      </c>
      <c r="AP375" s="41" t="str">
        <f t="shared" si="339"/>
        <v>0,0197073089977263-0,251595984383229i</v>
      </c>
      <c r="AQ375">
        <f t="shared" si="340"/>
        <v>-11.959361333943439</v>
      </c>
      <c r="AR375" s="43">
        <f t="shared" si="341"/>
        <v>-85.521213021941747</v>
      </c>
      <c r="AS375" t="str">
        <f t="shared" si="318"/>
        <v>-0,0000166666666666667</v>
      </c>
      <c r="AT375" t="str">
        <f t="shared" si="319"/>
        <v>0,000234142796664065i</v>
      </c>
      <c r="AU375">
        <f t="shared" si="342"/>
        <v>2.3414279666406499E-4</v>
      </c>
      <c r="AV375">
        <f t="shared" si="343"/>
        <v>1.5707963267948966</v>
      </c>
      <c r="AW375" t="str">
        <f t="shared" si="320"/>
        <v>1+0,153611196120793i</v>
      </c>
      <c r="AX375">
        <f t="shared" si="344"/>
        <v>1.0117294102543728</v>
      </c>
      <c r="AY375">
        <f t="shared" si="345"/>
        <v>0.15241979511731904</v>
      </c>
      <c r="AZ375" t="str">
        <f t="shared" si="321"/>
        <v>1+51,3573432363851i</v>
      </c>
      <c r="BA375">
        <f t="shared" si="346"/>
        <v>51.367078019874462</v>
      </c>
      <c r="BB375">
        <f t="shared" si="347"/>
        <v>1.5513273747989231</v>
      </c>
      <c r="BC375" s="41" t="str">
        <f t="shared" si="348"/>
        <v>-3,56074452163414+0,61815185824068i</v>
      </c>
      <c r="BD375">
        <f t="shared" si="349"/>
        <v>11.159768706385316</v>
      </c>
      <c r="BE375" s="43">
        <f t="shared" si="350"/>
        <v>170.15150024461681</v>
      </c>
      <c r="BF375" s="41" t="str">
        <f t="shared" si="351"/>
        <v>0,148858459921+0,265523775537357i</v>
      </c>
      <c r="BG375" s="20">
        <f t="shared" si="352"/>
        <v>-10.330996591872328</v>
      </c>
      <c r="BH375" s="43">
        <f t="shared" si="353"/>
        <v>60.724052521717432</v>
      </c>
      <c r="BI375" s="41" t="str">
        <f t="shared" si="357"/>
        <v>0,085351832722581+0,908051132735599i</v>
      </c>
      <c r="BJ375" s="20">
        <f t="shared" si="354"/>
        <v>-0.79959262755812543</v>
      </c>
      <c r="BK375" s="43">
        <f t="shared" si="358"/>
        <v>84.630287222675065</v>
      </c>
      <c r="BL375">
        <f t="shared" si="355"/>
        <v>-10.330996591872328</v>
      </c>
      <c r="BM375" s="43">
        <f t="shared" si="356"/>
        <v>60.724052521717432</v>
      </c>
    </row>
    <row r="376" spans="14:65" x14ac:dyDescent="0.25">
      <c r="N376" s="9">
        <v>58</v>
      </c>
      <c r="O376" s="34">
        <f t="shared" si="308"/>
        <v>38018.939632056143</v>
      </c>
      <c r="P376" s="33" t="str">
        <f t="shared" si="309"/>
        <v>66,7780509511648</v>
      </c>
      <c r="Q376" s="4" t="str">
        <f t="shared" si="310"/>
        <v>1+931,01343996253i</v>
      </c>
      <c r="R376" s="4">
        <f t="shared" si="322"/>
        <v>931.01397701155031</v>
      </c>
      <c r="S376" s="4">
        <f t="shared" si="323"/>
        <v>1.5697222288576229</v>
      </c>
      <c r="T376" s="4" t="str">
        <f t="shared" si="311"/>
        <v>1+0,238880042890683i</v>
      </c>
      <c r="U376" s="4">
        <f t="shared" si="324"/>
        <v>1.0281360196449956</v>
      </c>
      <c r="V376" s="4">
        <f t="shared" si="325"/>
        <v>0.23448575095486229</v>
      </c>
      <c r="W376" t="str">
        <f t="shared" si="312"/>
        <v>1-0,519652932972608i</v>
      </c>
      <c r="X376" s="4">
        <f t="shared" si="326"/>
        <v>1.1269601460331389</v>
      </c>
      <c r="Y376" s="4">
        <f t="shared" si="327"/>
        <v>-0.4792460581051583</v>
      </c>
      <c r="Z376" t="str">
        <f t="shared" si="313"/>
        <v>0,998554560229254+0,102137962264007i</v>
      </c>
      <c r="AA376" s="4">
        <f t="shared" si="328"/>
        <v>1.003764600436817</v>
      </c>
      <c r="AB376" s="4">
        <f t="shared" si="329"/>
        <v>0.10193131500557241</v>
      </c>
      <c r="AC376" s="47" t="str">
        <f t="shared" si="330"/>
        <v>-0,0280491479955073-0,0778991587512539i</v>
      </c>
      <c r="AD376" s="20">
        <f t="shared" si="331"/>
        <v>-21.639904098003534</v>
      </c>
      <c r="AE376" s="43">
        <f t="shared" si="332"/>
        <v>-109.80242546348599</v>
      </c>
      <c r="AF376" t="str">
        <f t="shared" si="314"/>
        <v>223,849857273222</v>
      </c>
      <c r="AG376" t="str">
        <f t="shared" si="315"/>
        <v>1+942,974822088003i</v>
      </c>
      <c r="AH376">
        <f t="shared" si="333"/>
        <v>942.97535232470466</v>
      </c>
      <c r="AI376">
        <f t="shared" si="334"/>
        <v>1.5697358534909351</v>
      </c>
      <c r="AJ376" t="str">
        <f t="shared" si="316"/>
        <v>1+0,238880042890683i</v>
      </c>
      <c r="AK376">
        <f t="shared" si="335"/>
        <v>1.0281360196449956</v>
      </c>
      <c r="AL376">
        <f t="shared" si="336"/>
        <v>0.23448575095486229</v>
      </c>
      <c r="AM376" t="str">
        <f t="shared" si="317"/>
        <v>1-0,157012491079421i</v>
      </c>
      <c r="AN376">
        <f t="shared" si="337"/>
        <v>1.0122514126218669</v>
      </c>
      <c r="AO376">
        <f t="shared" si="338"/>
        <v>-0.15574097445574756</v>
      </c>
      <c r="AP376" s="41" t="str">
        <f t="shared" si="339"/>
        <v>0,0196954457946892-0,246269705931827i</v>
      </c>
      <c r="AQ376">
        <f t="shared" si="340"/>
        <v>-12.144091068598753</v>
      </c>
      <c r="AR376" s="43">
        <f t="shared" si="341"/>
        <v>-85.427496003296497</v>
      </c>
      <c r="AS376" t="str">
        <f t="shared" si="318"/>
        <v>-0,0000166666666666667</v>
      </c>
      <c r="AT376" t="str">
        <f t="shared" si="319"/>
        <v>0,000239596683019355i</v>
      </c>
      <c r="AU376">
        <f t="shared" si="342"/>
        <v>2.3959668301935501E-4</v>
      </c>
      <c r="AV376">
        <f t="shared" si="343"/>
        <v>1.5707963267948966</v>
      </c>
      <c r="AW376" t="str">
        <f t="shared" si="320"/>
        <v>1+0,157189260526272i</v>
      </c>
      <c r="AX376">
        <f t="shared" si="344"/>
        <v>1.0122788467733563</v>
      </c>
      <c r="AY376">
        <f t="shared" si="345"/>
        <v>0.1559134861942843</v>
      </c>
      <c r="AZ376" t="str">
        <f t="shared" si="321"/>
        <v>1+52,5536094359502i</v>
      </c>
      <c r="BA376">
        <f t="shared" si="346"/>
        <v>52.563122669285868</v>
      </c>
      <c r="BB376">
        <f t="shared" si="347"/>
        <v>1.5517704340676748</v>
      </c>
      <c r="BC376" s="41" t="str">
        <f t="shared" si="348"/>
        <v>-3,55688022645327+0,628664713980255i</v>
      </c>
      <c r="BD376">
        <f t="shared" si="349"/>
        <v>11.154978889376315</v>
      </c>
      <c r="BE376" s="43">
        <f t="shared" si="350"/>
        <v>169.97671191715784</v>
      </c>
      <c r="BF376" s="41" t="str">
        <f t="shared" si="351"/>
        <v>0,148739912229741+0,259444467817694i</v>
      </c>
      <c r="BG376" s="20">
        <f t="shared" si="352"/>
        <v>-10.484925208627212</v>
      </c>
      <c r="BH376" s="43">
        <f t="shared" si="353"/>
        <v>60.174286453671826</v>
      </c>
      <c r="BI376" s="41" t="str">
        <f t="shared" si="357"/>
        <v>0,0847667325433213+0,888333679200609i</v>
      </c>
      <c r="BJ376" s="20">
        <f t="shared" si="354"/>
        <v>-0.98911217922243877</v>
      </c>
      <c r="BK376" s="43">
        <f t="shared" si="358"/>
        <v>84.549215913861346</v>
      </c>
      <c r="BL376">
        <f t="shared" si="355"/>
        <v>-10.484925208627212</v>
      </c>
      <c r="BM376" s="43">
        <f t="shared" si="356"/>
        <v>60.174286453671826</v>
      </c>
    </row>
    <row r="377" spans="14:65" x14ac:dyDescent="0.25">
      <c r="N377" s="9">
        <v>59</v>
      </c>
      <c r="O377" s="34">
        <f t="shared" si="308"/>
        <v>38904.514499428085</v>
      </c>
      <c r="P377" s="33" t="str">
        <f t="shared" si="309"/>
        <v>66,7780509511648</v>
      </c>
      <c r="Q377" s="4" t="str">
        <f t="shared" si="310"/>
        <v>1+952,699528832856i</v>
      </c>
      <c r="R377" s="4">
        <f t="shared" si="322"/>
        <v>952.70005365715497</v>
      </c>
      <c r="S377" s="4">
        <f t="shared" si="323"/>
        <v>1.5697466782934735</v>
      </c>
      <c r="T377" s="4" t="str">
        <f t="shared" si="311"/>
        <v>1+0,244444273885762i</v>
      </c>
      <c r="U377" s="4">
        <f t="shared" si="324"/>
        <v>1.0294430547803688</v>
      </c>
      <c r="V377" s="4">
        <f t="shared" si="325"/>
        <v>0.23974294792854348</v>
      </c>
      <c r="W377" t="str">
        <f t="shared" si="312"/>
        <v>1-0,53175720472901i</v>
      </c>
      <c r="X377" s="4">
        <f t="shared" si="326"/>
        <v>1.1325924795711872</v>
      </c>
      <c r="Y377" s="4">
        <f t="shared" si="327"/>
        <v>-0.48872943353481446</v>
      </c>
      <c r="Z377" t="str">
        <f t="shared" si="313"/>
        <v>0,998486438751564+0,104517061030595i</v>
      </c>
      <c r="AA377" s="4">
        <f t="shared" si="328"/>
        <v>1.0039417236160941</v>
      </c>
      <c r="AB377" s="4">
        <f t="shared" si="329"/>
        <v>0.10429567929476852</v>
      </c>
      <c r="AC377" s="47" t="str">
        <f t="shared" si="330"/>
        <v>-0,0280838558711307-0,0764060661382496i</v>
      </c>
      <c r="AD377" s="20">
        <f t="shared" si="331"/>
        <v>-21.787099055578647</v>
      </c>
      <c r="AE377" s="43">
        <f t="shared" si="332"/>
        <v>-110.18143659697053</v>
      </c>
      <c r="AF377" t="str">
        <f t="shared" si="314"/>
        <v>223,849857273222</v>
      </c>
      <c r="AG377" t="str">
        <f t="shared" si="315"/>
        <v>1+964,939527339845i</v>
      </c>
      <c r="AH377">
        <f t="shared" si="333"/>
        <v>964.94004550689237</v>
      </c>
      <c r="AI377">
        <f t="shared" si="334"/>
        <v>1.5697599927929506</v>
      </c>
      <c r="AJ377" t="str">
        <f t="shared" si="316"/>
        <v>1+0,244444273885762i</v>
      </c>
      <c r="AK377">
        <f t="shared" si="335"/>
        <v>1.0294430547803688</v>
      </c>
      <c r="AL377">
        <f t="shared" si="336"/>
        <v>0.23974294792854348</v>
      </c>
      <c r="AM377" t="str">
        <f t="shared" si="317"/>
        <v>1-0,160669781822116i</v>
      </c>
      <c r="AN377">
        <f t="shared" si="337"/>
        <v>1.0128251471950953</v>
      </c>
      <c r="AO377">
        <f t="shared" si="338"/>
        <v>-0.15930825726112854</v>
      </c>
      <c r="AP377" s="41" t="str">
        <f t="shared" si="339"/>
        <v>0,0196841165225681-0,241074001805535i</v>
      </c>
      <c r="AQ377">
        <f t="shared" si="340"/>
        <v>-12.32813409302516</v>
      </c>
      <c r="AR377" s="43">
        <f t="shared" si="341"/>
        <v>-85.332054133839435</v>
      </c>
      <c r="AS377" t="str">
        <f t="shared" si="318"/>
        <v>-0,0000166666666666667</v>
      </c>
      <c r="AT377" t="str">
        <f t="shared" si="319"/>
        <v>0,000245177606707419i</v>
      </c>
      <c r="AU377">
        <f t="shared" si="342"/>
        <v>2.4517760670741902E-4</v>
      </c>
      <c r="AV377">
        <f t="shared" si="343"/>
        <v>1.5707963267948966</v>
      </c>
      <c r="AW377" t="str">
        <f t="shared" si="320"/>
        <v>1+0,160850668758328i</v>
      </c>
      <c r="AX377">
        <f t="shared" si="344"/>
        <v>1.0128538579874202</v>
      </c>
      <c r="AY377">
        <f t="shared" si="345"/>
        <v>0.15948458715361016</v>
      </c>
      <c r="AZ377" t="str">
        <f t="shared" si="321"/>
        <v>1+53,7777402548676i</v>
      </c>
      <c r="BA377">
        <f t="shared" si="346"/>
        <v>53.787036978439403</v>
      </c>
      <c r="BB377">
        <f t="shared" si="347"/>
        <v>1.5522034152949684</v>
      </c>
      <c r="BC377" s="41" t="str">
        <f t="shared" si="348"/>
        <v>-3,55284279214057+0,639455071068176i</v>
      </c>
      <c r="BD377">
        <f t="shared" si="349"/>
        <v>11.14997564158114</v>
      </c>
      <c r="BE377" s="43">
        <f t="shared" si="350"/>
        <v>169.79691090090566</v>
      </c>
      <c r="BF377" s="41" t="str">
        <f t="shared" si="351"/>
        <v>0,148635771359735+0,253500377303154i</v>
      </c>
      <c r="BG377" s="20">
        <f t="shared" si="352"/>
        <v>-10.637123413997502</v>
      </c>
      <c r="BH377" s="43">
        <f t="shared" si="353"/>
        <v>59.615474303935265</v>
      </c>
      <c r="BI377" s="41" t="str">
        <f t="shared" si="357"/>
        <v>0,0842214214503868+0,869085137817131i</v>
      </c>
      <c r="BJ377" s="20">
        <f t="shared" si="354"/>
        <v>-1.1781584514440198</v>
      </c>
      <c r="BK377" s="43">
        <f t="shared" si="358"/>
        <v>84.464856767066237</v>
      </c>
      <c r="BL377">
        <f t="shared" si="355"/>
        <v>-10.637123413997502</v>
      </c>
      <c r="BM377" s="43">
        <f t="shared" si="356"/>
        <v>59.615474303935265</v>
      </c>
    </row>
    <row r="378" spans="14:65" x14ac:dyDescent="0.25">
      <c r="N378" s="9">
        <v>60</v>
      </c>
      <c r="O378" s="34">
        <f t="shared" si="308"/>
        <v>39810.717055349742</v>
      </c>
      <c r="P378" s="33" t="str">
        <f t="shared" si="309"/>
        <v>66,7780509511648</v>
      </c>
      <c r="Q378" s="4" t="str">
        <f t="shared" si="310"/>
        <v>1+974,890751603836i</v>
      </c>
      <c r="R378" s="4">
        <f t="shared" si="322"/>
        <v>974.89126448168156</v>
      </c>
      <c r="S378" s="4">
        <f t="shared" si="323"/>
        <v>1.5697705711934304</v>
      </c>
      <c r="T378" s="4" t="str">
        <f t="shared" si="311"/>
        <v>1+0,250138112470457i</v>
      </c>
      <c r="U378" s="4">
        <f t="shared" si="324"/>
        <v>1.0308099123069603</v>
      </c>
      <c r="V378" s="4">
        <f t="shared" si="325"/>
        <v>0.24510864710952476</v>
      </c>
      <c r="W378" t="str">
        <f t="shared" si="312"/>
        <v>1-0,544143421193997i</v>
      </c>
      <c r="X378" s="4">
        <f t="shared" si="326"/>
        <v>1.1384603914184752</v>
      </c>
      <c r="Y378" s="4">
        <f t="shared" si="327"/>
        <v>-0.49833568046284182</v>
      </c>
      <c r="Z378" t="str">
        <f t="shared" si="313"/>
        <v>0,998415106807539+0,106951576126387i</v>
      </c>
      <c r="AA378" s="4">
        <f t="shared" si="328"/>
        <v>1.0041271658198616</v>
      </c>
      <c r="AB378" s="4">
        <f t="shared" si="329"/>
        <v>0.1067144115539715</v>
      </c>
      <c r="AC378" s="47" t="str">
        <f t="shared" si="330"/>
        <v>-0,0281198559785568-0,0749532189788536i</v>
      </c>
      <c r="AD378" s="20">
        <f t="shared" si="331"/>
        <v>-21.932292896895341</v>
      </c>
      <c r="AE378" s="43">
        <f t="shared" si="332"/>
        <v>-110.56435419825239</v>
      </c>
      <c r="AF378" t="str">
        <f t="shared" si="314"/>
        <v>223,849857273222</v>
      </c>
      <c r="AG378" t="str">
        <f t="shared" si="315"/>
        <v>1+987,415856301564i</v>
      </c>
      <c r="AH378">
        <f t="shared" si="333"/>
        <v>987.41636267369529</v>
      </c>
      <c r="AI378">
        <f t="shared" si="334"/>
        <v>1.5697835826185351</v>
      </c>
      <c r="AJ378" t="str">
        <f t="shared" si="316"/>
        <v>1+0,250138112470457i</v>
      </c>
      <c r="AK378">
        <f t="shared" si="335"/>
        <v>1.0308099123069603</v>
      </c>
      <c r="AL378">
        <f t="shared" si="336"/>
        <v>0.24510864710952476</v>
      </c>
      <c r="AM378" t="str">
        <f t="shared" si="317"/>
        <v>1-0,164412261809849i</v>
      </c>
      <c r="AN378">
        <f t="shared" si="337"/>
        <v>1.0134255729126982</v>
      </c>
      <c r="AO378">
        <f t="shared" si="338"/>
        <v>-0.16295440375848036</v>
      </c>
      <c r="AP378" s="41" t="str">
        <f t="shared" si="339"/>
        <v>0,0196732971506169-0,236006117248856i</v>
      </c>
      <c r="AQ378">
        <f t="shared" si="340"/>
        <v>-12.511461053662515</v>
      </c>
      <c r="AR378" s="43">
        <f t="shared" si="341"/>
        <v>-85.234882619862489</v>
      </c>
      <c r="AS378" t="str">
        <f t="shared" si="318"/>
        <v>-0,0000166666666666667</v>
      </c>
      <c r="AT378" t="str">
        <f t="shared" si="319"/>
        <v>0,000250888526807869i</v>
      </c>
      <c r="AU378">
        <f t="shared" si="342"/>
        <v>2.5088852680786898E-4</v>
      </c>
      <c r="AV378">
        <f t="shared" si="343"/>
        <v>1.5707963267948966</v>
      </c>
      <c r="AW378" t="str">
        <f t="shared" si="320"/>
        <v>1+0,164597362144069i</v>
      </c>
      <c r="AX378">
        <f t="shared" si="344"/>
        <v>1.0134556189714405</v>
      </c>
      <c r="AY378">
        <f t="shared" si="345"/>
        <v>0.1631346269230288</v>
      </c>
      <c r="AZ378" t="str">
        <f t="shared" si="321"/>
        <v>1+55,0303847435005i</v>
      </c>
      <c r="BA378">
        <f t="shared" si="346"/>
        <v>55.039469883145607</v>
      </c>
      <c r="BB378">
        <f t="shared" si="347"/>
        <v>1.5526265474034322</v>
      </c>
      <c r="BC378" s="41" t="str">
        <f t="shared" si="348"/>
        <v>-3,54862489171307+0,650524861728848i</v>
      </c>
      <c r="BD378">
        <f t="shared" si="349"/>
        <v>11.144749112584995</v>
      </c>
      <c r="BE378" s="43">
        <f t="shared" si="350"/>
        <v>169.61202271105449</v>
      </c>
      <c r="BF378" s="41" t="str">
        <f t="shared" si="351"/>
        <v>0,148545753289244+0,247688193160095i</v>
      </c>
      <c r="BG378" s="20">
        <f t="shared" si="352"/>
        <v>-10.787543784310339</v>
      </c>
      <c r="BH378" s="43">
        <f t="shared" si="353"/>
        <v>59.047668512802147</v>
      </c>
      <c r="BI378" s="41" t="str">
        <f t="shared" si="357"/>
        <v>0,0837146948197274+0,850295151174499i</v>
      </c>
      <c r="BJ378" s="20">
        <f t="shared" si="354"/>
        <v>-1.3667119410775239</v>
      </c>
      <c r="BK378" s="43">
        <f t="shared" si="358"/>
        <v>84.377140091192004</v>
      </c>
      <c r="BL378">
        <f t="shared" si="355"/>
        <v>-10.787543784310339</v>
      </c>
      <c r="BM378" s="43">
        <f t="shared" si="356"/>
        <v>59.047668512802147</v>
      </c>
    </row>
    <row r="379" spans="14:65" x14ac:dyDescent="0.25">
      <c r="N379" s="9">
        <v>61</v>
      </c>
      <c r="O379" s="34">
        <f t="shared" si="308"/>
        <v>40738.027780411358</v>
      </c>
      <c r="P379" s="33" t="str">
        <f t="shared" si="309"/>
        <v>66,7780509511648</v>
      </c>
      <c r="Q379" s="4" t="str">
        <f t="shared" si="310"/>
        <v>1+997,598874355524i</v>
      </c>
      <c r="R379" s="4">
        <f t="shared" si="322"/>
        <v>997.59937555885062</v>
      </c>
      <c r="S379" s="4">
        <f t="shared" si="323"/>
        <v>1.5697939202257167</v>
      </c>
      <c r="T379" s="4" t="str">
        <f t="shared" si="311"/>
        <v>1+0,255964577593354i</v>
      </c>
      <c r="U379" s="4">
        <f t="shared" si="324"/>
        <v>1.0322392479374847</v>
      </c>
      <c r="V379" s="4">
        <f t="shared" si="325"/>
        <v>0.25058445707150573</v>
      </c>
      <c r="W379" t="str">
        <f t="shared" si="312"/>
        <v>1-0,556818149703492i</v>
      </c>
      <c r="X379" s="4">
        <f t="shared" si="326"/>
        <v>1.1445726066262554</v>
      </c>
      <c r="Y379" s="4">
        <f t="shared" si="327"/>
        <v>-0.50806279973355617</v>
      </c>
      <c r="Z379" t="str">
        <f t="shared" si="313"/>
        <v>0,998340413092562+0,109442798363514i</v>
      </c>
      <c r="AA379" s="4">
        <f t="shared" si="328"/>
        <v>1.0043213163761209</v>
      </c>
      <c r="AB379" s="4">
        <f t="shared" si="329"/>
        <v>0.10918872827688199</v>
      </c>
      <c r="AC379" s="47" t="str">
        <f t="shared" si="330"/>
        <v>-0,0281572213258325-0,0735398282780928i</v>
      </c>
      <c r="AD379" s="20">
        <f t="shared" si="331"/>
        <v>-22.075427890956981</v>
      </c>
      <c r="AE379" s="43">
        <f t="shared" si="332"/>
        <v>-110.95104198545462</v>
      </c>
      <c r="AF379" t="str">
        <f t="shared" si="314"/>
        <v>223,849857273222</v>
      </c>
      <c r="AG379" t="str">
        <f t="shared" si="315"/>
        <v>1+1010,41572622029i</v>
      </c>
      <c r="AH379">
        <f t="shared" si="333"/>
        <v>1010.4162210659902</v>
      </c>
      <c r="AI379">
        <f t="shared" si="334"/>
        <v>1.5698066354752214</v>
      </c>
      <c r="AJ379" t="str">
        <f t="shared" si="316"/>
        <v>1+0,255964577593354i</v>
      </c>
      <c r="AK379">
        <f t="shared" si="335"/>
        <v>1.0322392479374847</v>
      </c>
      <c r="AL379">
        <f t="shared" si="336"/>
        <v>0.25058445707150573</v>
      </c>
      <c r="AM379" t="str">
        <f t="shared" si="317"/>
        <v>1-0,168241915355047i</v>
      </c>
      <c r="AN379">
        <f t="shared" si="337"/>
        <v>1.0140539147808338</v>
      </c>
      <c r="AO379">
        <f t="shared" si="338"/>
        <v>-0.16668095919977202</v>
      </c>
      <c r="AP379" s="41" t="str">
        <f t="shared" si="339"/>
        <v>0,0196629647296418-0,231063365272876i</v>
      </c>
      <c r="AQ379">
        <f t="shared" si="340"/>
        <v>-12.694041480873512</v>
      </c>
      <c r="AR379" s="43">
        <f t="shared" si="341"/>
        <v>-85.135978549926634</v>
      </c>
      <c r="AS379" t="str">
        <f t="shared" si="318"/>
        <v>-0,0000166666666666667</v>
      </c>
      <c r="AT379" t="str">
        <f t="shared" si="319"/>
        <v>0,000256732471326135i</v>
      </c>
      <c r="AU379">
        <f t="shared" si="342"/>
        <v>2.5673247132613499E-4</v>
      </c>
      <c r="AV379">
        <f t="shared" si="343"/>
        <v>1.5707963267948966</v>
      </c>
      <c r="AW379" t="str">
        <f t="shared" si="320"/>
        <v>1+0,168431327229924i</v>
      </c>
      <c r="AX379">
        <f t="shared" si="344"/>
        <v>1.014085357350373</v>
      </c>
      <c r="AY379">
        <f t="shared" si="345"/>
        <v>0.16686515157466517</v>
      </c>
      <c r="AZ379" t="str">
        <f t="shared" si="321"/>
        <v>1+56,3122070705378i</v>
      </c>
      <c r="BA379">
        <f t="shared" si="346"/>
        <v>56.321085440136258</v>
      </c>
      <c r="BB379">
        <f t="shared" si="347"/>
        <v>1.5530400541369</v>
      </c>
      <c r="BC379" s="41" t="str">
        <f t="shared" si="348"/>
        <v>-3,54421892843972+0,661875919144588i</v>
      </c>
      <c r="BD379">
        <f t="shared" si="349"/>
        <v>11.13928904928321</v>
      </c>
      <c r="BE379" s="43">
        <f t="shared" si="350"/>
        <v>169.42197158377417</v>
      </c>
      <c r="BF379" s="41" t="str">
        <f t="shared" si="351"/>
        <v>0,14846959823058+0,24200466463183i</v>
      </c>
      <c r="BG379" s="20">
        <f t="shared" si="352"/>
        <v>-10.93613884167377</v>
      </c>
      <c r="BH379" s="43">
        <f t="shared" si="353"/>
        <v>58.470929598319543</v>
      </c>
      <c r="BI379" s="41" t="str">
        <f t="shared" si="357"/>
        <v>0,0832454254865874+0,831953595722647i</v>
      </c>
      <c r="BJ379" s="20">
        <f t="shared" si="354"/>
        <v>-1.5547524315903072</v>
      </c>
      <c r="BK379" s="43">
        <f t="shared" si="358"/>
        <v>84.285993033847546</v>
      </c>
      <c r="BL379">
        <f t="shared" si="355"/>
        <v>-10.93613884167377</v>
      </c>
      <c r="BM379" s="43">
        <f t="shared" si="356"/>
        <v>58.470929598319543</v>
      </c>
    </row>
    <row r="380" spans="14:65" x14ac:dyDescent="0.25">
      <c r="N380" s="9">
        <v>62</v>
      </c>
      <c r="O380" s="34">
        <f t="shared" si="308"/>
        <v>41686.938347033625</v>
      </c>
      <c r="P380" s="33" t="str">
        <f t="shared" si="309"/>
        <v>66,7780509511648</v>
      </c>
      <c r="Q380" s="4" t="str">
        <f t="shared" si="310"/>
        <v>1+1020,83593723518i</v>
      </c>
      <c r="R380" s="4">
        <f t="shared" si="322"/>
        <v>1020.8364270297317</v>
      </c>
      <c r="S380" s="4">
        <f t="shared" si="323"/>
        <v>1.5698167377701964</v>
      </c>
      <c r="T380" s="4" t="str">
        <f t="shared" si="311"/>
        <v>1+0,261926758523383i</v>
      </c>
      <c r="U380" s="4">
        <f t="shared" si="324"/>
        <v>1.0337338278447536</v>
      </c>
      <c r="V380" s="4">
        <f t="shared" si="325"/>
        <v>0.2561719670887086</v>
      </c>
      <c r="W380" t="str">
        <f t="shared" si="312"/>
        <v>1-0,569788110566321i</v>
      </c>
      <c r="X380" s="4">
        <f t="shared" si="326"/>
        <v>1.1509380917072551</v>
      </c>
      <c r="Y380" s="4">
        <f t="shared" si="327"/>
        <v>-0.51790858525396699</v>
      </c>
      <c r="Z380" t="str">
        <f t="shared" si="313"/>
        <v>0,998262199171251+0,111992048620979i</v>
      </c>
      <c r="AA380" s="4">
        <f t="shared" si="328"/>
        <v>1.0045245826999687</v>
      </c>
      <c r="AB380" s="4">
        <f t="shared" si="329"/>
        <v>0.11171987078858717</v>
      </c>
      <c r="AC380" s="47" t="str">
        <f t="shared" si="330"/>
        <v>-0,0281960274987355-0,0721651246594955i</v>
      </c>
      <c r="AD380" s="20">
        <f t="shared" si="331"/>
        <v>-22.216445935144552</v>
      </c>
      <c r="AE380" s="43">
        <f t="shared" si="332"/>
        <v>-111.34135433205677</v>
      </c>
      <c r="AF380" t="str">
        <f t="shared" si="314"/>
        <v>223,849857273222</v>
      </c>
      <c r="AG380" t="str">
        <f t="shared" si="315"/>
        <v>1+1033,9513319315i</v>
      </c>
      <c r="AH380">
        <f t="shared" si="333"/>
        <v>1033.951815513142</v>
      </c>
      <c r="AI380">
        <f t="shared" si="334"/>
        <v>1.5698291635858408</v>
      </c>
      <c r="AJ380" t="str">
        <f t="shared" si="316"/>
        <v>1+0,261926758523383i</v>
      </c>
      <c r="AK380">
        <f t="shared" si="335"/>
        <v>1.0337338278447536</v>
      </c>
      <c r="AL380">
        <f t="shared" si="336"/>
        <v>0.2561719670887086</v>
      </c>
      <c r="AM380" t="str">
        <f t="shared" si="317"/>
        <v>1-0,172160772990712i</v>
      </c>
      <c r="AN380">
        <f t="shared" si="337"/>
        <v>1.0147114524616145</v>
      </c>
      <c r="AO380">
        <f t="shared" si="338"/>
        <v>-0.17048948523312094</v>
      </c>
      <c r="AP380" s="41" t="str">
        <f t="shared" si="339"/>
        <v>0,0196530973433241-0,226243125230922i</v>
      </c>
      <c r="AQ380">
        <f t="shared" si="340"/>
        <v>-12.875843758955865</v>
      </c>
      <c r="AR380" s="43">
        <f t="shared" si="341"/>
        <v>-85.035341041489389</v>
      </c>
      <c r="AS380" t="str">
        <f t="shared" si="318"/>
        <v>-0,0000166666666666667</v>
      </c>
      <c r="AT380" t="str">
        <f t="shared" si="319"/>
        <v>0,000262712538798953i</v>
      </c>
      <c r="AU380">
        <f t="shared" si="342"/>
        <v>2.6271253879895301E-4</v>
      </c>
      <c r="AV380">
        <f t="shared" si="343"/>
        <v>1.5707963267948966</v>
      </c>
      <c r="AW380" t="str">
        <f t="shared" si="320"/>
        <v>1+0,172354596834928i</v>
      </c>
      <c r="AX380">
        <f t="shared" si="344"/>
        <v>1.0147443555152846</v>
      </c>
      <c r="AY380">
        <f t="shared" si="345"/>
        <v>0.1706777235362342</v>
      </c>
      <c r="AZ380" t="str">
        <f t="shared" si="321"/>
        <v>1+57,6238868751442i</v>
      </c>
      <c r="BA380">
        <f t="shared" si="346"/>
        <v>57.632563179156065</v>
      </c>
      <c r="BB380">
        <f t="shared" si="347"/>
        <v>1.5534441541761537</v>
      </c>
      <c r="BC380" s="41" t="str">
        <f t="shared" si="348"/>
        <v>-3,53961702974429+0,673509963471795i</v>
      </c>
      <c r="BD380">
        <f t="shared" si="349"/>
        <v>11.133584780608309</v>
      </c>
      <c r="BE380" s="43">
        <f t="shared" si="350"/>
        <v>169.22668052803664</v>
      </c>
      <c r="BF380" s="41" t="str">
        <f t="shared" si="351"/>
        <v>0,148407069579017+0,236446598747647i</v>
      </c>
      <c r="BG380" s="20">
        <f t="shared" si="352"/>
        <v>-11.082861154536232</v>
      </c>
      <c r="BH380" s="43">
        <f t="shared" si="353"/>
        <v>57.885326195979864</v>
      </c>
      <c r="BI380" s="41" t="str">
        <f t="shared" si="357"/>
        <v>0,0828125609663708+0,814050575803751i</v>
      </c>
      <c r="BJ380" s="20">
        <f t="shared" si="354"/>
        <v>-1.7422589783475615</v>
      </c>
      <c r="BK380" s="43">
        <f t="shared" si="358"/>
        <v>84.191339486547264</v>
      </c>
      <c r="BL380">
        <f t="shared" si="355"/>
        <v>-11.082861154536232</v>
      </c>
      <c r="BM380" s="43">
        <f t="shared" si="356"/>
        <v>57.885326195979864</v>
      </c>
    </row>
    <row r="381" spans="14:65" x14ac:dyDescent="0.25">
      <c r="N381" s="9">
        <v>63</v>
      </c>
      <c r="O381" s="34">
        <f t="shared" si="308"/>
        <v>42657.951880159271</v>
      </c>
      <c r="P381" s="33" t="str">
        <f t="shared" si="309"/>
        <v>66,7780509511648</v>
      </c>
      <c r="Q381" s="4" t="str">
        <f t="shared" si="310"/>
        <v>1+1044,61426084111i</v>
      </c>
      <c r="R381" s="4">
        <f t="shared" si="322"/>
        <v>1044.6147394865818</v>
      </c>
      <c r="S381" s="4">
        <f t="shared" si="323"/>
        <v>1.5698390359249383</v>
      </c>
      <c r="T381" s="4" t="str">
        <f t="shared" si="311"/>
        <v>1+0,268027816487791i</v>
      </c>
      <c r="U381" s="4">
        <f t="shared" si="324"/>
        <v>1.0352965325988555</v>
      </c>
      <c r="V381" s="4">
        <f t="shared" si="325"/>
        <v>0.26187274360068102</v>
      </c>
      <c r="W381" t="str">
        <f t="shared" si="312"/>
        <v>1-0,583060180627407i</v>
      </c>
      <c r="X381" s="4">
        <f t="shared" si="326"/>
        <v>1.15756605609929</v>
      </c>
      <c r="Y381" s="4">
        <f t="shared" si="327"/>
        <v>-0.52787062114195293</v>
      </c>
      <c r="Z381" t="str">
        <f t="shared" si="313"/>
        <v>0,99818029914139+0,114600678545013i</v>
      </c>
      <c r="AA381" s="4">
        <f t="shared" si="328"/>
        <v>1.0047373911211686</v>
      </c>
      <c r="AB381" s="4">
        <f t="shared" si="329"/>
        <v>0.11430910558107557</v>
      </c>
      <c r="AC381" s="47" t="str">
        <f t="shared" si="330"/>
        <v>-0,0282363527911916-0,0708283578686706i</v>
      </c>
      <c r="AD381" s="20">
        <f t="shared" si="331"/>
        <v>-22.355288645517156</v>
      </c>
      <c r="AE381" s="43">
        <f t="shared" si="332"/>
        <v>-111.7351363256485</v>
      </c>
      <c r="AF381" t="str">
        <f t="shared" si="314"/>
        <v>223,849857273222</v>
      </c>
      <c r="AG381" t="str">
        <f t="shared" si="315"/>
        <v>1+1058,03515232485i</v>
      </c>
      <c r="AH381">
        <f t="shared" si="333"/>
        <v>1058.0356248988353</v>
      </c>
      <c r="AI381">
        <f t="shared" si="334"/>
        <v>1.5698511788950045</v>
      </c>
      <c r="AJ381" t="str">
        <f t="shared" si="316"/>
        <v>1+0,268027816487791i</v>
      </c>
      <c r="AK381">
        <f t="shared" si="335"/>
        <v>1.0352965325988555</v>
      </c>
      <c r="AL381">
        <f t="shared" si="336"/>
        <v>0.26187274360068102</v>
      </c>
      <c r="AM381" t="str">
        <f t="shared" si="317"/>
        <v>1-0,176170912547033i</v>
      </c>
      <c r="AN381">
        <f t="shared" si="337"/>
        <v>1.0153995225661938</v>
      </c>
      <c r="AO381">
        <f t="shared" si="338"/>
        <v>-0.17438155903020819</v>
      </c>
      <c r="AP381" s="41" t="str">
        <f t="shared" si="339"/>
        <v>0,0196436740617355-0,221542841429376i</v>
      </c>
      <c r="AQ381">
        <f t="shared" si="340"/>
        <v>-13.056835096502953</v>
      </c>
      <c r="AR381" s="43">
        <f t="shared" si="341"/>
        <v>-84.932971393832361</v>
      </c>
      <c r="AS381" t="str">
        <f t="shared" si="318"/>
        <v>-0,0000166666666666667</v>
      </c>
      <c r="AT381" t="str">
        <f t="shared" si="319"/>
        <v>0,000268831899937254i</v>
      </c>
      <c r="AU381">
        <f t="shared" si="342"/>
        <v>2.6883189993725398E-4</v>
      </c>
      <c r="AV381">
        <f t="shared" si="343"/>
        <v>1.5707963267948966</v>
      </c>
      <c r="AW381" t="str">
        <f t="shared" si="320"/>
        <v>1+0,176369251128556i</v>
      </c>
      <c r="AX381">
        <f t="shared" si="344"/>
        <v>1.0154339529204486</v>
      </c>
      <c r="AY381">
        <f t="shared" si="345"/>
        <v>0.17457392071403108</v>
      </c>
      <c r="AZ381" t="str">
        <f t="shared" si="321"/>
        <v>1+58,966119627314i</v>
      </c>
      <c r="BA381">
        <f t="shared" si="346"/>
        <v>58.974598463259632</v>
      </c>
      <c r="BB381">
        <f t="shared" si="347"/>
        <v>1.5538390612521744</v>
      </c>
      <c r="BC381" s="41" t="str">
        <f t="shared" si="348"/>
        <v>-3,53481104136612+0,685428587030448i</v>
      </c>
      <c r="BD381">
        <f t="shared" si="349"/>
        <v>11.127625201943115</v>
      </c>
      <c r="BE381" s="43">
        <f t="shared" si="350"/>
        <v>169.02607138235393</v>
      </c>
      <c r="BF381" s="41" t="str">
        <f t="shared" si="351"/>
        <v>0,148357952869823+0,231010858039448i</v>
      </c>
      <c r="BG381" s="20">
        <f t="shared" si="352"/>
        <v>-11.227663443574041</v>
      </c>
      <c r="BH381" s="43">
        <f t="shared" si="353"/>
        <v>57.290935056705422</v>
      </c>
      <c r="BI381" s="41" t="str">
        <f t="shared" si="357"/>
        <v>0,0824151208012279+0,796576417776404i</v>
      </c>
      <c r="BJ381" s="20">
        <f t="shared" si="354"/>
        <v>-1.929209894559837</v>
      </c>
      <c r="BK381" s="43">
        <f t="shared" si="358"/>
        <v>84.093099988521573</v>
      </c>
      <c r="BL381">
        <f t="shared" si="355"/>
        <v>-11.227663443574041</v>
      </c>
      <c r="BM381" s="43">
        <f t="shared" si="356"/>
        <v>57.290935056705422</v>
      </c>
    </row>
    <row r="382" spans="14:65" x14ac:dyDescent="0.25">
      <c r="N382" s="9">
        <v>64</v>
      </c>
      <c r="O382" s="34">
        <f t="shared" si="308"/>
        <v>43651.583224016598</v>
      </c>
      <c r="P382" s="33" t="str">
        <f t="shared" si="309"/>
        <v>66,7780509511648</v>
      </c>
      <c r="Q382" s="4" t="str">
        <f t="shared" si="310"/>
        <v>1+1068,94645275525i</v>
      </c>
      <c r="R382" s="4">
        <f t="shared" si="322"/>
        <v>1068.9469205054254</v>
      </c>
      <c r="S382" s="4">
        <f t="shared" si="323"/>
        <v>1.5698608265126306</v>
      </c>
      <c r="T382" s="4" t="str">
        <f t="shared" si="311"/>
        <v>1+0,274270986348268i</v>
      </c>
      <c r="U382" s="4">
        <f t="shared" si="324"/>
        <v>1.036930361187506</v>
      </c>
      <c r="V382" s="4">
        <f t="shared" si="325"/>
        <v>0.26768832647453805</v>
      </c>
      <c r="W382" t="str">
        <f t="shared" si="312"/>
        <v>1-0,596641396913975i</v>
      </c>
      <c r="X382" s="4">
        <f t="shared" si="326"/>
        <v>1.1644659533500581</v>
      </c>
      <c r="Y382" s="4">
        <f t="shared" si="327"/>
        <v>-0.53794627955141128</v>
      </c>
      <c r="Z382" t="str">
        <f t="shared" si="313"/>
        <v>0,998094539282037+0,117270071265731i</v>
      </c>
      <c r="AA382" s="4">
        <f t="shared" si="328"/>
        <v>1.0049601877483958</v>
      </c>
      <c r="AB382" s="4">
        <f t="shared" si="329"/>
        <v>0.11695772464010562</v>
      </c>
      <c r="AC382" s="47" t="str">
        <f t="shared" si="330"/>
        <v>-0,0282782783386631-0,069528796281202i</v>
      </c>
      <c r="AD382" s="20">
        <f t="shared" si="331"/>
        <v>-22.491897451933347</v>
      </c>
      <c r="AE382" s="43">
        <f t="shared" si="332"/>
        <v>-112.13222387657363</v>
      </c>
      <c r="AF382" t="str">
        <f t="shared" si="314"/>
        <v>223,849857273222</v>
      </c>
      <c r="AG382" t="str">
        <f t="shared" si="315"/>
        <v>1+1082,67995696072i</v>
      </c>
      <c r="AH382">
        <f t="shared" si="333"/>
        <v>1082.6804187776124</v>
      </c>
      <c r="AI382">
        <f t="shared" si="334"/>
        <v>1.5698726930754356</v>
      </c>
      <c r="AJ382" t="str">
        <f t="shared" si="316"/>
        <v>1+0,274270986348268i</v>
      </c>
      <c r="AK382">
        <f t="shared" si="335"/>
        <v>1.036930361187506</v>
      </c>
      <c r="AL382">
        <f t="shared" si="336"/>
        <v>0.26768832647453805</v>
      </c>
      <c r="AM382" t="str">
        <f t="shared" si="317"/>
        <v>1-0,180274460253084i</v>
      </c>
      <c r="AN382">
        <f t="shared" si="337"/>
        <v>1.0161195210306417</v>
      </c>
      <c r="AO382">
        <f t="shared" si="338"/>
        <v>-0.17835877232036684</v>
      </c>
      <c r="AP382" s="41" t="str">
        <f t="shared" si="339"/>
        <v>0,0196346748969416-0,216960021772902i</v>
      </c>
      <c r="AQ382">
        <f t="shared" si="340"/>
        <v>-13.236981497246546</v>
      </c>
      <c r="AR382" s="43">
        <f t="shared" si="341"/>
        <v>-84.828873247239599</v>
      </c>
      <c r="AS382" t="str">
        <f t="shared" si="318"/>
        <v>-0,0000166666666666667</v>
      </c>
      <c r="AT382" t="str">
        <f t="shared" si="319"/>
        <v>0,000275093799307313i</v>
      </c>
      <c r="AU382">
        <f t="shared" si="342"/>
        <v>2.7509379930731301E-4</v>
      </c>
      <c r="AV382">
        <f t="shared" si="343"/>
        <v>1.5707963267948966</v>
      </c>
      <c r="AW382" t="str">
        <f t="shared" si="320"/>
        <v>1+0,180477418733656i</v>
      </c>
      <c r="AX382">
        <f t="shared" si="344"/>
        <v>1.0161555484633065</v>
      </c>
      <c r="AY382">
        <f t="shared" si="345"/>
        <v>0.17855533552231234</v>
      </c>
      <c r="AZ382" t="str">
        <f t="shared" si="321"/>
        <v>1+60,3396169966189i</v>
      </c>
      <c r="BA382">
        <f t="shared" si="346"/>
        <v>60.347902857503342</v>
      </c>
      <c r="BB382">
        <f t="shared" si="347"/>
        <v>1.5542249842569469</v>
      </c>
      <c r="BC382" s="41" t="str">
        <f t="shared" si="348"/>
        <v>-3,52979252183087+0,697633238636393i</v>
      </c>
      <c r="BD382">
        <f t="shared" si="349"/>
        <v>11.121398759234642</v>
      </c>
      <c r="BE382" s="43">
        <f t="shared" si="350"/>
        <v>168.820064876739</v>
      </c>
      <c r="BF382" s="41" t="str">
        <f t="shared" si="351"/>
        <v>0,14832205473821+0,225694358264826i</v>
      </c>
      <c r="BG382" s="20">
        <f t="shared" si="352"/>
        <v>-11.370498692698705</v>
      </c>
      <c r="BH382" s="43">
        <f t="shared" si="353"/>
        <v>56.687841000165349</v>
      </c>
      <c r="BI382" s="41" t="str">
        <f t="shared" si="357"/>
        <v>0,0820521940242472+0,779521664228178i</v>
      </c>
      <c r="BJ382" s="20">
        <f t="shared" si="354"/>
        <v>-2.1155827380119079</v>
      </c>
      <c r="BK382" s="43">
        <f t="shared" si="358"/>
        <v>83.991191629499397</v>
      </c>
      <c r="BL382">
        <f t="shared" si="355"/>
        <v>-11.370498692698705</v>
      </c>
      <c r="BM382" s="43">
        <f t="shared" si="356"/>
        <v>56.687841000165349</v>
      </c>
    </row>
    <row r="383" spans="14:65" x14ac:dyDescent="0.25">
      <c r="N383" s="9">
        <v>65</v>
      </c>
      <c r="O383" s="34">
        <f t="shared" si="308"/>
        <v>44668.359215096389</v>
      </c>
      <c r="P383" s="33" t="str">
        <f t="shared" si="309"/>
        <v>66,7780509511648</v>
      </c>
      <c r="Q383" s="4" t="str">
        <f t="shared" si="310"/>
        <v>1+1093,84541422782i</v>
      </c>
      <c r="R383" s="4">
        <f t="shared" si="322"/>
        <v>1093.8458713307059</v>
      </c>
      <c r="S383" s="4">
        <f t="shared" si="323"/>
        <v>1.5698821210868485</v>
      </c>
      <c r="T383" s="4" t="str">
        <f t="shared" si="311"/>
        <v>1+0,280659578316114i</v>
      </c>
      <c r="U383" s="4">
        <f t="shared" si="324"/>
        <v>1.0386384351161759</v>
      </c>
      <c r="V383" s="4">
        <f t="shared" si="325"/>
        <v>0.27362022506078149</v>
      </c>
      <c r="W383" t="str">
        <f t="shared" si="312"/>
        <v>1-0,610538960366673i</v>
      </c>
      <c r="X383" s="4">
        <f t="shared" si="326"/>
        <v>1.1716474820207732</v>
      </c>
      <c r="Y383" s="4">
        <f t="shared" si="327"/>
        <v>-0.54813271922630014</v>
      </c>
      <c r="Z383" t="str">
        <f t="shared" si="313"/>
        <v>0,998004737685031+0,120001642130488i</v>
      </c>
      <c r="AA383" s="4">
        <f t="shared" si="328"/>
        <v>1.0051934393716371</v>
      </c>
      <c r="AB383" s="4">
        <f t="shared" si="329"/>
        <v>0.11966704576218351</v>
      </c>
      <c r="AC383" s="47" t="str">
        <f t="shared" si="330"/>
        <v>-0,0283218882545423-0,068265726414255i</v>
      </c>
      <c r="AD383" s="20">
        <f t="shared" si="331"/>
        <v>-22.626213697753769</v>
      </c>
      <c r="AE383" s="43">
        <f t="shared" si="332"/>
        <v>-112.53244387958796</v>
      </c>
      <c r="AF383" t="str">
        <f t="shared" si="314"/>
        <v>223,849857273222</v>
      </c>
      <c r="AG383" t="str">
        <f t="shared" si="315"/>
        <v>1+1107,89881284073i</v>
      </c>
      <c r="AH383">
        <f t="shared" si="333"/>
        <v>1107.899264145391</v>
      </c>
      <c r="AI383">
        <f t="shared" si="334"/>
        <v>1.5698937175341572</v>
      </c>
      <c r="AJ383" t="str">
        <f t="shared" si="316"/>
        <v>1+0,280659578316114i</v>
      </c>
      <c r="AK383">
        <f t="shared" si="335"/>
        <v>1.0386384351161759</v>
      </c>
      <c r="AL383">
        <f t="shared" si="336"/>
        <v>0.27362022506078149</v>
      </c>
      <c r="AM383" t="str">
        <f t="shared" si="317"/>
        <v>1-0,184473591864177i</v>
      </c>
      <c r="AN383">
        <f t="shared" si="337"/>
        <v>1.0168729055763415</v>
      </c>
      <c r="AO383">
        <f t="shared" si="338"/>
        <v>-0.18242273032576767</v>
      </c>
      <c r="AP383" s="41" t="str">
        <f t="shared" si="339"/>
        <v>0,0196260807606077-0,212492236443382i</v>
      </c>
      <c r="AQ383">
        <f t="shared" si="340"/>
        <v>-13.416247731525724</v>
      </c>
      <c r="AR383" s="43">
        <f t="shared" si="341"/>
        <v>-84.723052748327376</v>
      </c>
      <c r="AS383" t="str">
        <f t="shared" si="318"/>
        <v>-0,0000166666666666667</v>
      </c>
      <c r="AT383" t="str">
        <f t="shared" si="319"/>
        <v>0,000281501557051062i</v>
      </c>
      <c r="AU383">
        <f t="shared" si="342"/>
        <v>2.8150155705106199E-4</v>
      </c>
      <c r="AV383">
        <f t="shared" si="343"/>
        <v>1.5707963267948966</v>
      </c>
      <c r="AW383" t="str">
        <f t="shared" si="320"/>
        <v>1+0,18468127785507i</v>
      </c>
      <c r="AX383">
        <f t="shared" si="344"/>
        <v>1.0169106029490407</v>
      </c>
      <c r="AY383">
        <f t="shared" si="345"/>
        <v>0.18262357381350222</v>
      </c>
      <c r="AZ383" t="str">
        <f t="shared" si="321"/>
        <v>1+61,745107229545i</v>
      </c>
      <c r="BA383">
        <f t="shared" si="346"/>
        <v>61.753204506227938</v>
      </c>
      <c r="BB383">
        <f t="shared" si="347"/>
        <v>1.5546021273518686</v>
      </c>
      <c r="BC383" s="41" t="str">
        <f t="shared" si="348"/>
        <v>-3,52455273728826+0,710125207046921i</v>
      </c>
      <c r="BD383">
        <f t="shared" si="349"/>
        <v>11.114893432826904</v>
      </c>
      <c r="BE383" s="43">
        <f t="shared" si="350"/>
        <v>168.60858070021183</v>
      </c>
      <c r="BF383" s="41" t="str">
        <f t="shared" si="351"/>
        <v>0,148299201876851+0,220494066135617i</v>
      </c>
      <c r="BG383" s="20">
        <f t="shared" si="352"/>
        <v>-11.511320264926868</v>
      </c>
      <c r="BH383" s="43">
        <f t="shared" si="353"/>
        <v>56.076136820623773</v>
      </c>
      <c r="BI383" s="41" t="str">
        <f t="shared" si="357"/>
        <v>0,0817229367331796+0,762877068272672i</v>
      </c>
      <c r="BJ383" s="20">
        <f t="shared" si="354"/>
        <v>-2.3013542986988229</v>
      </c>
      <c r="BK383" s="43">
        <f t="shared" si="358"/>
        <v>83.885527951884484</v>
      </c>
      <c r="BL383">
        <f t="shared" si="355"/>
        <v>-11.511320264926868</v>
      </c>
      <c r="BM383" s="43">
        <f t="shared" si="356"/>
        <v>56.076136820623773</v>
      </c>
    </row>
    <row r="384" spans="14:65" x14ac:dyDescent="0.25">
      <c r="N384" s="9">
        <v>66</v>
      </c>
      <c r="O384" s="34">
        <f t="shared" ref="O384:O418" si="359">10^(4+(N384/100))</f>
        <v>45708.818961487581</v>
      </c>
      <c r="P384" s="33" t="str">
        <f t="shared" si="309"/>
        <v>66,7780509511648</v>
      </c>
      <c r="Q384" s="4" t="str">
        <f t="shared" si="310"/>
        <v>1+1119,32434701776i</v>
      </c>
      <c r="R384" s="4">
        <f t="shared" si="322"/>
        <v>1119.324793715718</v>
      </c>
      <c r="S384" s="4">
        <f t="shared" si="323"/>
        <v>1.5699029309381798</v>
      </c>
      <c r="T384" s="4" t="str">
        <f t="shared" si="311"/>
        <v>1+0,28719697970735i</v>
      </c>
      <c r="U384" s="4">
        <f t="shared" si="324"/>
        <v>1.0404240025840541</v>
      </c>
      <c r="V384" s="4">
        <f t="shared" si="325"/>
        <v>0.279669914039545</v>
      </c>
      <c r="W384" t="str">
        <f t="shared" si="312"/>
        <v>1-0,624760239657592i</v>
      </c>
      <c r="X384" s="4">
        <f t="shared" si="326"/>
        <v>1.1791205863087166</v>
      </c>
      <c r="Y384" s="4">
        <f t="shared" si="327"/>
        <v>-0.55842688483297853</v>
      </c>
      <c r="Z384" t="str">
        <f t="shared" si="313"/>
        <v>0,997910703869146+0,122796839454311i</v>
      </c>
      <c r="AA384" s="4">
        <f t="shared" si="328"/>
        <v>1.0054376344043336</v>
      </c>
      <c r="AB384" s="4">
        <f t="shared" si="329"/>
        <v>0.12243841286027306</v>
      </c>
      <c r="AC384" s="47" t="str">
        <f t="shared" si="330"/>
        <v>-0,0283672697695661-0,0670384524412579i</v>
      </c>
      <c r="AD384" s="20">
        <f t="shared" si="331"/>
        <v>-22.758178743842848</v>
      </c>
      <c r="AE384" s="43">
        <f t="shared" si="332"/>
        <v>-112.93561443146483</v>
      </c>
      <c r="AF384" t="str">
        <f t="shared" si="314"/>
        <v>223,849857273222</v>
      </c>
      <c r="AG384" t="str">
        <f t="shared" si="315"/>
        <v>1+1133,70509133609i</v>
      </c>
      <c r="AH384">
        <f t="shared" si="333"/>
        <v>1133.7055323678067</v>
      </c>
      <c r="AI384">
        <f t="shared" si="334"/>
        <v>1.5699142634185417</v>
      </c>
      <c r="AJ384" t="str">
        <f t="shared" si="316"/>
        <v>1+0,28719697970735i</v>
      </c>
      <c r="AK384">
        <f t="shared" si="335"/>
        <v>1.0404240025840541</v>
      </c>
      <c r="AL384">
        <f t="shared" si="336"/>
        <v>0.279669914039545</v>
      </c>
      <c r="AM384" t="str">
        <f t="shared" si="317"/>
        <v>1-0,188770533815472i</v>
      </c>
      <c r="AN384">
        <f t="shared" si="337"/>
        <v>1.0176611982565604</v>
      </c>
      <c r="AO384">
        <f t="shared" si="338"/>
        <v>-0.18657505059196552</v>
      </c>
      <c r="AP384" s="41" t="str">
        <f t="shared" si="339"/>
        <v>0,0196178734235091-0,208137116611848i</v>
      </c>
      <c r="AQ384">
        <f t="shared" si="340"/>
        <v>-13.594597308538779</v>
      </c>
      <c r="AR384" s="43">
        <f t="shared" si="341"/>
        <v>-84.615518721378791</v>
      </c>
      <c r="AS384" t="str">
        <f t="shared" si="318"/>
        <v>-0,0000166666666666667</v>
      </c>
      <c r="AT384" t="str">
        <f t="shared" si="319"/>
        <v>0,000288058570646473i</v>
      </c>
      <c r="AU384">
        <f t="shared" si="342"/>
        <v>2.88058570646473E-4</v>
      </c>
      <c r="AV384">
        <f t="shared" si="343"/>
        <v>1.5707963267948966</v>
      </c>
      <c r="AW384" t="str">
        <f t="shared" si="320"/>
        <v>1+0,188983057434547i</v>
      </c>
      <c r="AX384">
        <f t="shared" si="344"/>
        <v>1.0177006416413961</v>
      </c>
      <c r="AY384">
        <f t="shared" si="345"/>
        <v>0.18678025370347953</v>
      </c>
      <c r="AZ384" t="str">
        <f t="shared" si="321"/>
        <v>1+63,1833355356169i</v>
      </c>
      <c r="BA384">
        <f t="shared" si="346"/>
        <v>63.191248519129196</v>
      </c>
      <c r="BB384">
        <f t="shared" si="347"/>
        <v>1.5549706900738047</v>
      </c>
      <c r="BC384" s="41" t="str">
        <f t="shared" si="348"/>
        <v>-3,51908265677836+0,722905603491635i</v>
      </c>
      <c r="BD384">
        <f t="shared" si="349"/>
        <v>11.10809672103308</v>
      </c>
      <c r="BE384" s="43">
        <f t="shared" si="350"/>
        <v>168.39153757418208</v>
      </c>
      <c r="BF384" s="41" t="str">
        <f t="shared" si="351"/>
        <v>0,148289239985426+0,215406997051113i</v>
      </c>
      <c r="BG384" s="20">
        <f t="shared" si="352"/>
        <v>-11.650082022809784</v>
      </c>
      <c r="BH384" s="43">
        <f t="shared" si="353"/>
        <v>55.455923142717182</v>
      </c>
      <c r="BI384" s="41" t="str">
        <f t="shared" si="357"/>
        <v>0,0814265697657528+0,746633587927054i</v>
      </c>
      <c r="BJ384" s="20">
        <f t="shared" si="354"/>
        <v>-2.486500587505696</v>
      </c>
      <c r="BK384" s="43">
        <f t="shared" si="358"/>
        <v>83.776018852803304</v>
      </c>
      <c r="BL384">
        <f t="shared" si="355"/>
        <v>-11.650082022809784</v>
      </c>
      <c r="BM384" s="43">
        <f t="shared" si="356"/>
        <v>55.455923142717182</v>
      </c>
    </row>
    <row r="385" spans="14:65" x14ac:dyDescent="0.25">
      <c r="N385" s="9">
        <v>67</v>
      </c>
      <c r="O385" s="34">
        <f t="shared" si="359"/>
        <v>46773.514128719893</v>
      </c>
      <c r="P385" s="33" t="str">
        <f t="shared" si="309"/>
        <v>66,7780509511648</v>
      </c>
      <c r="Q385" s="4" t="str">
        <f t="shared" si="310"/>
        <v>1+1145,39676039251i</v>
      </c>
      <c r="R385" s="4">
        <f t="shared" si="322"/>
        <v>1145.3971969223849</v>
      </c>
      <c r="S385" s="4">
        <f t="shared" si="323"/>
        <v>1.569923267100211</v>
      </c>
      <c r="T385" s="4" t="str">
        <f t="shared" si="311"/>
        <v>1+0,29388665673873i</v>
      </c>
      <c r="U385" s="4">
        <f t="shared" si="324"/>
        <v>1.0422904427313282</v>
      </c>
      <c r="V385" s="4">
        <f t="shared" si="325"/>
        <v>0.28583882905497482</v>
      </c>
      <c r="W385" t="str">
        <f t="shared" si="312"/>
        <v>1-0,63931277509726i</v>
      </c>
      <c r="X385" s="4">
        <f t="shared" si="326"/>
        <v>1.1868954563914043</v>
      </c>
      <c r="Y385" s="4">
        <f t="shared" si="327"/>
        <v>-0.56882550711701563</v>
      </c>
      <c r="Z385" t="str">
        <f t="shared" si="313"/>
        <v>0,99781223837605+0,125657145287821i</v>
      </c>
      <c r="AA385" s="4">
        <f t="shared" si="328"/>
        <v>1.0056932838668595</v>
      </c>
      <c r="AB385" s="4">
        <f t="shared" si="329"/>
        <v>0.125273196256798</v>
      </c>
      <c r="AC385" s="47" t="str">
        <f t="shared" si="330"/>
        <v>-0,0284145133742491-0,0658462957090016i</v>
      </c>
      <c r="AD385" s="20">
        <f t="shared" si="331"/>
        <v>-22.887734076544163</v>
      </c>
      <c r="AE385" s="43">
        <f t="shared" si="332"/>
        <v>-113.34154510724244</v>
      </c>
      <c r="AF385" t="str">
        <f t="shared" si="314"/>
        <v>223,849857273222</v>
      </c>
      <c r="AG385" t="str">
        <f t="shared" si="315"/>
        <v>1+1160,11247527723i</v>
      </c>
      <c r="AH385">
        <f t="shared" si="333"/>
        <v>1160.1129062698431</v>
      </c>
      <c r="AI385">
        <f t="shared" si="334"/>
        <v>1.5699343416222191</v>
      </c>
      <c r="AJ385" t="str">
        <f t="shared" si="316"/>
        <v>1+0,29388665673873i</v>
      </c>
      <c r="AK385">
        <f t="shared" si="335"/>
        <v>1.0422904427313282</v>
      </c>
      <c r="AL385">
        <f t="shared" si="336"/>
        <v>0.28583882905497482</v>
      </c>
      <c r="AM385" t="str">
        <f t="shared" si="317"/>
        <v>1-0,19316756440247i</v>
      </c>
      <c r="AN385">
        <f t="shared" si="337"/>
        <v>1.0184859880907455</v>
      </c>
      <c r="AO385">
        <f t="shared" si="338"/>
        <v>-0.19081736170790775</v>
      </c>
      <c r="AP385" s="41" t="str">
        <f t="shared" si="339"/>
        <v>0,0196100354768675-0,203892353182738i</v>
      </c>
      <c r="AQ385">
        <f t="shared" si="340"/>
        <v>-13.771992449545982</v>
      </c>
      <c r="AR385" s="43">
        <f t="shared" si="341"/>
        <v>-84.50628284547561</v>
      </c>
      <c r="AS385" t="str">
        <f t="shared" si="318"/>
        <v>-0,0000166666666666667</v>
      </c>
      <c r="AT385" t="str">
        <f t="shared" si="319"/>
        <v>0,000294768316708946i</v>
      </c>
      <c r="AU385">
        <f t="shared" si="342"/>
        <v>2.9476831670894601E-4</v>
      </c>
      <c r="AV385">
        <f t="shared" si="343"/>
        <v>1.5707963267948966</v>
      </c>
      <c r="AW385" t="str">
        <f t="shared" si="320"/>
        <v>1+0,193385038332564i</v>
      </c>
      <c r="AX385">
        <f t="shared" si="344"/>
        <v>1.0185272569013002</v>
      </c>
      <c r="AY385">
        <f t="shared" si="345"/>
        <v>0.19102700428602851</v>
      </c>
      <c r="AZ385" t="str">
        <f t="shared" si="321"/>
        <v>1+64,6550644825205i</v>
      </c>
      <c r="BA385">
        <f t="shared" si="346"/>
        <v>64.662797366328689</v>
      </c>
      <c r="BB385">
        <f t="shared" si="347"/>
        <v>1.5553308674388395</v>
      </c>
      <c r="BC385" s="41" t="str">
        <f t="shared" si="348"/>
        <v>-3,51337294799414+0,735975343262552i</v>
      </c>
      <c r="BD385">
        <f t="shared" si="349"/>
        <v>11.100995623473423</v>
      </c>
      <c r="BE385" s="43">
        <f t="shared" si="350"/>
        <v>168.16885333204991</v>
      </c>
      <c r="BF385" s="41" t="str">
        <f t="shared" si="351"/>
        <v>0,148292032706504+0,210430212835378i</v>
      </c>
      <c r="BG385" s="20">
        <f t="shared" si="352"/>
        <v>-11.786738453070736</v>
      </c>
      <c r="BH385" s="43">
        <f t="shared" si="353"/>
        <v>54.827308224807609</v>
      </c>
      <c r="BI385" s="41" t="str">
        <f t="shared" si="357"/>
        <v>0,0811623764686434+0,730782380566577i</v>
      </c>
      <c r="BJ385" s="20">
        <f t="shared" si="354"/>
        <v>-2.6709968260725576</v>
      </c>
      <c r="BK385" s="43">
        <f t="shared" si="358"/>
        <v>83.66257048657431</v>
      </c>
      <c r="BL385">
        <f t="shared" si="355"/>
        <v>-11.786738453070736</v>
      </c>
      <c r="BM385" s="43">
        <f t="shared" si="356"/>
        <v>54.827308224807609</v>
      </c>
    </row>
    <row r="386" spans="14:65" x14ac:dyDescent="0.25">
      <c r="N386" s="9">
        <v>68</v>
      </c>
      <c r="O386" s="34">
        <f t="shared" si="359"/>
        <v>47863.009232263823</v>
      </c>
      <c r="P386" s="33" t="str">
        <f t="shared" si="309"/>
        <v>66,7780509511648</v>
      </c>
      <c r="Q386" s="4" t="str">
        <f t="shared" si="310"/>
        <v>1+1172,07647829073i</v>
      </c>
      <c r="R386" s="4">
        <f t="shared" si="322"/>
        <v>1172.0769048839757</v>
      </c>
      <c r="S386" s="4">
        <f t="shared" si="323"/>
        <v>1.569943140355377</v>
      </c>
      <c r="T386" s="4" t="str">
        <f t="shared" si="311"/>
        <v>1+0,300732156365561i</v>
      </c>
      <c r="U386" s="4">
        <f t="shared" si="324"/>
        <v>1.0442412699526293</v>
      </c>
      <c r="V386" s="4">
        <f t="shared" si="325"/>
        <v>0.29212836213633675</v>
      </c>
      <c r="W386" t="str">
        <f t="shared" si="312"/>
        <v>1-0,654204282632586i</v>
      </c>
      <c r="X386" s="4">
        <f t="shared" si="326"/>
        <v>1.1949825284977251</v>
      </c>
      <c r="Y386" s="4">
        <f t="shared" si="327"/>
        <v>-0.57932510392650294</v>
      </c>
      <c r="Z386" t="str">
        <f t="shared" si="313"/>
        <v>0,997709132347232+0,128584076203032i</v>
      </c>
      <c r="AA386" s="4">
        <f t="shared" si="328"/>
        <v>1.0059609224130197</v>
      </c>
      <c r="AB386" s="4">
        <f t="shared" si="329"/>
        <v>0.12817279296235035</v>
      </c>
      <c r="AC386" s="47" t="str">
        <f t="shared" si="330"/>
        <v>-0,028463712964316-0,0646885942565095i</v>
      </c>
      <c r="AD386" s="20">
        <f t="shared" si="331"/>
        <v>-23.014821419258272</v>
      </c>
      <c r="AE386" s="43">
        <f t="shared" si="332"/>
        <v>-113.75003729750954</v>
      </c>
      <c r="AF386" t="str">
        <f t="shared" si="314"/>
        <v>223,849857273222</v>
      </c>
      <c r="AG386" t="str">
        <f t="shared" si="315"/>
        <v>1+1187,13496620867i</v>
      </c>
      <c r="AH386">
        <f t="shared" si="333"/>
        <v>1187.1353873906971</v>
      </c>
      <c r="AI386">
        <f t="shared" si="334"/>
        <v>1.5699539627908543</v>
      </c>
      <c r="AJ386" t="str">
        <f t="shared" si="316"/>
        <v>1+0,300732156365561i</v>
      </c>
      <c r="AK386">
        <f t="shared" si="335"/>
        <v>1.0442412699526293</v>
      </c>
      <c r="AL386">
        <f t="shared" si="336"/>
        <v>0.29212836213633675</v>
      </c>
      <c r="AM386" t="str">
        <f t="shared" si="317"/>
        <v>1-0,197667014988988i</v>
      </c>
      <c r="AN386">
        <f t="shared" si="337"/>
        <v>1.0193489337879629</v>
      </c>
      <c r="AO386">
        <f t="shared" si="338"/>
        <v>-0.19515130190930932</v>
      </c>
      <c r="AP386" s="41" t="str">
        <f t="shared" si="339"/>
        <v>0,0196025502954225-0,199755695569801i</v>
      </c>
      <c r="AQ386">
        <f t="shared" si="340"/>
        <v>-13.948394062204102</v>
      </c>
      <c r="AR386" s="43">
        <f t="shared" si="341"/>
        <v>-84.395359837159972</v>
      </c>
      <c r="AS386" t="str">
        <f t="shared" si="318"/>
        <v>-0,0000166666666666667</v>
      </c>
      <c r="AT386" t="str">
        <f t="shared" si="319"/>
        <v>0,000301634352834658i</v>
      </c>
      <c r="AU386">
        <f t="shared" si="342"/>
        <v>3.0163435283465798E-4</v>
      </c>
      <c r="AV386">
        <f t="shared" si="343"/>
        <v>1.5707963267948966</v>
      </c>
      <c r="AW386" t="str">
        <f t="shared" si="320"/>
        <v>1+0,197889554537657i</v>
      </c>
      <c r="AX386">
        <f t="shared" si="344"/>
        <v>1.0193921109146924</v>
      </c>
      <c r="AY386">
        <f t="shared" si="345"/>
        <v>0.19536546423035334</v>
      </c>
      <c r="AZ386" t="str">
        <f t="shared" si="321"/>
        <v>1+66,1610744004234i</v>
      </c>
      <c r="BA386">
        <f t="shared" si="346"/>
        <v>66.168631282642991</v>
      </c>
      <c r="BB386">
        <f t="shared" si="347"/>
        <v>1.5556828500437647</v>
      </c>
      <c r="BC386" s="41" t="str">
        <f t="shared" si="348"/>
        <v>-3,50741397361206+0,749335126339376i</v>
      </c>
      <c r="BD386">
        <f t="shared" si="349"/>
        <v>11.093576624205792</v>
      </c>
      <c r="BE386" s="43">
        <f t="shared" si="350"/>
        <v>167.94044500537774</v>
      </c>
      <c r="BF386" s="41" t="str">
        <f t="shared" si="351"/>
        <v>0,148307460541843+0,205560819478399i</v>
      </c>
      <c r="BG386" s="20">
        <f t="shared" si="352"/>
        <v>-11.92124479505247</v>
      </c>
      <c r="BH386" s="43">
        <f t="shared" si="353"/>
        <v>54.190407707868225</v>
      </c>
      <c r="BI386" s="41" t="str">
        <f t="shared" si="357"/>
        <v>0,0809297005522087+0,715314797452311i</v>
      </c>
      <c r="BJ386" s="20">
        <f t="shared" si="354"/>
        <v>-2.8548174379983089</v>
      </c>
      <c r="BK386" s="43">
        <f t="shared" si="358"/>
        <v>83.545085168217796</v>
      </c>
      <c r="BL386">
        <f t="shared" si="355"/>
        <v>-11.92124479505247</v>
      </c>
      <c r="BM386" s="43">
        <f t="shared" si="356"/>
        <v>54.190407707868225</v>
      </c>
    </row>
    <row r="387" spans="14:65" x14ac:dyDescent="0.25">
      <c r="N387" s="9">
        <v>69</v>
      </c>
      <c r="O387" s="34">
        <f t="shared" si="359"/>
        <v>48977.881936844598</v>
      </c>
      <c r="P387" s="33" t="str">
        <f t="shared" si="309"/>
        <v>66,7780509511648</v>
      </c>
      <c r="Q387" s="4" t="str">
        <f t="shared" si="310"/>
        <v>1+1199,37764665201i</v>
      </c>
      <c r="R387" s="4">
        <f t="shared" si="322"/>
        <v>1199.3780635348112</v>
      </c>
      <c r="S387" s="4">
        <f t="shared" si="323"/>
        <v>1.569962561240678</v>
      </c>
      <c r="T387" s="4" t="str">
        <f t="shared" si="311"/>
        <v>1+0,307737108162358i</v>
      </c>
      <c r="U387" s="4">
        <f t="shared" si="324"/>
        <v>1.0462801382708795</v>
      </c>
      <c r="V387" s="4">
        <f t="shared" si="325"/>
        <v>0.29853985690560442</v>
      </c>
      <c r="W387" t="str">
        <f t="shared" si="312"/>
        <v>1-0,669442657937982i</v>
      </c>
      <c r="X387" s="4">
        <f t="shared" si="326"/>
        <v>1.2033924847143886</v>
      </c>
      <c r="Y387" s="4">
        <f t="shared" si="327"/>
        <v>-0.58992198213927183</v>
      </c>
      <c r="Z387" t="str">
        <f t="shared" si="313"/>
        <v>0,997601167080981+0,131579184097457i</v>
      </c>
      <c r="AA387" s="4">
        <f t="shared" si="328"/>
        <v>1.0062411094012647</v>
      </c>
      <c r="AB387" s="4">
        <f t="shared" si="329"/>
        <v>0.13113862693844952</v>
      </c>
      <c r="AC387" s="47" t="str">
        <f t="shared" si="330"/>
        <v>-0,0285149659890947-0,063564702334978i</v>
      </c>
      <c r="AD387" s="20">
        <f t="shared" si="331"/>
        <v>-23.139382847215451</v>
      </c>
      <c r="AE387" s="43">
        <f t="shared" si="332"/>
        <v>-114.16088460879524</v>
      </c>
      <c r="AF387" t="str">
        <f t="shared" si="314"/>
        <v>223,849857273222</v>
      </c>
      <c r="AG387" t="str">
        <f t="shared" si="315"/>
        <v>1+1214,78689181278i</v>
      </c>
      <c r="AH387">
        <f t="shared" si="333"/>
        <v>1214.7873034075367</v>
      </c>
      <c r="AI387">
        <f t="shared" si="334"/>
        <v>1.5699731373277899</v>
      </c>
      <c r="AJ387" t="str">
        <f t="shared" si="316"/>
        <v>1+0,307737108162358i</v>
      </c>
      <c r="AK387">
        <f t="shared" si="335"/>
        <v>1.0462801382708795</v>
      </c>
      <c r="AL387">
        <f t="shared" si="336"/>
        <v>0.29853985690560442</v>
      </c>
      <c r="AM387" t="str">
        <f t="shared" si="317"/>
        <v>1-0,202271271243286i</v>
      </c>
      <c r="AN387">
        <f t="shared" si="337"/>
        <v>1.0202517665607715</v>
      </c>
      <c r="AO387">
        <f t="shared" si="338"/>
        <v>-0.19957851755921202</v>
      </c>
      <c r="AP387" s="41" t="str">
        <f t="shared" si="339"/>
        <v>0,0195954020021702-0,195724950503018i</v>
      </c>
      <c r="AQ387">
        <f t="shared" si="340"/>
        <v>-14.123761716224845</v>
      </c>
      <c r="AR387" s="43">
        <f t="shared" si="341"/>
        <v>-84.282767638284923</v>
      </c>
      <c r="AS387" t="str">
        <f t="shared" si="318"/>
        <v>-0,0000166666666666667</v>
      </c>
      <c r="AT387" t="str">
        <f t="shared" si="319"/>
        <v>0,000308660319486846i</v>
      </c>
      <c r="AU387">
        <f t="shared" si="342"/>
        <v>3.0866031948684598E-4</v>
      </c>
      <c r="AV387">
        <f t="shared" si="343"/>
        <v>1.5707963267948966</v>
      </c>
      <c r="AW387" t="str">
        <f t="shared" si="320"/>
        <v>1+0,202498994403944i</v>
      </c>
      <c r="AX387">
        <f t="shared" si="344"/>
        <v>1.0202969385108476</v>
      </c>
      <c r="AY387">
        <f t="shared" si="345"/>
        <v>0.19979728025547777</v>
      </c>
      <c r="AZ387" t="str">
        <f t="shared" si="321"/>
        <v>1+67,7021637957187i</v>
      </c>
      <c r="BA387">
        <f t="shared" si="346"/>
        <v>67.709548681277781</v>
      </c>
      <c r="BB387">
        <f t="shared" si="347"/>
        <v>1.5560268241653543</v>
      </c>
      <c r="BC387" s="41" t="str">
        <f t="shared" si="348"/>
        <v>-3,50119578826947+0,762985417029222i</v>
      </c>
      <c r="BD387">
        <f t="shared" si="349"/>
        <v>11.08582567468326</v>
      </c>
      <c r="BE387" s="43">
        <f t="shared" si="350"/>
        <v>167.70622891698844</v>
      </c>
      <c r="BF387" s="41" t="str">
        <f t="shared" si="351"/>
        <v>0,148335419743057+0,200795964881064i</v>
      </c>
      <c r="BG387" s="20">
        <f t="shared" si="352"/>
        <v>-12.053557172532196</v>
      </c>
      <c r="BH387" s="43">
        <f t="shared" si="353"/>
        <v>53.545344308193194</v>
      </c>
      <c r="BI387" s="41" t="str">
        <f t="shared" si="357"/>
        <v>0,0807279440231236+0,700222378328898i</v>
      </c>
      <c r="BJ387" s="20">
        <f t="shared" si="354"/>
        <v>-3.0379360415415886</v>
      </c>
      <c r="BK387" s="43">
        <f t="shared" si="358"/>
        <v>83.423461278703513</v>
      </c>
      <c r="BL387">
        <f t="shared" si="355"/>
        <v>-12.053557172532196</v>
      </c>
      <c r="BM387" s="43">
        <f t="shared" si="356"/>
        <v>53.545344308193194</v>
      </c>
    </row>
    <row r="388" spans="14:65" x14ac:dyDescent="0.25">
      <c r="N388" s="9">
        <v>70</v>
      </c>
      <c r="O388" s="34">
        <f t="shared" si="359"/>
        <v>50118.723362727294</v>
      </c>
      <c r="P388" s="33" t="str">
        <f t="shared" si="309"/>
        <v>66,7780509511648</v>
      </c>
      <c r="Q388" s="4" t="str">
        <f t="shared" si="310"/>
        <v>1+1227,31474091719i</v>
      </c>
      <c r="R388" s="4">
        <f t="shared" si="322"/>
        <v>1227.3151483105833</v>
      </c>
      <c r="S388" s="4">
        <f t="shared" si="323"/>
        <v>1.5699815400532657</v>
      </c>
      <c r="T388" s="4" t="str">
        <f t="shared" si="311"/>
        <v>1+0,314905226247286i</v>
      </c>
      <c r="U388" s="4">
        <f t="shared" si="324"/>
        <v>1.048410845765082</v>
      </c>
      <c r="V388" s="4">
        <f t="shared" si="325"/>
        <v>0.30507460357239852</v>
      </c>
      <c r="W388" t="str">
        <f t="shared" si="312"/>
        <v>1-0,68503598060174i</v>
      </c>
      <c r="X388" s="4">
        <f t="shared" si="326"/>
        <v>1.212136252538875</v>
      </c>
      <c r="Y388" s="4">
        <f t="shared" si="327"/>
        <v>-0.60061224052573647</v>
      </c>
      <c r="Z388" t="str">
        <f t="shared" si="313"/>
        <v>0,99748811356849+0,134644057016947i</v>
      </c>
      <c r="AA388" s="4">
        <f t="shared" si="328"/>
        <v>1.0065344300124104</v>
      </c>
      <c r="AB388" s="4">
        <f t="shared" si="329"/>
        <v>0.13417214934256208</v>
      </c>
      <c r="AC388" s="47" t="str">
        <f t="shared" si="330"/>
        <v>-0,0285683736027986-0,0624739899280848i</v>
      </c>
      <c r="AD388" s="20">
        <f t="shared" si="331"/>
        <v>-23.261360904997094</v>
      </c>
      <c r="AE388" s="43">
        <f t="shared" si="332"/>
        <v>-114.57387332872493</v>
      </c>
      <c r="AF388" t="str">
        <f t="shared" si="314"/>
        <v>223,849857273222</v>
      </c>
      <c r="AG388" t="str">
        <f t="shared" si="315"/>
        <v>1+1243,08291350654i</v>
      </c>
      <c r="AH388">
        <f t="shared" si="333"/>
        <v>1243.0833157322595</v>
      </c>
      <c r="AI388">
        <f t="shared" si="334"/>
        <v>1.5699918753995628</v>
      </c>
      <c r="AJ388" t="str">
        <f t="shared" si="316"/>
        <v>1+0,314905226247286i</v>
      </c>
      <c r="AK388">
        <f t="shared" si="335"/>
        <v>1.048410845765082</v>
      </c>
      <c r="AL388">
        <f t="shared" si="336"/>
        <v>0.30507460357239852</v>
      </c>
      <c r="AM388" t="str">
        <f t="shared" si="317"/>
        <v>1-0,206982774402974i</v>
      </c>
      <c r="AN388">
        <f t="shared" si="337"/>
        <v>1.0211962930306555</v>
      </c>
      <c r="AO388">
        <f t="shared" si="338"/>
        <v>-0.20410066149936756</v>
      </c>
      <c r="AP388" s="41" t="str">
        <f t="shared" si="339"/>
        <v>0,0195885754346853-0,191797980865894i</v>
      </c>
      <c r="AQ388">
        <f t="shared" si="340"/>
        <v>-14.29805362056311</v>
      </c>
      <c r="AR388" s="43">
        <f t="shared" si="341"/>
        <v>-84.168527608640844</v>
      </c>
      <c r="AS388" t="str">
        <f t="shared" si="318"/>
        <v>-0,0000166666666666667</v>
      </c>
      <c r="AT388" t="str">
        <f t="shared" si="319"/>
        <v>0,000315849941926028i</v>
      </c>
      <c r="AU388">
        <f t="shared" si="342"/>
        <v>3.15849941926028E-4</v>
      </c>
      <c r="AV388">
        <f t="shared" si="343"/>
        <v>1.5707963267948966</v>
      </c>
      <c r="AW388" t="str">
        <f t="shared" si="320"/>
        <v>1+0,207215801917456i</v>
      </c>
      <c r="AX388">
        <f t="shared" si="344"/>
        <v>1.0212435500723098</v>
      </c>
      <c r="AY388">
        <f t="shared" si="345"/>
        <v>0.20432410547515234</v>
      </c>
      <c r="AZ388" t="str">
        <f t="shared" si="321"/>
        <v>1+69,2791497744029i</v>
      </c>
      <c r="BA388">
        <f t="shared" si="346"/>
        <v>69.286366577156784</v>
      </c>
      <c r="BB388">
        <f t="shared" si="347"/>
        <v>1.5563629718574665</v>
      </c>
      <c r="BC388" s="41" t="str">
        <f t="shared" si="348"/>
        <v>-3,49470813627229+0,776926422602798i</v>
      </c>
      <c r="BD388">
        <f t="shared" si="349"/>
        <v>11.077728176574897</v>
      </c>
      <c r="BE388" s="43">
        <f t="shared" si="350"/>
        <v>167.46612078135888</v>
      </c>
      <c r="BF388" s="41" t="str">
        <f t="shared" si="351"/>
        <v>0,148375821170317+0,196132836604269i</v>
      </c>
      <c r="BG388" s="20">
        <f t="shared" si="352"/>
        <v>-12.183632728422181</v>
      </c>
      <c r="BH388" s="43">
        <f t="shared" si="353"/>
        <v>52.89224745263401</v>
      </c>
      <c r="BI388" s="41" t="str">
        <f t="shared" si="357"/>
        <v>0,0805565651870007+0,685496846088992i</v>
      </c>
      <c r="BJ388" s="20">
        <f t="shared" si="354"/>
        <v>-3.2203254439882087</v>
      </c>
      <c r="BK388" s="43">
        <f t="shared" si="358"/>
        <v>83.297593172718052</v>
      </c>
      <c r="BL388">
        <f t="shared" si="355"/>
        <v>-12.183632728422181</v>
      </c>
      <c r="BM388" s="43">
        <f t="shared" si="356"/>
        <v>52.89224745263401</v>
      </c>
    </row>
    <row r="389" spans="14:65" x14ac:dyDescent="0.25">
      <c r="N389" s="9">
        <v>71</v>
      </c>
      <c r="O389" s="34">
        <f t="shared" si="359"/>
        <v>51286.138399136544</v>
      </c>
      <c r="P389" s="33" t="str">
        <f t="shared" si="309"/>
        <v>66,7780509511648</v>
      </c>
      <c r="Q389" s="4" t="str">
        <f t="shared" si="310"/>
        <v>1+1255,90257370343i</v>
      </c>
      <c r="R389" s="4">
        <f t="shared" si="322"/>
        <v>1255.9029718234208</v>
      </c>
      <c r="S389" s="4">
        <f t="shared" si="323"/>
        <v>1.5700000868559032</v>
      </c>
      <c r="T389" s="4" t="str">
        <f t="shared" si="311"/>
        <v>1+0,322240311251434i</v>
      </c>
      <c r="U389" s="4">
        <f t="shared" si="324"/>
        <v>1.0506373390449346</v>
      </c>
      <c r="V389" s="4">
        <f t="shared" si="325"/>
        <v>0.31173383371855518</v>
      </c>
      <c r="W389" t="str">
        <f t="shared" si="312"/>
        <v>1-0,700992518409937i</v>
      </c>
      <c r="X389" s="4">
        <f t="shared" si="326"/>
        <v>1.22122500419321</v>
      </c>
      <c r="Y389" s="4">
        <f t="shared" si="327"/>
        <v>-0.61139177357294328</v>
      </c>
      <c r="Z389" t="str">
        <f t="shared" si="313"/>
        <v>0,997369732008105+0,137780319997693i</v>
      </c>
      <c r="AA389" s="4">
        <f t="shared" si="328"/>
        <v>1.0068414964156898</v>
      </c>
      <c r="AB389" s="4">
        <f t="shared" si="329"/>
        <v>0.13727483875346777</v>
      </c>
      <c r="AC389" s="47" t="str">
        <f t="shared" si="330"/>
        <v>-0,0286240408186155-0,0614158422719489i</v>
      </c>
      <c r="AD389" s="20">
        <f t="shared" si="331"/>
        <v>-23.380698726324546</v>
      </c>
      <c r="AE389" s="43">
        <f t="shared" si="332"/>
        <v>-114.98878295716996</v>
      </c>
      <c r="AF389" t="str">
        <f t="shared" si="314"/>
        <v>223,849857273222</v>
      </c>
      <c r="AG389" t="str">
        <f t="shared" si="315"/>
        <v>1+1272,03803421519i</v>
      </c>
      <c r="AH389">
        <f t="shared" si="333"/>
        <v>1272.038427285137</v>
      </c>
      <c r="AI389">
        <f t="shared" si="334"/>
        <v>1.5700101869412941</v>
      </c>
      <c r="AJ389" t="str">
        <f t="shared" si="316"/>
        <v>1+0,322240311251434i</v>
      </c>
      <c r="AK389">
        <f t="shared" si="335"/>
        <v>1.0506373390449346</v>
      </c>
      <c r="AL389">
        <f t="shared" si="336"/>
        <v>0.31173383371855518</v>
      </c>
      <c r="AM389" t="str">
        <f t="shared" si="317"/>
        <v>1-0,211804022569392i</v>
      </c>
      <c r="AN389">
        <f t="shared" si="337"/>
        <v>1.0221843982259637</v>
      </c>
      <c r="AO389">
        <f t="shared" si="338"/>
        <v>-0.20871939126603367</v>
      </c>
      <c r="AP389" s="41" t="str">
        <f t="shared" si="339"/>
        <v>0,0195820561129606-0,187972704562512i</v>
      </c>
      <c r="AQ389">
        <f t="shared" si="340"/>
        <v>-14.471226602352409</v>
      </c>
      <c r="AR389" s="43">
        <f t="shared" si="341"/>
        <v>-84.052664722858779</v>
      </c>
      <c r="AS389" t="str">
        <f t="shared" si="318"/>
        <v>-0,0000166666666666667</v>
      </c>
      <c r="AT389" t="str">
        <f t="shared" si="319"/>
        <v>0,000323207032185188i</v>
      </c>
      <c r="AU389">
        <f t="shared" si="342"/>
        <v>3.23207032185188E-4</v>
      </c>
      <c r="AV389">
        <f t="shared" si="343"/>
        <v>1.5707963267948966</v>
      </c>
      <c r="AW389" t="str">
        <f t="shared" si="320"/>
        <v>1+0,21204247799197i</v>
      </c>
      <c r="AX389">
        <f t="shared" si="344"/>
        <v>1.02223383453737</v>
      </c>
      <c r="AY389">
        <f t="shared" si="345"/>
        <v>0.20894759760685377</v>
      </c>
      <c r="AZ389" t="str">
        <f t="shared" si="321"/>
        <v>1+70,8928684753154i</v>
      </c>
      <c r="BA389">
        <f t="shared" si="346"/>
        <v>70.899921020113752</v>
      </c>
      <c r="BB389">
        <f t="shared" si="347"/>
        <v>1.5566914710460182</v>
      </c>
      <c r="BC389" s="41" t="str">
        <f t="shared" si="348"/>
        <v>-3,48794045012292+0,791158070913572i</v>
      </c>
      <c r="BD389">
        <f t="shared" si="349"/>
        <v>11.069268964491986</v>
      </c>
      <c r="BE389" s="43">
        <f t="shared" si="350"/>
        <v>167.22003581267785</v>
      </c>
      <c r="BF389" s="41" t="str">
        <f t="shared" si="351"/>
        <v>0,148428589112626+0,191568659622893i</v>
      </c>
      <c r="BG389" s="20">
        <f t="shared" si="352"/>
        <v>-12.311429761832546</v>
      </c>
      <c r="BH389" s="43">
        <f t="shared" si="353"/>
        <v>52.231252855507933</v>
      </c>
      <c r="BI389" s="41" t="str">
        <f t="shared" si="357"/>
        <v>0,0804150767131117+0,671130101501442i</v>
      </c>
      <c r="BJ389" s="20">
        <f t="shared" si="354"/>
        <v>-3.4019576378604235</v>
      </c>
      <c r="BK389" s="43">
        <f t="shared" si="358"/>
        <v>83.167371089819071</v>
      </c>
      <c r="BL389">
        <f t="shared" si="355"/>
        <v>-12.311429761832546</v>
      </c>
      <c r="BM389" s="43">
        <f t="shared" si="356"/>
        <v>52.231252855507933</v>
      </c>
    </row>
    <row r="390" spans="14:65" x14ac:dyDescent="0.25">
      <c r="N390" s="9">
        <v>72</v>
      </c>
      <c r="O390" s="34">
        <f t="shared" si="359"/>
        <v>52480.746024977314</v>
      </c>
      <c r="P390" s="33" t="str">
        <f t="shared" si="309"/>
        <v>66,7780509511648</v>
      </c>
      <c r="Q390" s="4" t="str">
        <f t="shared" si="310"/>
        <v>1+1285,15630265808i</v>
      </c>
      <c r="R390" s="4">
        <f t="shared" si="322"/>
        <v>1285.1566917157561</v>
      </c>
      <c r="S390" s="4">
        <f t="shared" si="323"/>
        <v>1.5700182114822996</v>
      </c>
      <c r="T390" s="4" t="str">
        <f t="shared" si="311"/>
        <v>1+0,329746252333961i</v>
      </c>
      <c r="U390" s="4">
        <f t="shared" si="324"/>
        <v>1.0529637177644311</v>
      </c>
      <c r="V390" s="4">
        <f t="shared" si="325"/>
        <v>0.31851871487606248</v>
      </c>
      <c r="W390" t="str">
        <f t="shared" si="312"/>
        <v>1-0,717320731730125i</v>
      </c>
      <c r="X390" s="4">
        <f t="shared" si="326"/>
        <v>1.2306701557159181</v>
      </c>
      <c r="Y390" s="4">
        <f t="shared" si="327"/>
        <v>-0.62225627628841718</v>
      </c>
      <c r="Z390" t="str">
        <f t="shared" si="313"/>
        <v>0,997245771296662+0,140989635927839i</v>
      </c>
      <c r="AA390" s="4">
        <f t="shared" si="328"/>
        <v>1.0071629489849887</v>
      </c>
      <c r="AB390" s="4">
        <f t="shared" si="329"/>
        <v>0.14044820137494188</v>
      </c>
      <c r="AC390" s="47" t="str">
        <f t="shared" si="330"/>
        <v>-0,0286820766654772-0,0603896593739885i</v>
      </c>
      <c r="AD390" s="20">
        <f t="shared" si="331"/>
        <v>-23.49734015560816</v>
      </c>
      <c r="AE390" s="43">
        <f t="shared" si="332"/>
        <v>-115.4053868041249</v>
      </c>
      <c r="AF390" t="str">
        <f t="shared" si="314"/>
        <v>223,849857273222</v>
      </c>
      <c r="AG390" t="str">
        <f t="shared" si="315"/>
        <v>1+1301,66760632698i</v>
      </c>
      <c r="AH390">
        <f t="shared" si="333"/>
        <v>1301.6679904495652</v>
      </c>
      <c r="AI390">
        <f t="shared" si="334"/>
        <v>1.5700280816619565</v>
      </c>
      <c r="AJ390" t="str">
        <f t="shared" si="316"/>
        <v>1+0,329746252333961i</v>
      </c>
      <c r="AK390">
        <f t="shared" si="335"/>
        <v>1.0529637177644311</v>
      </c>
      <c r="AL390">
        <f t="shared" si="336"/>
        <v>0.31851871487606248</v>
      </c>
      <c r="AM390" t="str">
        <f t="shared" si="317"/>
        <v>1-0,216737572032134i</v>
      </c>
      <c r="AN390">
        <f t="shared" si="337"/>
        <v>1.0232180486730991</v>
      </c>
      <c r="AO390">
        <f t="shared" si="338"/>
        <v>-0.2134363671636626</v>
      </c>
      <c r="AP390" s="41" t="str">
        <f t="shared" si="339"/>
        <v>0,019575830208693-0,184247093413746i</v>
      </c>
      <c r="AQ390">
        <f t="shared" si="340"/>
        <v>-14.643236087817638</v>
      </c>
      <c r="AR390" s="43">
        <f t="shared" si="341"/>
        <v>-83.935207771004386</v>
      </c>
      <c r="AS390" t="str">
        <f t="shared" si="318"/>
        <v>-0,0000166666666666667</v>
      </c>
      <c r="AT390" t="str">
        <f t="shared" si="319"/>
        <v>0,000330735491090963i</v>
      </c>
      <c r="AU390">
        <f t="shared" si="342"/>
        <v>3.30735491090963E-4</v>
      </c>
      <c r="AV390">
        <f t="shared" si="343"/>
        <v>1.5707963267948966</v>
      </c>
      <c r="AW390" t="str">
        <f t="shared" si="320"/>
        <v>1+0,216981581795029i</v>
      </c>
      <c r="AX390">
        <f t="shared" si="344"/>
        <v>1.0232697624958302</v>
      </c>
      <c r="AY390">
        <f t="shared" si="345"/>
        <v>0.21366941703836653</v>
      </c>
      <c r="AZ390" t="str">
        <f t="shared" si="321"/>
        <v>1+72,5441755134714i</v>
      </c>
      <c r="BA390">
        <f t="shared" si="346"/>
        <v>72.551067538178543</v>
      </c>
      <c r="BB390">
        <f t="shared" si="347"/>
        <v>1.5570124956218732</v>
      </c>
      <c r="BC390" s="41" t="str">
        <f t="shared" si="348"/>
        <v>-3,48088184996492+0,80567998699078i</v>
      </c>
      <c r="BD390">
        <f t="shared" si="349"/>
        <v>11.060432288668062</v>
      </c>
      <c r="BE390" s="43">
        <f t="shared" si="350"/>
        <v>166.96788884094576</v>
      </c>
      <c r="BF390" s="41" t="str">
        <f t="shared" si="351"/>
        <v>0,148493660062975+0,18710069408577i</v>
      </c>
      <c r="BG390" s="20">
        <f t="shared" si="352"/>
        <v>-12.436907866940089</v>
      </c>
      <c r="BH390" s="43">
        <f t="shared" si="353"/>
        <v>51.562502036820753</v>
      </c>
      <c r="BI390" s="41" t="str">
        <f t="shared" si="357"/>
        <v>0,0803030437532415+0,657114218000573i</v>
      </c>
      <c r="BJ390" s="20">
        <f t="shared" si="354"/>
        <v>-3.5828037991495738</v>
      </c>
      <c r="BK390" s="43">
        <f t="shared" si="358"/>
        <v>83.032681069941376</v>
      </c>
      <c r="BL390">
        <f t="shared" si="355"/>
        <v>-12.436907866940089</v>
      </c>
      <c r="BM390" s="43">
        <f t="shared" si="356"/>
        <v>51.562502036820753</v>
      </c>
    </row>
    <row r="391" spans="14:65" x14ac:dyDescent="0.25">
      <c r="N391" s="9">
        <v>73</v>
      </c>
      <c r="O391" s="34">
        <f t="shared" si="359"/>
        <v>53703.179637025423</v>
      </c>
      <c r="P391" s="33" t="str">
        <f t="shared" si="309"/>
        <v>66,7780509511648</v>
      </c>
      <c r="Q391" s="4" t="str">
        <f t="shared" si="310"/>
        <v>1+1315,09143849546i</v>
      </c>
      <c r="R391" s="4">
        <f t="shared" si="322"/>
        <v>1315.0918186971044</v>
      </c>
      <c r="S391" s="4">
        <f t="shared" si="323"/>
        <v>1.570035923542324</v>
      </c>
      <c r="T391" s="4" t="str">
        <f t="shared" si="311"/>
        <v>1+0,337427029244184i</v>
      </c>
      <c r="U391" s="4">
        <f t="shared" si="324"/>
        <v>1.0553942391658935</v>
      </c>
      <c r="V391" s="4">
        <f t="shared" si="325"/>
        <v>0.32543034490374056</v>
      </c>
      <c r="W391" t="str">
        <f t="shared" si="312"/>
        <v>1-0,734029277997141i</v>
      </c>
      <c r="X391" s="4">
        <f t="shared" si="326"/>
        <v>1.2404833658526035</v>
      </c>
      <c r="Y391" s="4">
        <f t="shared" si="327"/>
        <v>-0.63320124999486038</v>
      </c>
      <c r="Z391" t="str">
        <f t="shared" si="313"/>
        <v>0,997115968496873+0,144273706429172i</v>
      </c>
      <c r="AA391" s="4">
        <f t="shared" si="328"/>
        <v>1.0074994575672325</v>
      </c>
      <c r="AB391" s="4">
        <f t="shared" si="329"/>
        <v>0.14369377121558877</v>
      </c>
      <c r="AC391" s="47" t="str">
        <f t="shared" si="330"/>
        <v>-0,0287425943473602-0,0593948555299103i</v>
      </c>
      <c r="AD391" s="20">
        <f t="shared" si="331"/>
        <v>-23.611229870724095</v>
      </c>
      <c r="AE391" s="43">
        <f t="shared" si="332"/>
        <v>-115.82345265451382</v>
      </c>
      <c r="AF391" t="str">
        <f t="shared" si="314"/>
        <v>223,849857273222</v>
      </c>
      <c r="AG391" t="str">
        <f t="shared" si="315"/>
        <v>1+1331,98733983327i</v>
      </c>
      <c r="AH391">
        <f t="shared" si="333"/>
        <v>1331.9877152121605</v>
      </c>
      <c r="AI391">
        <f t="shared" si="334"/>
        <v>1.5700455690495219</v>
      </c>
      <c r="AJ391" t="str">
        <f t="shared" si="316"/>
        <v>1+0,337427029244184i</v>
      </c>
      <c r="AK391">
        <f t="shared" si="335"/>
        <v>1.0553942391658935</v>
      </c>
      <c r="AL391">
        <f t="shared" si="336"/>
        <v>0.32543034490374056</v>
      </c>
      <c r="AM391" t="str">
        <f t="shared" si="317"/>
        <v>1-0,221786038624428i</v>
      </c>
      <c r="AN391">
        <f t="shared" si="337"/>
        <v>1.02429929558148</v>
      </c>
      <c r="AO391">
        <f t="shared" si="338"/>
        <v>-0.21825325018994499</v>
      </c>
      <c r="AP391" s="41" t="str">
        <f t="shared" si="339"/>
        <v>0,0195698845159529-0,180619172082048i</v>
      </c>
      <c r="AQ391">
        <f t="shared" si="340"/>
        <v>-14.814036085407116</v>
      </c>
      <c r="AR391" s="43">
        <f t="shared" si="341"/>
        <v>-83.81618956217892</v>
      </c>
      <c r="AS391" t="str">
        <f t="shared" si="318"/>
        <v>-0,0000166666666666667</v>
      </c>
      <c r="AT391" t="str">
        <f t="shared" si="319"/>
        <v>0,000338439310331917i</v>
      </c>
      <c r="AU391">
        <f t="shared" si="342"/>
        <v>3.3843931033191701E-4</v>
      </c>
      <c r="AV391">
        <f t="shared" si="343"/>
        <v>1.5707963267948966</v>
      </c>
      <c r="AW391" t="str">
        <f t="shared" si="320"/>
        <v>1+0,222035732104847i</v>
      </c>
      <c r="AX391">
        <f t="shared" si="344"/>
        <v>1.0243533893785559</v>
      </c>
      <c r="AY391">
        <f t="shared" si="345"/>
        <v>0.21849122474539409</v>
      </c>
      <c r="AZ391" t="str">
        <f t="shared" si="321"/>
        <v>1+74,2339464337204i</v>
      </c>
      <c r="BA391">
        <f t="shared" si="346"/>
        <v>74.240681591190082</v>
      </c>
      <c r="BB391">
        <f t="shared" si="347"/>
        <v>1.5573262155316885</v>
      </c>
      <c r="BC391" s="41" t="str">
        <f t="shared" si="348"/>
        <v>-3,47352114404581+0,820491468602625i</v>
      </c>
      <c r="BD391">
        <f t="shared" si="349"/>
        <v>11.051201797643571</v>
      </c>
      <c r="BE391" s="43">
        <f t="shared" si="350"/>
        <v>166.7095944364911</v>
      </c>
      <c r="BF391" s="41" t="str">
        <f t="shared" si="351"/>
        <v>0,148570981441464+0,182726233083175i</v>
      </c>
      <c r="BG391" s="20">
        <f t="shared" si="352"/>
        <v>-12.560028073080518</v>
      </c>
      <c r="BH391" s="43">
        <f t="shared" si="353"/>
        <v>50.886141781977393</v>
      </c>
      <c r="BI391" s="41" t="str">
        <f t="shared" si="357"/>
        <v>0,0802200821066927+0,64344143653392i</v>
      </c>
      <c r="BJ391" s="20">
        <f t="shared" si="354"/>
        <v>-3.7628342877635488</v>
      </c>
      <c r="BK391" s="43">
        <f t="shared" si="358"/>
        <v>82.893404874312182</v>
      </c>
      <c r="BL391">
        <f t="shared" si="355"/>
        <v>-12.560028073080518</v>
      </c>
      <c r="BM391" s="43">
        <f t="shared" si="356"/>
        <v>50.886141781977393</v>
      </c>
    </row>
    <row r="392" spans="14:65" x14ac:dyDescent="0.25">
      <c r="N392" s="9">
        <v>74</v>
      </c>
      <c r="O392" s="34">
        <f t="shared" si="359"/>
        <v>54954.087385762505</v>
      </c>
      <c r="P392" s="33" t="str">
        <f t="shared" si="309"/>
        <v>66,7780509511648</v>
      </c>
      <c r="Q392" s="4" t="str">
        <f t="shared" si="310"/>
        <v>1+1345,72385322082i</v>
      </c>
      <c r="R392" s="4">
        <f t="shared" si="322"/>
        <v>1345.7242247680208</v>
      </c>
      <c r="S392" s="4">
        <f t="shared" si="323"/>
        <v>1.5700532324271008</v>
      </c>
      <c r="T392" s="4" t="str">
        <f t="shared" si="311"/>
        <v>1+0,345286714431686i</v>
      </c>
      <c r="U392" s="4">
        <f t="shared" si="324"/>
        <v>1.0579333226451602</v>
      </c>
      <c r="V392" s="4">
        <f t="shared" si="325"/>
        <v>0.3324697461698124</v>
      </c>
      <c r="W392" t="str">
        <f t="shared" si="312"/>
        <v>1-0,751127016303374i</v>
      </c>
      <c r="X392" s="4">
        <f t="shared" si="326"/>
        <v>1.2506765347686064</v>
      </c>
      <c r="Y392" s="4">
        <f t="shared" si="327"/>
        <v>-0.64422200911861138</v>
      </c>
      <c r="Z392" t="str">
        <f t="shared" si="313"/>
        <v>0,996980048279598+0,147634272759342i</v>
      </c>
      <c r="AA392" s="4">
        <f t="shared" si="328"/>
        <v>1.0078517228048824</v>
      </c>
      <c r="AB392" s="4">
        <f t="shared" si="329"/>
        <v>0.14701311024250999</v>
      </c>
      <c r="AC392" s="47" t="str">
        <f t="shared" si="330"/>
        <v>-0,0288057114049361-0,0584308588380525i</v>
      </c>
      <c r="AD392" s="20">
        <f t="shared" si="331"/>
        <v>-23.722313506467749</v>
      </c>
      <c r="AE392" s="43">
        <f t="shared" si="332"/>
        <v>-116.24274349955158</v>
      </c>
      <c r="AF392" t="str">
        <f t="shared" si="314"/>
        <v>223,849857273222</v>
      </c>
      <c r="AG392" t="str">
        <f t="shared" si="315"/>
        <v>1+1363,01331065806i</v>
      </c>
      <c r="AH392">
        <f t="shared" si="333"/>
        <v>1363.0136774922858</v>
      </c>
      <c r="AI392">
        <f t="shared" si="334"/>
        <v>1.5700626583759918</v>
      </c>
      <c r="AJ392" t="str">
        <f t="shared" si="316"/>
        <v>1+0,345286714431686i</v>
      </c>
      <c r="AK392">
        <f t="shared" si="335"/>
        <v>1.0579333226451602</v>
      </c>
      <c r="AL392">
        <f t="shared" si="336"/>
        <v>0.3324697461698124</v>
      </c>
      <c r="AM392" t="str">
        <f t="shared" si="317"/>
        <v>1-0,226952099110085i</v>
      </c>
      <c r="AN392">
        <f t="shared" si="337"/>
        <v>1.0254302781225419</v>
      </c>
      <c r="AO392">
        <f t="shared" si="338"/>
        <v>-0.22317169980565266</v>
      </c>
      <c r="AP392" s="41" t="str">
        <f t="shared" si="339"/>
        <v>0,0195642064231727-0,177087017024254i</v>
      </c>
      <c r="AQ392">
        <f t="shared" si="340"/>
        <v>-14.983579171396768</v>
      </c>
      <c r="AR392" s="43">
        <f t="shared" si="341"/>
        <v>-83.695647130343161</v>
      </c>
      <c r="AS392" t="str">
        <f t="shared" si="318"/>
        <v>-0,0000166666666666667</v>
      </c>
      <c r="AT392" t="str">
        <f t="shared" si="319"/>
        <v>0,000346322574574981i</v>
      </c>
      <c r="AU392">
        <f t="shared" si="342"/>
        <v>3.46322574574981E-4</v>
      </c>
      <c r="AV392">
        <f t="shared" si="343"/>
        <v>1.5707963267948966</v>
      </c>
      <c r="AW392" t="str">
        <f t="shared" si="320"/>
        <v>1+0,227207608698816i</v>
      </c>
      <c r="AX392">
        <f t="shared" si="344"/>
        <v>1.0254868587410735</v>
      </c>
      <c r="AY392">
        <f t="shared" si="345"/>
        <v>0.2234146800536464</v>
      </c>
      <c r="AZ392" t="str">
        <f t="shared" si="321"/>
        <v>1+75,9630771749708i</v>
      </c>
      <c r="BA392">
        <f t="shared" si="346"/>
        <v>75.969659034976388</v>
      </c>
      <c r="BB392">
        <f t="shared" si="347"/>
        <v>1.5576327968667607</v>
      </c>
      <c r="BC392" s="41" t="str">
        <f t="shared" si="348"/>
        <v>-3,46584683030706+0,835591460792078i</v>
      </c>
      <c r="BD392">
        <f t="shared" si="349"/>
        <v>11.041560521015013</v>
      </c>
      <c r="BE392" s="43">
        <f t="shared" si="350"/>
        <v>166.4450670432841</v>
      </c>
      <c r="BF392" s="41" t="str">
        <f t="shared" si="351"/>
        <v>0,148660510259362+0,178442600423978i</v>
      </c>
      <c r="BG392" s="20">
        <f t="shared" si="352"/>
        <v>-12.680752985452727</v>
      </c>
      <c r="BH392" s="43">
        <f t="shared" si="353"/>
        <v>50.202323543732454</v>
      </c>
      <c r="BI392" s="41" t="str">
        <f t="shared" si="357"/>
        <v>0,0801658564233819+0,63010416046642i</v>
      </c>
      <c r="BJ392" s="20">
        <f t="shared" si="354"/>
        <v>-3.9420186503817511</v>
      </c>
      <c r="BK392" s="43">
        <f t="shared" si="358"/>
        <v>82.749419912940937</v>
      </c>
      <c r="BL392">
        <f t="shared" si="355"/>
        <v>-12.680752985452727</v>
      </c>
      <c r="BM392" s="43">
        <f t="shared" si="356"/>
        <v>50.202323543732454</v>
      </c>
    </row>
    <row r="393" spans="14:65" x14ac:dyDescent="0.25">
      <c r="N393" s="9">
        <v>75</v>
      </c>
      <c r="O393" s="34">
        <f t="shared" si="359"/>
        <v>56234.132519034953</v>
      </c>
      <c r="P393" s="33" t="str">
        <f t="shared" si="309"/>
        <v>66,7780509511648</v>
      </c>
      <c r="Q393" s="4" t="str">
        <f t="shared" si="310"/>
        <v>1+1377,06978854592i</v>
      </c>
      <c r="R393" s="4">
        <f t="shared" si="322"/>
        <v>1377.0701516356762</v>
      </c>
      <c r="S393" s="4">
        <f t="shared" si="323"/>
        <v>1.570070147313988</v>
      </c>
      <c r="T393" s="4" t="str">
        <f t="shared" si="311"/>
        <v>1+0,35332947520559i</v>
      </c>
      <c r="U393" s="4">
        <f t="shared" si="324"/>
        <v>1.0605855543279181</v>
      </c>
      <c r="V393" s="4">
        <f t="shared" si="325"/>
        <v>0.33963785954948184</v>
      </c>
      <c r="W393" t="str">
        <f t="shared" si="312"/>
        <v>1-0,768623012095994i</v>
      </c>
      <c r="X393" s="4">
        <f t="shared" si="326"/>
        <v>1.2612618026101949</v>
      </c>
      <c r="Y393" s="4">
        <f t="shared" si="327"/>
        <v>-0.65531368896627162</v>
      </c>
      <c r="Z393" t="str">
        <f t="shared" si="313"/>
        <v>0,996837722339832+0,1510731167351i</v>
      </c>
      <c r="AA393" s="4">
        <f t="shared" si="328"/>
        <v>1.0082204775145767</v>
      </c>
      <c r="AB393" s="4">
        <f t="shared" si="329"/>
        <v>0.15040780850636137</v>
      </c>
      <c r="AC393" s="47" t="str">
        <f t="shared" si="330"/>
        <v>-0,0288715498793401-0,0574971107102579i</v>
      </c>
      <c r="AD393" s="20">
        <f t="shared" si="331"/>
        <v>-23.830537778124722</v>
      </c>
      <c r="AE393" s="43">
        <f t="shared" si="332"/>
        <v>-116.66301833367514</v>
      </c>
      <c r="AF393" t="str">
        <f t="shared" si="314"/>
        <v>223,849857273222</v>
      </c>
      <c r="AG393" t="str">
        <f t="shared" si="315"/>
        <v>1+1394,76196918179i</v>
      </c>
      <c r="AH393">
        <f t="shared" si="333"/>
        <v>1394.7623276658517</v>
      </c>
      <c r="AI393">
        <f t="shared" si="334"/>
        <v>1.5700793587023132</v>
      </c>
      <c r="AJ393" t="str">
        <f t="shared" si="316"/>
        <v>1+0,35332947520559i</v>
      </c>
      <c r="AK393">
        <f t="shared" si="335"/>
        <v>1.0605855543279181</v>
      </c>
      <c r="AL393">
        <f t="shared" si="336"/>
        <v>0.33963785954948184</v>
      </c>
      <c r="AM393" t="str">
        <f t="shared" si="317"/>
        <v>1-0,232238492602757i</v>
      </c>
      <c r="AN393">
        <f t="shared" si="337"/>
        <v>1.0266132268027726</v>
      </c>
      <c r="AO393">
        <f t="shared" si="338"/>
        <v>-0.22819337154276864</v>
      </c>
      <c r="AP393" s="41" t="str">
        <f t="shared" si="339"/>
        <v>0,0195587838863956-0,173648755471823i</v>
      </c>
      <c r="AQ393">
        <f t="shared" si="340"/>
        <v>-15.151816478232362</v>
      </c>
      <c r="AR393" s="43">
        <f t="shared" si="341"/>
        <v>-83.57362194146846</v>
      </c>
      <c r="AS393" t="str">
        <f t="shared" si="318"/>
        <v>-0,0000166666666666667</v>
      </c>
      <c r="AT393" t="str">
        <f t="shared" si="319"/>
        <v>0,000354389463631207i</v>
      </c>
      <c r="AU393">
        <f t="shared" si="342"/>
        <v>3.5438946363120698E-4</v>
      </c>
      <c r="AV393">
        <f t="shared" si="343"/>
        <v>1.5707963267948966</v>
      </c>
      <c r="AW393" t="str">
        <f t="shared" si="320"/>
        <v>1+0,232499953774366i</v>
      </c>
      <c r="AX393">
        <f t="shared" si="344"/>
        <v>1.0266724056411969</v>
      </c>
      <c r="AY393">
        <f t="shared" si="345"/>
        <v>0.22844143823890614</v>
      </c>
      <c r="AZ393" t="str">
        <f t="shared" si="321"/>
        <v>1+77,7324845452297i</v>
      </c>
      <c r="BA393">
        <f t="shared" si="346"/>
        <v>77.73891659635072</v>
      </c>
      <c r="BB393">
        <f t="shared" si="347"/>
        <v>1.557932401949909</v>
      </c>
      <c r="BC393" s="41" t="str">
        <f t="shared" si="348"/>
        <v>-3,45784709921551+0,850978529394798i</v>
      </c>
      <c r="BD393">
        <f t="shared" si="349"/>
        <v>11.031490852312524</v>
      </c>
      <c r="BE393" s="43">
        <f t="shared" si="350"/>
        <v>166.17422112142097</v>
      </c>
      <c r="BF393" s="41" t="str">
        <f t="shared" si="351"/>
        <v>0,148762211716797+0,174247148425069i</v>
      </c>
      <c r="BG393" s="20">
        <f t="shared" si="352"/>
        <v>-12.799046925812199</v>
      </c>
      <c r="BH393" s="43">
        <f t="shared" si="353"/>
        <v>49.511202787745901</v>
      </c>
      <c r="BI393" s="41" t="str">
        <f t="shared" si="357"/>
        <v>0,0801400784368927+0,617094950539022i</v>
      </c>
      <c r="BJ393" s="20">
        <f t="shared" si="354"/>
        <v>-4.1203256259198424</v>
      </c>
      <c r="BK393" s="43">
        <f t="shared" si="358"/>
        <v>82.600599179952525</v>
      </c>
      <c r="BL393">
        <f t="shared" si="355"/>
        <v>-12.799046925812199</v>
      </c>
      <c r="BM393" s="43">
        <f t="shared" si="356"/>
        <v>49.511202787745901</v>
      </c>
    </row>
    <row r="394" spans="14:65" x14ac:dyDescent="0.25">
      <c r="N394" s="9">
        <v>76</v>
      </c>
      <c r="O394" s="34">
        <f t="shared" si="359"/>
        <v>57543.993733715732</v>
      </c>
      <c r="P394" s="33" t="str">
        <f t="shared" si="309"/>
        <v>66,7780509511648</v>
      </c>
      <c r="Q394" s="4" t="str">
        <f t="shared" si="310"/>
        <v>1+1409,14586450058i</v>
      </c>
      <c r="R394" s="4">
        <f t="shared" si="322"/>
        <v>1409.1462193254067</v>
      </c>
      <c r="S394" s="4">
        <f t="shared" si="323"/>
        <v>1.5700866771714441</v>
      </c>
      <c r="T394" s="4" t="str">
        <f t="shared" si="311"/>
        <v>1+0,361559575944117i</v>
      </c>
      <c r="U394" s="4">
        <f t="shared" si="324"/>
        <v>1.0633556916464451</v>
      </c>
      <c r="V394" s="4">
        <f t="shared" si="325"/>
        <v>0.34693553824867168</v>
      </c>
      <c r="W394" t="str">
        <f t="shared" si="312"/>
        <v>1-0,786526541983557i</v>
      </c>
      <c r="X394" s="4">
        <f t="shared" si="326"/>
        <v>1.2722515479434922</v>
      </c>
      <c r="Y394" s="4">
        <f t="shared" si="327"/>
        <v>-0.66647125447487299</v>
      </c>
      <c r="Z394" t="str">
        <f t="shared" si="313"/>
        <v>0,996688688785174+0,154592061677041i</v>
      </c>
      <c r="AA394" s="4">
        <f t="shared" si="328"/>
        <v>1.0086064881240193</v>
      </c>
      <c r="AB394" s="4">
        <f t="shared" si="329"/>
        <v>0.15387948423519057</v>
      </c>
      <c r="AC394" s="47" t="str">
        <f t="shared" si="330"/>
        <v>-0,0289402364778-0,0565930653784585i</v>
      </c>
      <c r="AD394" s="20">
        <f t="shared" si="331"/>
        <v>-23.935850604592662</v>
      </c>
      <c r="AE394" s="43">
        <f t="shared" si="332"/>
        <v>-117.08403301542069</v>
      </c>
      <c r="AF394" t="str">
        <f t="shared" si="314"/>
        <v>223,849857273222</v>
      </c>
      <c r="AG394" t="str">
        <f t="shared" si="315"/>
        <v>1+1427,25014896343i</v>
      </c>
      <c r="AH394">
        <f t="shared" si="333"/>
        <v>1427.2504992874001</v>
      </c>
      <c r="AI394">
        <f t="shared" si="334"/>
        <v>1.570095678883183</v>
      </c>
      <c r="AJ394" t="str">
        <f t="shared" si="316"/>
        <v>1+0,361559575944117i</v>
      </c>
      <c r="AK394">
        <f t="shared" si="335"/>
        <v>1.0633556916464451</v>
      </c>
      <c r="AL394">
        <f t="shared" si="336"/>
        <v>0.34693553824867168</v>
      </c>
      <c r="AM394" t="str">
        <f t="shared" si="317"/>
        <v>1-0,237648022018248i</v>
      </c>
      <c r="AN394">
        <f t="shared" si="337"/>
        <v>1.0278504669304702</v>
      </c>
      <c r="AO394">
        <f t="shared" si="338"/>
        <v>-0.23331991444446448</v>
      </c>
      <c r="AP394" s="41" t="str">
        <f t="shared" si="339"/>
        <v>0,0195536054037308-0,170302564438005i</v>
      </c>
      <c r="AQ394">
        <f t="shared" si="340"/>
        <v>-15.318697685882741</v>
      </c>
      <c r="AR394" s="43">
        <f t="shared" si="341"/>
        <v>-83.450160101007</v>
      </c>
      <c r="AS394" t="str">
        <f t="shared" si="318"/>
        <v>-0,0000166666666666667</v>
      </c>
      <c r="AT394" t="str">
        <f t="shared" si="319"/>
        <v>0,000362644254671949i</v>
      </c>
      <c r="AU394">
        <f t="shared" si="342"/>
        <v>3.6264425467194902E-4</v>
      </c>
      <c r="AV394">
        <f t="shared" si="343"/>
        <v>1.5707963267948966</v>
      </c>
      <c r="AW394" t="str">
        <f t="shared" si="320"/>
        <v>1+0,237915573402908i</v>
      </c>
      <c r="AX394">
        <f t="shared" si="344"/>
        <v>1.0279123601103521</v>
      </c>
      <c r="AY394">
        <f t="shared" si="345"/>
        <v>0.2335731479586233</v>
      </c>
      <c r="AZ394" t="str">
        <f t="shared" si="321"/>
        <v>1+79,5431067077057i</v>
      </c>
      <c r="BA394">
        <f t="shared" si="346"/>
        <v>79.549392359171776</v>
      </c>
      <c r="BB394">
        <f t="shared" si="347"/>
        <v>1.5582251894204433</v>
      </c>
      <c r="BC394" s="41" t="str">
        <f t="shared" si="348"/>
        <v>-3,44950983795709+0,866650833556477i</v>
      </c>
      <c r="BD394">
        <f t="shared" si="349"/>
        <v>11.020974532077265</v>
      </c>
      <c r="BE394" s="43">
        <f t="shared" si="350"/>
        <v>165.89697129915081</v>
      </c>
      <c r="BF394" s="41" t="str">
        <f t="shared" si="351"/>
        <v>0,148876057726733+0,170137255716334i</v>
      </c>
      <c r="BG394" s="20">
        <f t="shared" si="352"/>
        <v>-12.914876072515408</v>
      </c>
      <c r="BH394" s="43">
        <f t="shared" si="353"/>
        <v>48.812938283730048</v>
      </c>
      <c r="BI394" s="41" t="str">
        <f t="shared" si="357"/>
        <v>0,0801425052193024+0,604406519880397i</v>
      </c>
      <c r="BJ394" s="20">
        <f t="shared" si="354"/>
        <v>-4.297723153805479</v>
      </c>
      <c r="BK394" s="43">
        <f t="shared" si="358"/>
        <v>82.446811198143806</v>
      </c>
      <c r="BL394">
        <f t="shared" si="355"/>
        <v>-12.914876072515408</v>
      </c>
      <c r="BM394" s="43">
        <f t="shared" si="356"/>
        <v>48.812938283730048</v>
      </c>
    </row>
    <row r="395" spans="14:65" x14ac:dyDescent="0.25">
      <c r="N395" s="9">
        <v>77</v>
      </c>
      <c r="O395" s="34">
        <f t="shared" si="359"/>
        <v>58884.365535558936</v>
      </c>
      <c r="P395" s="33" t="str">
        <f t="shared" si="309"/>
        <v>66,7780509511648</v>
      </c>
      <c r="Q395" s="4" t="str">
        <f t="shared" si="310"/>
        <v>1+1441,96908824484i</v>
      </c>
      <c r="R395" s="4">
        <f t="shared" si="322"/>
        <v>1441.9694349928693</v>
      </c>
      <c r="S395" s="4">
        <f t="shared" si="323"/>
        <v>1.5701028307637821</v>
      </c>
      <c r="T395" s="4" t="str">
        <f t="shared" si="311"/>
        <v>1+0,369981380355616i</v>
      </c>
      <c r="U395" s="4">
        <f t="shared" si="324"/>
        <v>1.0662486679053096</v>
      </c>
      <c r="V395" s="4">
        <f t="shared" si="325"/>
        <v>0.35436354146734456</v>
      </c>
      <c r="W395" t="str">
        <f t="shared" si="312"/>
        <v>1-0,804847098654588i</v>
      </c>
      <c r="X395" s="4">
        <f t="shared" si="326"/>
        <v>1.2836583861030582</v>
      </c>
      <c r="Y395" s="4">
        <f t="shared" si="327"/>
        <v>-0.67768950991186061</v>
      </c>
      <c r="Z395" t="str">
        <f t="shared" si="313"/>
        <v>0,996532631495475+0,15819297337635i</v>
      </c>
      <c r="AA395" s="4">
        <f t="shared" si="328"/>
        <v>1.009010556169234</v>
      </c>
      <c r="AB395" s="4">
        <f t="shared" si="329"/>
        <v>0.15742978389429033</v>
      </c>
      <c r="AC395" s="47" t="str">
        <f t="shared" si="330"/>
        <v>-0,02901190274081-0,0557181893961147i</v>
      </c>
      <c r="AD395" s="20">
        <f t="shared" si="331"/>
        <v>-24.038201230492966</v>
      </c>
      <c r="AE395" s="43">
        <f t="shared" si="332"/>
        <v>-117.50554118995827</v>
      </c>
      <c r="AF395" t="str">
        <f t="shared" si="314"/>
        <v>223,849857273222</v>
      </c>
      <c r="AG395" t="str">
        <f t="shared" si="315"/>
        <v>1+1460,49507566594i</v>
      </c>
      <c r="AH395">
        <f t="shared" si="333"/>
        <v>1460.4954180155648</v>
      </c>
      <c r="AI395">
        <f t="shared" si="334"/>
        <v>1.5701116275717424</v>
      </c>
      <c r="AJ395" t="str">
        <f t="shared" si="316"/>
        <v>1+0,369981380355616i</v>
      </c>
      <c r="AK395">
        <f t="shared" si="335"/>
        <v>1.0662486679053096</v>
      </c>
      <c r="AL395">
        <f t="shared" si="336"/>
        <v>0.35436354146734456</v>
      </c>
      <c r="AM395" t="str">
        <f t="shared" si="317"/>
        <v>1-0,243183555560655i</v>
      </c>
      <c r="AN395">
        <f t="shared" si="337"/>
        <v>1.0291444221755868</v>
      </c>
      <c r="AO395">
        <f t="shared" si="338"/>
        <v>-0.23855296833063383</v>
      </c>
      <c r="AP395" s="41" t="str">
        <f t="shared" si="339"/>
        <v>0,0195486599909556-0,167046669751387i</v>
      </c>
      <c r="AQ395">
        <f t="shared" si="340"/>
        <v>-15.484171016489064</v>
      </c>
      <c r="AR395" s="43">
        <f t="shared" si="341"/>
        <v>-83.325312560552717</v>
      </c>
      <c r="AS395" t="str">
        <f t="shared" si="318"/>
        <v>-0,0000166666666666667</v>
      </c>
      <c r="AT395" t="str">
        <f t="shared" si="319"/>
        <v>0,000371091324496683i</v>
      </c>
      <c r="AU395">
        <f t="shared" si="342"/>
        <v>3.7109132449668298E-4</v>
      </c>
      <c r="AV395">
        <f t="shared" si="343"/>
        <v>1.5707963267948966</v>
      </c>
      <c r="AW395" t="str">
        <f t="shared" si="320"/>
        <v>1+0,243457339017654i</v>
      </c>
      <c r="AX395">
        <f t="shared" si="344"/>
        <v>1.0292091507179466</v>
      </c>
      <c r="AY395">
        <f t="shared" si="345"/>
        <v>0.23881144850877159</v>
      </c>
      <c r="AZ395" t="str">
        <f t="shared" si="321"/>
        <v>1+81,3959036782354i</v>
      </c>
      <c r="BA395">
        <f t="shared" si="346"/>
        <v>81.402046261728429</v>
      </c>
      <c r="BB395">
        <f t="shared" si="347"/>
        <v>1.5585113143172475</v>
      </c>
      <c r="BC395" s="41" t="str">
        <f t="shared" si="348"/>
        <v>-3,44082263611926+0,882606097275825i</v>
      </c>
      <c r="BD395">
        <f t="shared" si="349"/>
        <v>11.009992631216099</v>
      </c>
      <c r="BE395" s="43">
        <f t="shared" si="350"/>
        <v>165.61323253480683</v>
      </c>
      <c r="BF395" s="41" t="str">
        <f t="shared" si="351"/>
        <v>0,14900202535765+0,166110325065119i</v>
      </c>
      <c r="BG395" s="20">
        <f t="shared" si="352"/>
        <v>-13.028208599276866</v>
      </c>
      <c r="BH395" s="43">
        <f t="shared" si="353"/>
        <v>48.107691344848377</v>
      </c>
      <c r="BI395" s="41" t="str">
        <f t="shared" si="357"/>
        <v>0,0801729374495163+0,5920317290705i</v>
      </c>
      <c r="BJ395" s="20">
        <f t="shared" si="354"/>
        <v>-4.4741783852729657</v>
      </c>
      <c r="BK395" s="43">
        <f t="shared" si="358"/>
        <v>82.287919974254095</v>
      </c>
      <c r="BL395">
        <f t="shared" si="355"/>
        <v>-13.028208599276866</v>
      </c>
      <c r="BM395" s="43">
        <f t="shared" si="356"/>
        <v>48.107691344848377</v>
      </c>
    </row>
    <row r="396" spans="14:65" x14ac:dyDescent="0.25">
      <c r="N396" s="9">
        <v>78</v>
      </c>
      <c r="O396" s="34">
        <f t="shared" si="359"/>
        <v>60255.95860743591</v>
      </c>
      <c r="P396" s="33" t="str">
        <f t="shared" si="309"/>
        <v>66,7780509511648</v>
      </c>
      <c r="Q396" s="4" t="str">
        <f t="shared" si="310"/>
        <v>1+1475,55686308642i</v>
      </c>
      <c r="R396" s="4">
        <f t="shared" si="322"/>
        <v>1475.5572019415026</v>
      </c>
      <c r="S396" s="4">
        <f t="shared" si="323"/>
        <v>1.5701186166558165</v>
      </c>
      <c r="T396" s="4" t="str">
        <f t="shared" si="311"/>
        <v>1+0,378599353792263i</v>
      </c>
      <c r="U396" s="4">
        <f t="shared" si="324"/>
        <v>1.0692695968238874</v>
      </c>
      <c r="V396" s="4">
        <f t="shared" si="325"/>
        <v>0.36192252791818275</v>
      </c>
      <c r="W396" t="str">
        <f t="shared" si="312"/>
        <v>1-0,823594395910739i</v>
      </c>
      <c r="X396" s="4">
        <f t="shared" si="326"/>
        <v>1.2954951674844546</v>
      </c>
      <c r="Y396" s="4">
        <f t="shared" si="327"/>
        <v>-0.68896310949181427</v>
      </c>
      <c r="Z396" t="str">
        <f t="shared" si="313"/>
        <v>0,996369219452299+0,161877761084075i</v>
      </c>
      <c r="AA396" s="4">
        <f t="shared" si="328"/>
        <v>1.0094335198543667</v>
      </c>
      <c r="AB396" s="4">
        <f t="shared" si="329"/>
        <v>0.16106038220915264</v>
      </c>
      <c r="AC396" s="47" t="str">
        <f t="shared" si="330"/>
        <v>-0,0290866852104908-0,0548719611336345i</v>
      </c>
      <c r="AD396" s="20">
        <f t="shared" si="331"/>
        <v>-24.137540346721824</v>
      </c>
      <c r="AE396" s="43">
        <f t="shared" si="332"/>
        <v>-117.92729527031881</v>
      </c>
      <c r="AF396" t="str">
        <f t="shared" si="314"/>
        <v>223,849857273222</v>
      </c>
      <c r="AG396" t="str">
        <f t="shared" si="315"/>
        <v>1+1494,51437618951i</v>
      </c>
      <c r="AH396">
        <f t="shared" si="333"/>
        <v>1494.5147107463079</v>
      </c>
      <c r="AI396">
        <f t="shared" si="334"/>
        <v>1.5701272132241646</v>
      </c>
      <c r="AJ396" t="str">
        <f t="shared" si="316"/>
        <v>1+0,378599353792263i</v>
      </c>
      <c r="AK396">
        <f t="shared" si="335"/>
        <v>1.0692695968238874</v>
      </c>
      <c r="AL396">
        <f t="shared" si="336"/>
        <v>0.36192252791818275</v>
      </c>
      <c r="AM396" t="str">
        <f t="shared" si="317"/>
        <v>1-0,248848028243136i</v>
      </c>
      <c r="AN396">
        <f t="shared" si="337"/>
        <v>1.0304976182216514</v>
      </c>
      <c r="AO396">
        <f t="shared" si="338"/>
        <v>-0.24389416088288851</v>
      </c>
      <c r="AP396" s="41" t="str">
        <f t="shared" si="339"/>
        <v>0,0195439371582164-0,163879345115313i</v>
      </c>
      <c r="AQ396">
        <f t="shared" si="340"/>
        <v>-15.648183232601582</v>
      </c>
      <c r="AR396" s="43">
        <f t="shared" si="341"/>
        <v>-83.199135322438778</v>
      </c>
      <c r="AS396" t="str">
        <f t="shared" si="318"/>
        <v>-0,0000166666666666667</v>
      </c>
      <c r="AT396" t="str">
        <f t="shared" si="319"/>
        <v>0,000379735151853639i</v>
      </c>
      <c r="AU396">
        <f t="shared" si="342"/>
        <v>3.7973515185363901E-4</v>
      </c>
      <c r="AV396">
        <f t="shared" si="343"/>
        <v>1.5707963267948966</v>
      </c>
      <c r="AW396" t="str">
        <f t="shared" si="320"/>
        <v>1+0,249128188936085i</v>
      </c>
      <c r="AX396">
        <f t="shared" si="344"/>
        <v>1.0305653082277579</v>
      </c>
      <c r="AY396">
        <f t="shared" si="345"/>
        <v>0.24415796689985819</v>
      </c>
      <c r="AZ396" t="str">
        <f t="shared" si="321"/>
        <v>1+83,2918578342978i</v>
      </c>
      <c r="BA396">
        <f t="shared" si="346"/>
        <v>83.297860605713481</v>
      </c>
      <c r="BB396">
        <f t="shared" si="347"/>
        <v>1.5587909281600278</v>
      </c>
      <c r="BC396" s="41" t="str">
        <f t="shared" si="348"/>
        <v>-3,43177279299461+0,89884158000934i</v>
      </c>
      <c r="BD396">
        <f t="shared" si="349"/>
        <v>10.998525534719015</v>
      </c>
      <c r="BE396" s="43">
        <f t="shared" si="350"/>
        <v>165.32292028899315</v>
      </c>
      <c r="BF396" s="41" t="str">
        <f t="shared" si="351"/>
        <v>0,149140095187328+0,162163781224833i</v>
      </c>
      <c r="BG396" s="20">
        <f t="shared" si="352"/>
        <v>-13.139014812002806</v>
      </c>
      <c r="BH396" s="43">
        <f t="shared" si="353"/>
        <v>47.395625018674416</v>
      </c>
      <c r="BI396" s="41" t="str">
        <f t="shared" si="357"/>
        <v>0,0802312176867804+0,5799635812554i</v>
      </c>
      <c r="BJ396" s="20">
        <f t="shared" si="354"/>
        <v>-4.6496576978825619</v>
      </c>
      <c r="BK396" s="43">
        <f t="shared" si="358"/>
        <v>82.123784966554396</v>
      </c>
      <c r="BL396">
        <f t="shared" si="355"/>
        <v>-13.139014812002806</v>
      </c>
      <c r="BM396" s="43">
        <f t="shared" si="356"/>
        <v>47.395625018674416</v>
      </c>
    </row>
    <row r="397" spans="14:65" x14ac:dyDescent="0.25">
      <c r="N397" s="9">
        <v>79</v>
      </c>
      <c r="O397" s="34">
        <f t="shared" si="359"/>
        <v>61659.500186148245</v>
      </c>
      <c r="P397" s="33" t="str">
        <f t="shared" si="309"/>
        <v>66,7780509511648</v>
      </c>
      <c r="Q397" s="4" t="str">
        <f t="shared" si="310"/>
        <v>1+1509,9269977081i</v>
      </c>
      <c r="R397" s="4">
        <f t="shared" si="322"/>
        <v>1509.927328849901</v>
      </c>
      <c r="S397" s="4">
        <f t="shared" si="323"/>
        <v>1.5701340432174049</v>
      </c>
      <c r="T397" s="4" t="str">
        <f t="shared" si="311"/>
        <v>1+0,387418065617644i</v>
      </c>
      <c r="U397" s="4">
        <f t="shared" si="324"/>
        <v>1.0724237770428802</v>
      </c>
      <c r="V397" s="4">
        <f t="shared" si="325"/>
        <v>0.36961304921890159</v>
      </c>
      <c r="W397" t="str">
        <f t="shared" si="312"/>
        <v>1-0,842778373817158i</v>
      </c>
      <c r="X397" s="4">
        <f t="shared" si="326"/>
        <v>1.3077749758172823</v>
      </c>
      <c r="Y397" s="4">
        <f t="shared" si="327"/>
        <v>-0.70028656886754048</v>
      </c>
      <c r="Z397" t="str">
        <f t="shared" si="313"/>
        <v>0,996198106036794+0,165648378523432i</v>
      </c>
      <c r="AA397" s="4">
        <f t="shared" si="328"/>
        <v>1.0098762556762773</v>
      </c>
      <c r="AB397" s="4">
        <f t="shared" si="329"/>
        <v>0.16477298214840352</v>
      </c>
      <c r="AC397" s="47" t="str">
        <f t="shared" si="330"/>
        <v>-0,0291647255997218-0,0540538702668862i</v>
      </c>
      <c r="AD397" s="20">
        <f t="shared" si="331"/>
        <v>-24.233820208907851</v>
      </c>
      <c r="AE397" s="43">
        <f t="shared" si="332"/>
        <v>-118.34904747366021</v>
      </c>
      <c r="AF397" t="str">
        <f t="shared" si="314"/>
        <v>223,849857273222</v>
      </c>
      <c r="AG397" t="str">
        <f t="shared" si="315"/>
        <v>1+1529,32608801756i</v>
      </c>
      <c r="AH397">
        <f t="shared" si="333"/>
        <v>1529.3264149589174</v>
      </c>
      <c r="AI397">
        <f t="shared" si="334"/>
        <v>1.5701424441041387</v>
      </c>
      <c r="AJ397" t="str">
        <f t="shared" si="316"/>
        <v>1+0,387418065617644i</v>
      </c>
      <c r="AK397">
        <f t="shared" si="335"/>
        <v>1.0724237770428802</v>
      </c>
      <c r="AL397">
        <f t="shared" si="336"/>
        <v>0.36961304921890159</v>
      </c>
      <c r="AM397" t="str">
        <f t="shared" si="317"/>
        <v>1-0,254644443444084i</v>
      </c>
      <c r="AN397">
        <f t="shared" si="337"/>
        <v>1.0319126865083825</v>
      </c>
      <c r="AO397">
        <f t="shared" si="338"/>
        <v>-0.24934510454314737</v>
      </c>
      <c r="AP397" s="41" t="str">
        <f t="shared" si="339"/>
        <v>0,0195394268877794-0,160798911192687i</v>
      </c>
      <c r="AQ397">
        <f t="shared" si="340"/>
        <v>-15.810679639302004</v>
      </c>
      <c r="AR397" s="43">
        <f t="shared" si="341"/>
        <v>-83.071689640889318</v>
      </c>
      <c r="AS397" t="str">
        <f t="shared" si="318"/>
        <v>-0,0000166666666666667</v>
      </c>
      <c r="AT397" t="str">
        <f t="shared" si="319"/>
        <v>0,000388580319814497i</v>
      </c>
      <c r="AU397">
        <f t="shared" si="342"/>
        <v>3.8858031981449701E-4</v>
      </c>
      <c r="AV397">
        <f t="shared" si="343"/>
        <v>1.5707963267948966</v>
      </c>
      <c r="AW397" t="str">
        <f t="shared" si="320"/>
        <v>1+0,254931129917891i</v>
      </c>
      <c r="AX397">
        <f t="shared" si="344"/>
        <v>1.031983469344937</v>
      </c>
      <c r="AY397">
        <f t="shared" si="345"/>
        <v>0.24961431474627341</v>
      </c>
      <c r="AZ397" t="str">
        <f t="shared" si="321"/>
        <v>1+85,2319744358816i</v>
      </c>
      <c r="BA397">
        <f t="shared" si="346"/>
        <v>85.237840577051074</v>
      </c>
      <c r="BB397">
        <f t="shared" si="347"/>
        <v>1.5590641790287534</v>
      </c>
      <c r="BC397" s="41" t="str">
        <f t="shared" si="348"/>
        <v>-3,42234732664299+0,91535404638478i</v>
      </c>
      <c r="BD397">
        <f t="shared" si="349"/>
        <v>10.986552925831273</v>
      </c>
      <c r="BE397" s="43">
        <f t="shared" si="350"/>
        <v>165.0259507073645</v>
      </c>
      <c r="BF397" s="41" t="str">
        <f t="shared" si="351"/>
        <v>0,149290249560037+0,158295068813178i</v>
      </c>
      <c r="BG397" s="20">
        <f t="shared" si="352"/>
        <v>-13.24726728307656</v>
      </c>
      <c r="BH397" s="43">
        <f t="shared" si="353"/>
        <v>46.676903233704223</v>
      </c>
      <c r="BI397" s="41" t="str">
        <f t="shared" si="357"/>
        <v>0,0803172286409649+0,568195217313164i</v>
      </c>
      <c r="BJ397" s="20">
        <f t="shared" si="354"/>
        <v>-4.8241267134707346</v>
      </c>
      <c r="BK397" s="43">
        <f t="shared" si="358"/>
        <v>81.954261066475198</v>
      </c>
      <c r="BL397">
        <f t="shared" si="355"/>
        <v>-13.24726728307656</v>
      </c>
      <c r="BM397" s="43">
        <f t="shared" si="356"/>
        <v>46.676903233704223</v>
      </c>
    </row>
    <row r="398" spans="14:65" x14ac:dyDescent="0.25">
      <c r="N398" s="9">
        <v>80</v>
      </c>
      <c r="O398" s="34">
        <f t="shared" si="359"/>
        <v>63095.734448019342</v>
      </c>
      <c r="P398" s="33" t="str">
        <f t="shared" si="309"/>
        <v>66,7780509511648</v>
      </c>
      <c r="Q398" s="4" t="str">
        <f t="shared" si="310"/>
        <v>1+1545,09771561022i</v>
      </c>
      <c r="R398" s="4">
        <f t="shared" si="322"/>
        <v>1545.0980392143149</v>
      </c>
      <c r="S398" s="4">
        <f t="shared" si="323"/>
        <v>1.5701491186278851</v>
      </c>
      <c r="T398" s="4" t="str">
        <f t="shared" si="311"/>
        <v>1+0,3964421916295i</v>
      </c>
      <c r="U398" s="4">
        <f t="shared" si="324"/>
        <v>1.0757166965814007</v>
      </c>
      <c r="V398" s="4">
        <f t="shared" si="325"/>
        <v>0.3774355431791242</v>
      </c>
      <c r="W398" t="str">
        <f t="shared" si="312"/>
        <v>1-0,862409203972867i</v>
      </c>
      <c r="X398" s="4">
        <f t="shared" si="326"/>
        <v>1.3205111264571436</v>
      </c>
      <c r="Y398" s="4">
        <f t="shared" si="327"/>
        <v>-0.71165427744408893</v>
      </c>
      <c r="Z398" t="str">
        <f t="shared" si="313"/>
        <v>0,996018928294465+0,169506824925697i</v>
      </c>
      <c r="AA398" s="4">
        <f t="shared" si="328"/>
        <v>1.0103396801161704</v>
      </c>
      <c r="AB398" s="4">
        <f t="shared" si="329"/>
        <v>0.16856931486346693</v>
      </c>
      <c r="AC398" s="47" t="str">
        <f t="shared" si="330"/>
        <v>-0,0292461709615731-0,0532634172578891i</v>
      </c>
      <c r="AD398" s="20">
        <f t="shared" si="331"/>
        <v>-24.326994753270842</v>
      </c>
      <c r="AE398" s="43">
        <f t="shared" si="332"/>
        <v>-118.77055090823923</v>
      </c>
      <c r="AF398" t="str">
        <f t="shared" si="314"/>
        <v>223,849857273222</v>
      </c>
      <c r="AG398" t="str">
        <f t="shared" si="315"/>
        <v>1+1564,94866878051i</v>
      </c>
      <c r="AH398">
        <f t="shared" si="333"/>
        <v>1564.9489882797748</v>
      </c>
      <c r="AI398">
        <f t="shared" si="334"/>
        <v>1.5701573282872505</v>
      </c>
      <c r="AJ398" t="str">
        <f t="shared" si="316"/>
        <v>1+0,3964421916295i</v>
      </c>
      <c r="AK398">
        <f t="shared" si="335"/>
        <v>1.0757166965814007</v>
      </c>
      <c r="AL398">
        <f t="shared" si="336"/>
        <v>0.3774355431791242</v>
      </c>
      <c r="AM398" t="str">
        <f t="shared" si="317"/>
        <v>1-0,260575874499564i</v>
      </c>
      <c r="AN398">
        <f t="shared" si="337"/>
        <v>1.0333923680631731</v>
      </c>
      <c r="AO398">
        <f t="shared" si="338"/>
        <v>-0.25490739322033751</v>
      </c>
      <c r="AP398" s="41" t="str">
        <f t="shared" si="339"/>
        <v>0,0195351196127813-0,157803734715659i</v>
      </c>
      <c r="AQ398">
        <f t="shared" si="340"/>
        <v>-15.971604090515648</v>
      </c>
      <c r="AR398" s="43">
        <f t="shared" si="341"/>
        <v>-82.943042218212184</v>
      </c>
      <c r="AS398" t="str">
        <f t="shared" si="318"/>
        <v>-0,0000166666666666667</v>
      </c>
      <c r="AT398" t="str">
        <f t="shared" si="319"/>
        <v>0,000397631518204389i</v>
      </c>
      <c r="AU398">
        <f t="shared" si="342"/>
        <v>3.9763151820438897E-4</v>
      </c>
      <c r="AV398">
        <f t="shared" si="343"/>
        <v>1.5707963267948966</v>
      </c>
      <c r="AW398" t="str">
        <f t="shared" si="320"/>
        <v>1+0,260869238759192i</v>
      </c>
      <c r="AX398">
        <f t="shared" si="344"/>
        <v>1.0334663805517819</v>
      </c>
      <c r="AY398">
        <f t="shared" si="345"/>
        <v>0.25518208496347111</v>
      </c>
      <c r="AZ398" t="str">
        <f t="shared" si="321"/>
        <v>1+87,2172821584899i</v>
      </c>
      <c r="BA398">
        <f t="shared" si="346"/>
        <v>87.22301477886235</v>
      </c>
      <c r="BB398">
        <f t="shared" si="347"/>
        <v>1.5593312116413376</v>
      </c>
      <c r="BC398" s="41" t="str">
        <f t="shared" si="348"/>
        <v>-3,41253298485459+0,932139735082552i</v>
      </c>
      <c r="BD398">
        <f t="shared" si="349"/>
        <v>10.974053770780657</v>
      </c>
      <c r="BE398" s="43">
        <f t="shared" si="350"/>
        <v>164.72224081431384</v>
      </c>
      <c r="BF398" s="41" t="str">
        <f t="shared" si="351"/>
        <v>0,149452470739425+0,15450165022632i</v>
      </c>
      <c r="BG398" s="20">
        <f t="shared" si="352"/>
        <v>-13.352940982490182</v>
      </c>
      <c r="BH398" s="43">
        <f t="shared" si="353"/>
        <v>45.951689906074598</v>
      </c>
      <c r="BI398" s="41" t="str">
        <f t="shared" si="357"/>
        <v>0,0804308914311957+0,556719911071094i</v>
      </c>
      <c r="BJ398" s="20">
        <f t="shared" si="354"/>
        <v>-4.9975503197349855</v>
      </c>
      <c r="BK398" s="43">
        <f t="shared" si="358"/>
        <v>81.779198596101665</v>
      </c>
      <c r="BL398">
        <f t="shared" si="355"/>
        <v>-13.352940982490182</v>
      </c>
      <c r="BM398" s="43">
        <f t="shared" si="356"/>
        <v>45.951689906074598</v>
      </c>
    </row>
    <row r="399" spans="14:65" x14ac:dyDescent="0.25">
      <c r="N399" s="9">
        <v>81</v>
      </c>
      <c r="O399" s="34">
        <f t="shared" si="359"/>
        <v>64565.422903465682</v>
      </c>
      <c r="P399" s="33" t="str">
        <f t="shared" si="309"/>
        <v>66,7780509511648</v>
      </c>
      <c r="Q399" s="4" t="str">
        <f t="shared" si="310"/>
        <v>1+1581,08766477294i</v>
      </c>
      <c r="R399" s="4">
        <f t="shared" si="322"/>
        <v>1581.0879810109075</v>
      </c>
      <c r="S399" s="4">
        <f t="shared" si="323"/>
        <v>1.5701638508804117</v>
      </c>
      <c r="T399" s="4" t="str">
        <f t="shared" si="311"/>
        <v>1+0,405676516538892i</v>
      </c>
      <c r="U399" s="4">
        <f t="shared" si="324"/>
        <v>1.0791540372306123</v>
      </c>
      <c r="V399" s="4">
        <f t="shared" si="325"/>
        <v>0.38539032700543663</v>
      </c>
      <c r="W399" t="str">
        <f t="shared" si="312"/>
        <v>1-0,88249729490386i</v>
      </c>
      <c r="X399" s="4">
        <f t="shared" si="326"/>
        <v>1.3337171647364483</v>
      </c>
      <c r="Y399" s="4">
        <f t="shared" si="327"/>
        <v>-0.72306051145534256</v>
      </c>
      <c r="Z399" t="str">
        <f t="shared" si="313"/>
        <v>0,995831306165297+0,173455146090227i</v>
      </c>
      <c r="AA399" s="4">
        <f t="shared" si="328"/>
        <v>1.0108247514005895</v>
      </c>
      <c r="AB399" s="4">
        <f t="shared" si="329"/>
        <v>0.17245113958149311</v>
      </c>
      <c r="AC399" s="47" t="str">
        <f t="shared" si="330"/>
        <v>-0,029331173858499-0,0525001128267516i</v>
      </c>
      <c r="AD399" s="20">
        <f t="shared" si="331"/>
        <v>-24.417019709409757</v>
      </c>
      <c r="AE399" s="43">
        <f t="shared" si="332"/>
        <v>-119.19156070608098</v>
      </c>
      <c r="AF399" t="str">
        <f t="shared" si="314"/>
        <v>223,849857273222</v>
      </c>
      <c r="AG399" t="str">
        <f t="shared" si="315"/>
        <v>1+1601,4010060422i</v>
      </c>
      <c r="AH399">
        <f t="shared" si="333"/>
        <v>1601.401318268775</v>
      </c>
      <c r="AI399">
        <f t="shared" si="334"/>
        <v>1.5701718736652643</v>
      </c>
      <c r="AJ399" t="str">
        <f t="shared" si="316"/>
        <v>1+0,405676516538892i</v>
      </c>
      <c r="AK399">
        <f t="shared" si="335"/>
        <v>1.0791540372306123</v>
      </c>
      <c r="AL399">
        <f t="shared" si="336"/>
        <v>0.38539032700543663</v>
      </c>
      <c r="AM399" t="str">
        <f t="shared" si="317"/>
        <v>1-0,266645466332833i</v>
      </c>
      <c r="AN399">
        <f t="shared" si="337"/>
        <v>1.0349395174191842</v>
      </c>
      <c r="AO399">
        <f t="shared" si="338"/>
        <v>-0.26058259880008378</v>
      </c>
      <c r="AP399" s="41" t="str">
        <f t="shared" si="339"/>
        <v>0,0195310061969376-0,154892227619739i</v>
      </c>
      <c r="AQ399">
        <f t="shared" si="340"/>
        <v>-16.130898999819042</v>
      </c>
      <c r="AR399" s="43">
        <f t="shared" si="341"/>
        <v>-82.813265394385695</v>
      </c>
      <c r="AS399" t="str">
        <f t="shared" si="318"/>
        <v>-0,0000166666666666667</v>
      </c>
      <c r="AT399" t="str">
        <f t="shared" si="319"/>
        <v>0,000406893546088509i</v>
      </c>
      <c r="AU399">
        <f t="shared" si="342"/>
        <v>4.0689354608850902E-4</v>
      </c>
      <c r="AV399">
        <f t="shared" si="343"/>
        <v>1.5707963267948966</v>
      </c>
      <c r="AW399" t="str">
        <f t="shared" si="320"/>
        <v>1+0,266945663923897i</v>
      </c>
      <c r="AX399">
        <f t="shared" si="344"/>
        <v>1.035016902029996</v>
      </c>
      <c r="AY399">
        <f t="shared" si="345"/>
        <v>0.26086284826791378</v>
      </c>
      <c r="AZ399" t="str">
        <f t="shared" si="321"/>
        <v>1+89,2488336385562i</v>
      </c>
      <c r="BA399">
        <f t="shared" si="346"/>
        <v>89.254435776843493</v>
      </c>
      <c r="BB399">
        <f t="shared" si="347"/>
        <v>1.5595921674295901</v>
      </c>
      <c r="BC399" s="41" t="str">
        <f t="shared" si="348"/>
        <v>-3,40231625816039+0,949194326957199i</v>
      </c>
      <c r="BD399">
        <f t="shared" si="349"/>
        <v>10.961006304167622</v>
      </c>
      <c r="BE399" s="43">
        <f t="shared" si="350"/>
        <v>164.41170871786289</v>
      </c>
      <c r="BF399" s="41" t="str">
        <f t="shared" si="351"/>
        <v>0,149626738949466+0,150781003596229i</v>
      </c>
      <c r="BG399" s="20">
        <f t="shared" si="352"/>
        <v>-13.456013405242134</v>
      </c>
      <c r="BH399" s="43">
        <f t="shared" si="353"/>
        <v>45.220148011781788</v>
      </c>
      <c r="BI399" s="41" t="str">
        <f t="shared" si="357"/>
        <v>0,0805721638243473+0,545531064575217i</v>
      </c>
      <c r="BJ399" s="20">
        <f t="shared" si="354"/>
        <v>-5.1698926956514164</v>
      </c>
      <c r="BK399" s="43">
        <f t="shared" si="358"/>
        <v>81.598443323477198</v>
      </c>
      <c r="BL399">
        <f t="shared" si="355"/>
        <v>-13.456013405242134</v>
      </c>
      <c r="BM399" s="43">
        <f t="shared" si="356"/>
        <v>45.220148011781788</v>
      </c>
    </row>
    <row r="400" spans="14:65" x14ac:dyDescent="0.25">
      <c r="N400" s="9">
        <v>82</v>
      </c>
      <c r="O400" s="34">
        <f t="shared" si="359"/>
        <v>66069.344800759733</v>
      </c>
      <c r="P400" s="33" t="str">
        <f t="shared" si="309"/>
        <v>66,7780509511648</v>
      </c>
      <c r="Q400" s="4" t="str">
        <f t="shared" si="310"/>
        <v>1+1617,9159275437i</v>
      </c>
      <c r="R400" s="4">
        <f t="shared" si="322"/>
        <v>1617.9162365832142</v>
      </c>
      <c r="S400" s="4">
        <f t="shared" si="323"/>
        <v>1.5701782477861945</v>
      </c>
      <c r="T400" s="4" t="str">
        <f t="shared" si="311"/>
        <v>1+0,415125936507116i</v>
      </c>
      <c r="U400" s="4">
        <f t="shared" si="324"/>
        <v>1.0827416788693922</v>
      </c>
      <c r="V400" s="4">
        <f t="shared" si="325"/>
        <v>0.39347759045109881</v>
      </c>
      <c r="W400" t="str">
        <f t="shared" si="312"/>
        <v>1-0,903053297581843i</v>
      </c>
      <c r="X400" s="4">
        <f t="shared" si="326"/>
        <v>1.347406864415289</v>
      </c>
      <c r="Y400" s="4">
        <f t="shared" si="327"/>
        <v>-0.73449944773454523</v>
      </c>
      <c r="Z400" t="str">
        <f t="shared" si="313"/>
        <v>0,995634841677598+0,177495435469164i</v>
      </c>
      <c r="AA400" s="4">
        <f t="shared" si="328"/>
        <v>1.0113324713341127</v>
      </c>
      <c r="AB400" s="4">
        <f t="shared" si="329"/>
        <v>0.17642024344790255</v>
      </c>
      <c r="AC400" s="47" t="str">
        <f t="shared" si="330"/>
        <v>-0,0294198925306914-0,0517634774139213i</v>
      </c>
      <c r="AD400" s="20">
        <f t="shared" si="331"/>
        <v>-24.5038527095865</v>
      </c>
      <c r="AE400" s="43">
        <f t="shared" si="332"/>
        <v>-119.6118351956853</v>
      </c>
      <c r="AF400" t="str">
        <f t="shared" si="314"/>
        <v>223,849857273222</v>
      </c>
      <c r="AG400" t="str">
        <f t="shared" si="315"/>
        <v>1+1638,70242731433i</v>
      </c>
      <c r="AH400">
        <f t="shared" si="333"/>
        <v>1638.7027324337616</v>
      </c>
      <c r="AI400">
        <f t="shared" si="334"/>
        <v>1.5701860879503076</v>
      </c>
      <c r="AJ400" t="str">
        <f t="shared" si="316"/>
        <v>1+0,415125936507116i</v>
      </c>
      <c r="AK400">
        <f t="shared" si="335"/>
        <v>1.0827416788693922</v>
      </c>
      <c r="AL400">
        <f t="shared" si="336"/>
        <v>0.39347759045109881</v>
      </c>
      <c r="AM400" t="str">
        <f t="shared" si="317"/>
        <v>1-0,272856437121822i</v>
      </c>
      <c r="AN400">
        <f t="shared" si="337"/>
        <v>1.0365571066172934</v>
      </c>
      <c r="AO400">
        <f t="shared" si="338"/>
        <v>-0.26637226745279974</v>
      </c>
      <c r="AP400" s="41" t="str">
        <f t="shared" si="339"/>
        <v>0,0195270779151624-0,152062846201869i</v>
      </c>
      <c r="AQ400">
        <f t="shared" si="340"/>
        <v>-16.288505356051022</v>
      </c>
      <c r="AR400" s="43">
        <f t="shared" si="341"/>
        <v>-82.682437328260477</v>
      </c>
      <c r="AS400" t="str">
        <f t="shared" si="318"/>
        <v>-0,0000166666666666667</v>
      </c>
      <c r="AT400" t="str">
        <f t="shared" si="319"/>
        <v>0,000416371314316637i</v>
      </c>
      <c r="AU400">
        <f t="shared" si="342"/>
        <v>4.1637131431663702E-4</v>
      </c>
      <c r="AV400">
        <f t="shared" si="343"/>
        <v>1.5707963267948966</v>
      </c>
      <c r="AW400" t="str">
        <f t="shared" si="320"/>
        <v>1+0,273163627213057i</v>
      </c>
      <c r="AX400">
        <f t="shared" si="344"/>
        <v>1.036638011666654</v>
      </c>
      <c r="AY400">
        <f t="shared" si="345"/>
        <v>0.26665814947519745</v>
      </c>
      <c r="AZ400" t="str">
        <f t="shared" si="321"/>
        <v>1+91,3277060315654i</v>
      </c>
      <c r="BA400">
        <f t="shared" si="346"/>
        <v>91.33318065734943</v>
      </c>
      <c r="BB400">
        <f t="shared" si="347"/>
        <v>1.5598471846134776</v>
      </c>
      <c r="BC400" s="41" t="str">
        <f t="shared" si="348"/>
        <v>-3,39168339503992+0,966512912485744i</v>
      </c>
      <c r="BD400">
        <f t="shared" si="349"/>
        <v>10.947388015134711</v>
      </c>
      <c r="BE400" s="43">
        <f t="shared" si="350"/>
        <v>164.09427382601859</v>
      </c>
      <c r="BF400" s="41" t="str">
        <f t="shared" si="351"/>
        <v>0,149813030295924+0,147130620799465i</v>
      </c>
      <c r="BG400" s="20">
        <f t="shared" si="352"/>
        <v>-13.556464694451787</v>
      </c>
      <c r="BH400" s="43">
        <f t="shared" si="353"/>
        <v>44.48243863033337</v>
      </c>
      <c r="BI400" s="41" t="str">
        <f t="shared" si="357"/>
        <v>0,0807410384449331+0,534622203413508i</v>
      </c>
      <c r="BJ400" s="20">
        <f t="shared" si="354"/>
        <v>-5.3411173409163091</v>
      </c>
      <c r="BK400" s="43">
        <f t="shared" si="358"/>
        <v>81.411836497758117</v>
      </c>
      <c r="BL400">
        <f t="shared" si="355"/>
        <v>-13.556464694451787</v>
      </c>
      <c r="BM400" s="43">
        <f t="shared" si="356"/>
        <v>44.48243863033337</v>
      </c>
    </row>
    <row r="401" spans="14:65" x14ac:dyDescent="0.25">
      <c r="N401" s="9">
        <v>83</v>
      </c>
      <c r="O401" s="34">
        <f t="shared" si="359"/>
        <v>67608.297539198305</v>
      </c>
      <c r="P401" s="33" t="str">
        <f t="shared" si="309"/>
        <v>66,7780509511648</v>
      </c>
      <c r="Q401" s="4" t="str">
        <f t="shared" si="310"/>
        <v>1+1655,60203075488i</v>
      </c>
      <c r="R401" s="4">
        <f t="shared" si="322"/>
        <v>1655.6023327597973</v>
      </c>
      <c r="S401" s="4">
        <f t="shared" si="323"/>
        <v>1.5701923169786398</v>
      </c>
      <c r="T401" s="4" t="str">
        <f t="shared" si="311"/>
        <v>1+0,424795461741717i</v>
      </c>
      <c r="U401" s="4">
        <f t="shared" si="324"/>
        <v>1.0864857036870565</v>
      </c>
      <c r="V401" s="4">
        <f t="shared" si="325"/>
        <v>0.40169738893976159</v>
      </c>
      <c r="W401" t="str">
        <f t="shared" si="312"/>
        <v>1-0,924088111071526i</v>
      </c>
      <c r="X401" s="4">
        <f t="shared" si="326"/>
        <v>1.361594226274385</v>
      </c>
      <c r="Y401" s="4">
        <f t="shared" si="327"/>
        <v>-0.74596517810230922</v>
      </c>
      <c r="Z401" t="str">
        <f t="shared" si="313"/>
        <v>0,995429118103851+0,181629835277416i</v>
      </c>
      <c r="AA401" s="4">
        <f t="shared" si="328"/>
        <v>1.0118638872061361</v>
      </c>
      <c r="AB401" s="4">
        <f t="shared" si="329"/>
        <v>0.1804784413147312</v>
      </c>
      <c r="AC401" s="47" t="str">
        <f t="shared" si="330"/>
        <v>-0,0295124910629107-0,0510530406317776i</v>
      </c>
      <c r="AD401" s="20">
        <f t="shared" si="331"/>
        <v>-24.587453394121653</v>
      </c>
      <c r="AE401" s="43">
        <f t="shared" si="332"/>
        <v>-120.03113710849127</v>
      </c>
      <c r="AF401" t="str">
        <f t="shared" si="314"/>
        <v>223,849857273222</v>
      </c>
      <c r="AG401" t="str">
        <f t="shared" si="315"/>
        <v>1+1676,87271030421i</v>
      </c>
      <c r="AH401">
        <f t="shared" si="333"/>
        <v>1676.8730084782767</v>
      </c>
      <c r="AI401">
        <f t="shared" si="334"/>
        <v>1.5701999786789596</v>
      </c>
      <c r="AJ401" t="str">
        <f t="shared" si="316"/>
        <v>1+0,424795461741717i</v>
      </c>
      <c r="AK401">
        <f t="shared" si="335"/>
        <v>1.0864857036870565</v>
      </c>
      <c r="AL401">
        <f t="shared" si="336"/>
        <v>0.40169738893976159</v>
      </c>
      <c r="AM401" t="str">
        <f t="shared" si="317"/>
        <v>1-0,279212080005455i</v>
      </c>
      <c r="AN401">
        <f t="shared" si="337"/>
        <v>1.0382482292886286</v>
      </c>
      <c r="AO401">
        <f t="shared" si="338"/>
        <v>-0.27227791573616134</v>
      </c>
      <c r="AP401" s="41" t="str">
        <f t="shared" si="339"/>
        <v>0,0195233264350626-0,149314090302005i</v>
      </c>
      <c r="AQ401">
        <f t="shared" si="340"/>
        <v>-16.444362744033388</v>
      </c>
      <c r="AR401" s="43">
        <f t="shared" si="341"/>
        <v>-82.550642168463511</v>
      </c>
      <c r="AS401" t="str">
        <f t="shared" si="318"/>
        <v>-0,0000166666666666667</v>
      </c>
      <c r="AT401" t="str">
        <f t="shared" si="319"/>
        <v>0,000426069848126942i</v>
      </c>
      <c r="AU401">
        <f t="shared" si="342"/>
        <v>4.26069848126942E-4</v>
      </c>
      <c r="AV401">
        <f t="shared" si="343"/>
        <v>1.5707963267948966</v>
      </c>
      <c r="AW401" t="str">
        <f t="shared" si="320"/>
        <v>1+0,279526425473114i</v>
      </c>
      <c r="AX401">
        <f t="shared" si="344"/>
        <v>1.0383328091405839</v>
      </c>
      <c r="AY401">
        <f t="shared" si="345"/>
        <v>0.27256950359239523</v>
      </c>
      <c r="AZ401" t="str">
        <f t="shared" si="321"/>
        <v>1+93,4550015831777i</v>
      </c>
      <c r="BA401">
        <f t="shared" si="346"/>
        <v>93.46035159848131</v>
      </c>
      <c r="BB401">
        <f t="shared" si="347"/>
        <v>1.5600963982737326</v>
      </c>
      <c r="BC401" s="41" t="str">
        <f t="shared" si="348"/>
        <v>-3,38062041947871+0,984089958645194i</v>
      </c>
      <c r="BD401">
        <f t="shared" si="349"/>
        <v>10.933175634439689</v>
      </c>
      <c r="BE401" s="43">
        <f t="shared" si="350"/>
        <v>163.76985707482544</v>
      </c>
      <c r="BF401" s="41" t="str">
        <f t="shared" si="351"/>
        <v>0,150011314560996+0,143548005526647i</v>
      </c>
      <c r="BG401" s="20">
        <f t="shared" si="352"/>
        <v>-13.654277759681978</v>
      </c>
      <c r="BH401" s="43">
        <f t="shared" si="353"/>
        <v>43.738719966334202</v>
      </c>
      <c r="BI401" s="41" t="str">
        <f t="shared" si="357"/>
        <v>0,0809375409479237+0,523986972094943i</v>
      </c>
      <c r="BJ401" s="20">
        <f t="shared" si="354"/>
        <v>-5.5111871095937044</v>
      </c>
      <c r="BK401" s="43">
        <f t="shared" si="358"/>
        <v>81.219214906361927</v>
      </c>
      <c r="BL401">
        <f t="shared" si="355"/>
        <v>-13.654277759681978</v>
      </c>
      <c r="BM401" s="43">
        <f t="shared" si="356"/>
        <v>43.738719966334202</v>
      </c>
    </row>
    <row r="402" spans="14:65" x14ac:dyDescent="0.25">
      <c r="N402" s="9">
        <v>84</v>
      </c>
      <c r="O402" s="34">
        <f t="shared" si="359"/>
        <v>69183.097091893651</v>
      </c>
      <c r="P402" s="33" t="str">
        <f t="shared" si="309"/>
        <v>66,7780509511648</v>
      </c>
      <c r="Q402" s="4" t="str">
        <f t="shared" si="310"/>
        <v>1+1694,16595607725i</v>
      </c>
      <c r="R402" s="4">
        <f t="shared" si="322"/>
        <v>1694.1662512076973</v>
      </c>
      <c r="S402" s="4">
        <f t="shared" si="323"/>
        <v>1.5702060659173971</v>
      </c>
      <c r="T402" s="4" t="str">
        <f t="shared" si="311"/>
        <v>1+0,434690219152965i</v>
      </c>
      <c r="U402" s="4">
        <f t="shared" si="324"/>
        <v>1.0903924002978251</v>
      </c>
      <c r="V402" s="4">
        <f t="shared" si="325"/>
        <v>0.41004963669545225</v>
      </c>
      <c r="W402" t="str">
        <f t="shared" si="312"/>
        <v>1-0,945612888309449i</v>
      </c>
      <c r="X402" s="4">
        <f t="shared" si="326"/>
        <v>1.3762934768925335</v>
      </c>
      <c r="Y402" s="4">
        <f t="shared" si="327"/>
        <v>-0.75745172428861229</v>
      </c>
      <c r="Z402" t="str">
        <f t="shared" si="313"/>
        <v>0,995213699076774+0,185860537628487i</v>
      </c>
      <c r="AA402" s="4">
        <f t="shared" si="328"/>
        <v>1.0124200937741339</v>
      </c>
      <c r="AB402" s="4">
        <f t="shared" si="329"/>
        <v>0.18462757547073347</v>
      </c>
      <c r="AC402" s="47" t="str">
        <f t="shared" si="330"/>
        <v>-0,0296091395490395-0,0503683407046086i</v>
      </c>
      <c r="AD402" s="20">
        <f t="shared" si="331"/>
        <v>-24.667783512566686</v>
      </c>
      <c r="AE402" s="43">
        <f t="shared" si="332"/>
        <v>-120.44923481223594</v>
      </c>
      <c r="AF402" t="str">
        <f t="shared" si="314"/>
        <v>223,849857273222</v>
      </c>
      <c r="AG402" t="str">
        <f t="shared" si="315"/>
        <v>1+1715,93209340113i</v>
      </c>
      <c r="AH402">
        <f t="shared" si="333"/>
        <v>1715.9323847879277</v>
      </c>
      <c r="AI402">
        <f t="shared" si="334"/>
        <v>1.5702135532162467</v>
      </c>
      <c r="AJ402" t="str">
        <f t="shared" si="316"/>
        <v>1+0,434690219152965i</v>
      </c>
      <c r="AK402">
        <f t="shared" si="335"/>
        <v>1.0903924002978251</v>
      </c>
      <c r="AL402">
        <f t="shared" si="336"/>
        <v>0.41004963669545225</v>
      </c>
      <c r="AM402" t="str">
        <f t="shared" si="317"/>
        <v>1-0,285715764829715i</v>
      </c>
      <c r="AN402">
        <f t="shared" si="337"/>
        <v>1.040016104813877</v>
      </c>
      <c r="AO402">
        <f t="shared" si="338"/>
        <v>-0.27830102648865318</v>
      </c>
      <c r="AP402" s="41" t="str">
        <f t="shared" si="339"/>
        <v>0,0195197437992632-0,14664450250779i</v>
      </c>
      <c r="AQ402">
        <f t="shared" si="340"/>
        <v>-16.598409370702306</v>
      </c>
      <c r="AR402" s="43">
        <f t="shared" si="341"/>
        <v>-82.417970211967841</v>
      </c>
      <c r="AS402" t="str">
        <f t="shared" si="318"/>
        <v>-0,0000166666666666667</v>
      </c>
      <c r="AT402" t="str">
        <f t="shared" si="319"/>
        <v>0,000435994289810424i</v>
      </c>
      <c r="AU402">
        <f t="shared" si="342"/>
        <v>4.3599428981042402E-4</v>
      </c>
      <c r="AV402">
        <f t="shared" si="343"/>
        <v>1.5707963267948966</v>
      </c>
      <c r="AW402" t="str">
        <f t="shared" si="320"/>
        <v>1+0,286037432343925i</v>
      </c>
      <c r="AX402">
        <f t="shared" si="344"/>
        <v>1.0401045200853161</v>
      </c>
      <c r="AY402">
        <f t="shared" si="345"/>
        <v>0.27859839170131528</v>
      </c>
      <c r="AZ402" t="str">
        <f t="shared" si="321"/>
        <v>1+95,6318482136522i</v>
      </c>
      <c r="BA402">
        <f t="shared" si="346"/>
        <v>95.637076454474581</v>
      </c>
      <c r="BB402">
        <f t="shared" si="347"/>
        <v>1.5603399404228413</v>
      </c>
      <c r="BC402" s="41" t="str">
        <f t="shared" si="348"/>
        <v>-3,36911315102917+1,00191927533815i</v>
      </c>
      <c r="BD402">
        <f t="shared" si="349"/>
        <v>10.918345122565245</v>
      </c>
      <c r="BE402" s="43">
        <f t="shared" si="350"/>
        <v>163.43838116830517</v>
      </c>
      <c r="BF402" s="41" t="str">
        <f t="shared" si="351"/>
        <v>0,150221552864073+0,140030671423055i</v>
      </c>
      <c r="BG402" s="20">
        <f t="shared" si="352"/>
        <v>-13.749438390001449</v>
      </c>
      <c r="BH402" s="43">
        <f t="shared" si="353"/>
        <v>42.989146356069341</v>
      </c>
      <c r="BI402" s="41" t="str">
        <f t="shared" si="357"/>
        <v>0,0811617281461107+0,51361912948727i</v>
      </c>
      <c r="BJ402" s="20">
        <f t="shared" si="354"/>
        <v>-5.6800642481370573</v>
      </c>
      <c r="BK402" s="43">
        <f t="shared" si="358"/>
        <v>81.020410956337372</v>
      </c>
      <c r="BL402">
        <f t="shared" si="355"/>
        <v>-13.749438390001449</v>
      </c>
      <c r="BM402" s="43">
        <f t="shared" si="356"/>
        <v>42.989146356069341</v>
      </c>
    </row>
    <row r="403" spans="14:65" x14ac:dyDescent="0.25">
      <c r="N403" s="9">
        <v>85</v>
      </c>
      <c r="O403" s="34">
        <f t="shared" si="359"/>
        <v>70794.578438413781</v>
      </c>
      <c r="P403" s="33" t="str">
        <f t="shared" ref="P403:P466" si="360">COMPLEX(Adc,0)</f>
        <v>66,7780509511648</v>
      </c>
      <c r="Q403" s="4" t="str">
        <f t="shared" ref="Q403:Q466" si="361">IMSUM(COMPLEX(1,0),IMDIV(COMPLEX(0,2*PI()*O403),COMPLEX(wp_lf,0)))</f>
        <v>1+1733,62815061447i</v>
      </c>
      <c r="R403" s="4">
        <f t="shared" si="322"/>
        <v>1733.6284390269293</v>
      </c>
      <c r="S403" s="4">
        <f t="shared" si="323"/>
        <v>1.5702195018923151</v>
      </c>
      <c r="T403" s="4" t="str">
        <f t="shared" ref="T403:T466" si="362">IMSUM(COMPLEX(1,0),IMDIV(COMPLEX(0,2*PI()*O403),COMPLEX(wz_esr,0)))</f>
        <v>1+0,444815455072214i</v>
      </c>
      <c r="U403" s="4">
        <f t="shared" si="324"/>
        <v>1.094468267731459</v>
      </c>
      <c r="V403" s="4">
        <f t="shared" si="325"/>
        <v>0.41853409991404339</v>
      </c>
      <c r="W403" t="str">
        <f t="shared" ref="W403:W466" si="363">IMSUB(COMPLEX(1,0),IMDIV(COMPLEX(0,2*PI()*O403),COMPLEX(wz_rhp,0)))</f>
        <v>1-0,967639042017422i</v>
      </c>
      <c r="X403" s="4">
        <f t="shared" si="326"/>
        <v>1.3915190676510309</v>
      </c>
      <c r="Y403" s="4">
        <f t="shared" si="327"/>
        <v>-0.76895305329912744</v>
      </c>
      <c r="Z403" t="str">
        <f t="shared" ref="Z403:Z466" si="364">IMSUM(COMPLEX(1,0),IMDIV(COMPLEX(0,2*PI()*O403),COMPLEX(Q*(wsl/2),0)),IMDIV(IMPOWER(COMPLEX(0,2*PI()*O403),2),IMPOWER(COMPLEX(wsl/2,0),2)))</f>
        <v>0,994988127663727+0,190189785696764i</v>
      </c>
      <c r="AA403" s="4">
        <f t="shared" si="328"/>
        <v>1.0130022353258408</v>
      </c>
      <c r="AB403" s="4">
        <f t="shared" si="329"/>
        <v>0.18886951530902066</v>
      </c>
      <c r="AC403" s="47" t="str">
        <f t="shared" si="330"/>
        <v>-0,029710014253511-0,049708923895993i</v>
      </c>
      <c r="AD403" s="20">
        <f t="shared" si="331"/>
        <v>-24.744807020375493</v>
      </c>
      <c r="AE403" s="43">
        <f t="shared" si="332"/>
        <v>-120.86590356380921</v>
      </c>
      <c r="AF403" t="str">
        <f t="shared" ref="AF403:AF466" si="365">COMPLEX($B$72,0)</f>
        <v>223,849857273222</v>
      </c>
      <c r="AG403" t="str">
        <f t="shared" ref="AG403:AG466" si="366">IMSUM(COMPLEX(1,0),IMDIV(COMPLEX(0,2*PI()*O403),COMPLEX(wp_lf_DCM,0)))</f>
        <v>1+1755,90128640702i</v>
      </c>
      <c r="AH403">
        <f t="shared" si="333"/>
        <v>1755.9015711610452</v>
      </c>
      <c r="AI403">
        <f t="shared" si="334"/>
        <v>1.5702268187595485</v>
      </c>
      <c r="AJ403" t="str">
        <f t="shared" ref="AJ403:AJ466" si="367">IMSUM(COMPLEX(1,0),IMDIV(COMPLEX(0,2*PI()*O403),COMPLEX(wz1_dcm,0)))</f>
        <v>1+0,444815455072214i</v>
      </c>
      <c r="AK403">
        <f t="shared" si="335"/>
        <v>1.094468267731459</v>
      </c>
      <c r="AL403">
        <f t="shared" si="336"/>
        <v>0.41853409991404339</v>
      </c>
      <c r="AM403" t="str">
        <f t="shared" ref="AM403:AM466" si="368">IMSUB(COMPLEX(1,0),IMDIV(COMPLEX(0,2*PI()*O403),COMPLEX(wz2_dcm,0)))</f>
        <v>1-0,292370939934383i</v>
      </c>
      <c r="AN403">
        <f t="shared" si="337"/>
        <v>1.0418640825549725</v>
      </c>
      <c r="AO403">
        <f t="shared" si="338"/>
        <v>-0.28444304451167635</v>
      </c>
      <c r="AP403" s="41" t="str">
        <f t="shared" si="339"/>
        <v>0,0195163224085294-0,144052667381886i</v>
      </c>
      <c r="AQ403">
        <f t="shared" si="340"/>
        <v>-16.75058209694587</v>
      </c>
      <c r="AR403" s="43">
        <f t="shared" si="341"/>
        <v>-82.284518048165211</v>
      </c>
      <c r="AS403" t="str">
        <f t="shared" ref="AS403:AS466" si="369">COMPLEX(Adc_ea,0)</f>
        <v>-0,0000166666666666667</v>
      </c>
      <c r="AT403" t="str">
        <f t="shared" ref="AT403:AT466" si="370">COMPLEX(0,2*PI()*O403*wp0_ea)</f>
        <v>0,000446149901437431i</v>
      </c>
      <c r="AU403">
        <f t="shared" si="342"/>
        <v>4.4614990143743101E-4</v>
      </c>
      <c r="AV403">
        <f t="shared" si="343"/>
        <v>1.5707963267948966</v>
      </c>
      <c r="AW403" t="str">
        <f t="shared" ref="AW403:AW466" si="371">IMSUM(COMPLEX(1,0),IMDIV(COMPLEX(0,2*PI()*O403),COMPLEX(wp1_ea,0)))</f>
        <v>1+0,292700100047519i</v>
      </c>
      <c r="AX403">
        <f t="shared" si="344"/>
        <v>1.0419565003241871</v>
      </c>
      <c r="AY403">
        <f t="shared" si="345"/>
        <v>0.28474625663023345</v>
      </c>
      <c r="AZ403" t="str">
        <f t="shared" ref="AZ403:AZ466" si="372">IMSUM(COMPLEX(1,0),IMDIV(COMPLEX(0,2*PI()*O403),COMPLEX(wz_ea,0)))</f>
        <v>1+97,859400115887i</v>
      </c>
      <c r="BA403">
        <f t="shared" si="346"/>
        <v>97.864509353704236</v>
      </c>
      <c r="BB403">
        <f t="shared" si="347"/>
        <v>1.5605779400744473</v>
      </c>
      <c r="BC403" s="41" t="str">
        <f t="shared" si="348"/>
        <v>-3,35714722752876+1,01999398150379i</v>
      </c>
      <c r="BD403">
        <f t="shared" si="349"/>
        <v>10.902871659006703</v>
      </c>
      <c r="BE403" s="43">
        <f t="shared" si="350"/>
        <v>163.09977083042432</v>
      </c>
      <c r="BF403" s="41" t="str">
        <f t="shared" si="351"/>
        <v>0,150443695181957+0,136576140311898i</v>
      </c>
      <c r="BG403" s="20">
        <f t="shared" si="352"/>
        <v>-13.841935361368801</v>
      </c>
      <c r="BH403" s="43">
        <f t="shared" si="353"/>
        <v>42.233867266615128</v>
      </c>
      <c r="BI403" s="41" t="str">
        <f t="shared" si="357"/>
        <v>0,0814136860837391+0,503512544317009i</v>
      </c>
      <c r="BJ403" s="20">
        <f t="shared" si="354"/>
        <v>-5.8477104379391642</v>
      </c>
      <c r="BK403" s="43">
        <f t="shared" si="358"/>
        <v>80.815252782259122</v>
      </c>
      <c r="BL403">
        <f t="shared" si="355"/>
        <v>-13.841935361368801</v>
      </c>
      <c r="BM403" s="43">
        <f t="shared" si="356"/>
        <v>42.233867266615128</v>
      </c>
    </row>
    <row r="404" spans="14:65" x14ac:dyDescent="0.25">
      <c r="N404" s="9">
        <v>86</v>
      </c>
      <c r="O404" s="34">
        <f t="shared" si="359"/>
        <v>72443.596007499116</v>
      </c>
      <c r="P404" s="33" t="str">
        <f t="shared" si="360"/>
        <v>66,7780509511648</v>
      </c>
      <c r="Q404" s="4" t="str">
        <f t="shared" si="361"/>
        <v>1+1774,00953774444i</v>
      </c>
      <c r="R404" s="4">
        <f t="shared" ref="R404:R467" si="373">IMABS(Q404)</f>
        <v>1774.0098195918315</v>
      </c>
      <c r="S404" s="4">
        <f t="shared" ref="S404:S467" si="374">IMARGUMENT(Q404)</f>
        <v>1.5702326320273059</v>
      </c>
      <c r="T404" s="4" t="str">
        <f t="shared" si="362"/>
        <v>1+0,455176538033572i</v>
      </c>
      <c r="U404" s="4">
        <f t="shared" ref="U404:U467" si="375">IMABS(T404)</f>
        <v>1.0987200192843616</v>
      </c>
      <c r="V404" s="4">
        <f t="shared" ref="V404:V467" si="376">IMARGUMENT(T404)</f>
        <v>0.42715039001430821</v>
      </c>
      <c r="W404" t="str">
        <f t="shared" si="363"/>
        <v>1-0,990178250753692i</v>
      </c>
      <c r="X404" s="4">
        <f t="shared" ref="X404:X467" si="377">IMABS(W404)</f>
        <v>1.4072856740071085</v>
      </c>
      <c r="Y404" s="4">
        <f t="shared" ref="Y404:Y467" si="378">IMARGUMENT(W404)</f>
        <v>-0.78046309313100792</v>
      </c>
      <c r="Z404" t="str">
        <f t="shared" si="364"/>
        <v>0,994751925397502+0,194619874906878i</v>
      </c>
      <c r="AA404" s="4">
        <f t="shared" ref="AA404:AA467" si="379">IMABS(Z404)</f>
        <v>1.0136115078227981</v>
      </c>
      <c r="AB404" s="4">
        <f t="shared" ref="AB404:AB467" si="380">IMARGUMENT(Z404)</f>
        <v>0.19320615692780654</v>
      </c>
      <c r="AC404" s="47" t="str">
        <f t="shared" ref="AC404:AC467" si="381">(IMDIV(IMPRODUCT(P404,T404,W404),IMPRODUCT(Q404,Z404)))</f>
        <v>-0,0298152977686781-0,049074343922607i</v>
      </c>
      <c r="AD404" s="20">
        <f t="shared" ref="AD404:AD467" si="382">20*LOG(IMABS(AC404))</f>
        <v>-24.818490170856535</v>
      </c>
      <c r="AE404" s="43">
        <f t="shared" ref="AE404:AE467" si="383">(180/PI())*IMARGUMENT(AC404)</f>
        <v>-121.28092677373459</v>
      </c>
      <c r="AF404" t="str">
        <f t="shared" si="365"/>
        <v>223,849857273222</v>
      </c>
      <c r="AG404" t="str">
        <f t="shared" si="366"/>
        <v>1+1796,80148151707i</v>
      </c>
      <c r="AH404">
        <f t="shared" ref="AH404:AH467" si="384">IMABS(AG404)</f>
        <v>1796.8017597893031</v>
      </c>
      <c r="AI404">
        <f t="shared" ref="AI404:AI467" si="385">IMARGUMENT(AG404)</f>
        <v>1.570239782342413</v>
      </c>
      <c r="AJ404" t="str">
        <f t="shared" si="367"/>
        <v>1+0,455176538033572i</v>
      </c>
      <c r="AK404">
        <f t="shared" ref="AK404:AK467" si="386">IMABS(AJ404)</f>
        <v>1.0987200192843616</v>
      </c>
      <c r="AL404">
        <f t="shared" ref="AL404:AL467" si="387">IMARGUMENT(AJ404)</f>
        <v>0.42715039001430821</v>
      </c>
      <c r="AM404" t="str">
        <f t="shared" si="368"/>
        <v>1-0,299181133981392i</v>
      </c>
      <c r="AN404">
        <f t="shared" ref="AN404:AN467" si="388">IMABS(AM404)</f>
        <v>1.0437956461541653</v>
      </c>
      <c r="AO404">
        <f t="shared" ref="AO404:AO467" si="389">IMARGUMENT(AM404)</f>
        <v>-0.29070537203862123</v>
      </c>
      <c r="AP404" s="41" t="str">
        <f t="shared" ref="AP404:AP467" si="390">(IMDIV(IMPRODUCT(AF404,AJ404,AM404),IMPRODUCT(AG404)))</f>
        <v>0,019513055005647-0,141537210711549i</v>
      </c>
      <c r="AQ404">
        <f t="shared" ref="AQ404:AQ467" si="391">20*LOG(IMABS(AP404))</f>
        <v>-16.900816475433022</v>
      </c>
      <c r="AR404" s="43">
        <f t="shared" ref="AR404:AR467" si="392">(180/PI())*IMARGUMENT(AP404)</f>
        <v>-82.150388686167759</v>
      </c>
      <c r="AS404" t="str">
        <f t="shared" si="369"/>
        <v>-0,0000166666666666667</v>
      </c>
      <c r="AT404" t="str">
        <f t="shared" si="370"/>
        <v>0,000456542067647673i</v>
      </c>
      <c r="AU404">
        <f t="shared" ref="AU404:AU467" si="393">IMABS(AT404)</f>
        <v>4.5654206764767299E-4</v>
      </c>
      <c r="AV404">
        <f t="shared" ref="AV404:AV467" si="394">IMARGUMENT(AT404)</f>
        <v>1.5707963267948966</v>
      </c>
      <c r="AW404" t="str">
        <f t="shared" si="371"/>
        <v>1+0,299517961218502i</v>
      </c>
      <c r="AX404">
        <f t="shared" ref="AX404:AX467" si="395">IMABS(AW404)</f>
        <v>1.043892240172561</v>
      </c>
      <c r="AY404">
        <f t="shared" ref="AY404:AY467" si="396">IMARGUMENT(AW404)</f>
        <v>0.29101449841252597</v>
      </c>
      <c r="AZ404" t="str">
        <f t="shared" si="372"/>
        <v>1+100,138838367386i</v>
      </c>
      <c r="BA404">
        <f t="shared" ref="BA404:BA467" si="397">IMABS(AZ404)</f>
        <v>100.14383131061771</v>
      </c>
      <c r="BB404">
        <f t="shared" ref="BB404:BB467" si="398">IMARGUMENT(AZ404)</f>
        <v>1.5608105233112042</v>
      </c>
      <c r="BC404" s="41" t="str">
        <f t="shared" ref="BC404:BC467" si="399">IMPRODUCT(AS404,IMDIV(AZ404,IMPRODUCT(AT404,AW404)))</f>
        <v>-3,34470813062787+1,03830647107017i</v>
      </c>
      <c r="BD404">
        <f t="shared" ref="BD404:BD467" si="400">20*LOG(IMABS(BC404))</f>
        <v>10.886729632887299</v>
      </c>
      <c r="BE404" s="43">
        <f t="shared" ref="BE404:BE467" si="401">(180/PI())*IMARGUMENT(BC404)</f>
        <v>162.75395306918304</v>
      </c>
      <c r="BF404" s="41" t="str">
        <f t="shared" ref="BF404:BF467" si="402">IMPRODUCT(AC404,BC404)</f>
        <v>0,150677677722355+0,13318194051307i</v>
      </c>
      <c r="BG404" s="20">
        <f t="shared" ref="BG404:BG467" si="403">20*LOG(IMABS(BF404))</f>
        <v>-13.931760537969204</v>
      </c>
      <c r="BH404" s="43">
        <f t="shared" ref="BH404:BH467" si="404">(180/PI())*IMARGUMENT(BF404)</f>
        <v>41.473026295448442</v>
      </c>
      <c r="BI404" s="41" t="str">
        <f t="shared" si="357"/>
        <v>0,0816935280482471+0,493661190736019i</v>
      </c>
      <c r="BJ404" s="20">
        <f t="shared" ref="BJ404:BJ467" si="405">20*LOG(IMABS(BI404))</f>
        <v>-6.0140868425457299</v>
      </c>
      <c r="BK404" s="43">
        <f t="shared" si="358"/>
        <v>80.603564383015296</v>
      </c>
      <c r="BL404">
        <f t="shared" ref="BL404:BL467" si="406">IF($B$31=0,BJ404,BG404)</f>
        <v>-13.931760537969204</v>
      </c>
      <c r="BM404" s="43">
        <f t="shared" ref="BM404:BM467" si="407">IF($B$31=0,BK404,BH404)</f>
        <v>41.473026295448442</v>
      </c>
    </row>
    <row r="405" spans="14:65" x14ac:dyDescent="0.25">
      <c r="N405" s="9">
        <v>87</v>
      </c>
      <c r="O405" s="34">
        <f t="shared" si="359"/>
        <v>74131.024130091857</v>
      </c>
      <c r="P405" s="33" t="str">
        <f t="shared" si="360"/>
        <v>66,7780509511648</v>
      </c>
      <c r="Q405" s="4" t="str">
        <f t="shared" si="361"/>
        <v>1+1815,3315282131i</v>
      </c>
      <c r="R405" s="4">
        <f t="shared" si="373"/>
        <v>1815.3318036448625</v>
      </c>
      <c r="S405" s="4">
        <f t="shared" si="374"/>
        <v>1.5702454632841227</v>
      </c>
      <c r="T405" s="4" t="str">
        <f t="shared" si="362"/>
        <v>1+0,465778961620369i</v>
      </c>
      <c r="U405" s="4">
        <f t="shared" si="375"/>
        <v>1.1031545862154357</v>
      </c>
      <c r="V405" s="4">
        <f t="shared" si="376"/>
        <v>0.43589795700952311</v>
      </c>
      <c r="W405" t="str">
        <f t="shared" si="363"/>
        <v>1-1,01324246510507i</v>
      </c>
      <c r="X405" s="4">
        <f t="shared" si="377"/>
        <v>1.423608195077634</v>
      </c>
      <c r="Y405" s="4">
        <f t="shared" si="378"/>
        <v>-0.79197574873913656</v>
      </c>
      <c r="Z405" t="str">
        <f t="shared" si="364"/>
        <v>0,994504591261424+0,199153154150765i</v>
      </c>
      <c r="AA405" s="4">
        <f t="shared" si="379"/>
        <v>1.0142491611277036</v>
      </c>
      <c r="AB405" s="4">
        <f t="shared" si="380"/>
        <v>0.19763942265962833</v>
      </c>
      <c r="AC405" s="47" t="str">
        <f t="shared" si="381"/>
        <v>-0,0299251791670884-0,0484641613534848i</v>
      </c>
      <c r="AD405" s="20">
        <f t="shared" si="382"/>
        <v>-24.888801602246961</v>
      </c>
      <c r="AE405" s="43">
        <f t="shared" si="383"/>
        <v>-121.69409727398899</v>
      </c>
      <c r="AF405" t="str">
        <f t="shared" si="365"/>
        <v>223,849857273222</v>
      </c>
      <c r="AG405" t="str">
        <f t="shared" si="366"/>
        <v>1+1838,6543645561i</v>
      </c>
      <c r="AH405">
        <f t="shared" si="384"/>
        <v>1838.654636494085</v>
      </c>
      <c r="AI405">
        <f t="shared" si="385"/>
        <v>1.5702524508382858</v>
      </c>
      <c r="AJ405" t="str">
        <f t="shared" si="367"/>
        <v>1+0,465778961620369i</v>
      </c>
      <c r="AK405">
        <f t="shared" si="386"/>
        <v>1.1031545862154357</v>
      </c>
      <c r="AL405">
        <f t="shared" si="387"/>
        <v>0.43589795700952311</v>
      </c>
      <c r="AM405" t="str">
        <f t="shared" si="368"/>
        <v>1-0,306149957825768i</v>
      </c>
      <c r="AN405">
        <f t="shared" si="388"/>
        <v>1.0458144178948383</v>
      </c>
      <c r="AO405">
        <f t="shared" si="389"/>
        <v>-0.29708936399036256</v>
      </c>
      <c r="AP405" s="41" t="str">
        <f t="shared" si="390"/>
        <v>0,0195099346600298-0,139096798780067i</v>
      </c>
      <c r="AQ405">
        <f t="shared" si="391"/>
        <v>-17.049046794704164</v>
      </c>
      <c r="AR405" s="43">
        <f t="shared" si="392"/>
        <v>-82.015691662960592</v>
      </c>
      <c r="AS405" t="str">
        <f t="shared" si="369"/>
        <v>-0,0000166666666666667</v>
      </c>
      <c r="AT405" t="str">
        <f t="shared" si="370"/>
        <v>0,00046717629850523i</v>
      </c>
      <c r="AU405">
        <f t="shared" si="393"/>
        <v>4.6717629850523E-4</v>
      </c>
      <c r="AV405">
        <f t="shared" si="394"/>
        <v>1.5707963267948966</v>
      </c>
      <c r="AW405" t="str">
        <f t="shared" si="371"/>
        <v>1+0,306494630777112i</v>
      </c>
      <c r="AX405">
        <f t="shared" si="395"/>
        <v>1.0459153688015097</v>
      </c>
      <c r="AY405">
        <f t="shared" si="396"/>
        <v>0.29740446953174093</v>
      </c>
      <c r="AZ405" t="str">
        <f t="shared" si="372"/>
        <v>1+102,471371556481i</v>
      </c>
      <c r="BA405">
        <f t="shared" si="397"/>
        <v>102.47625085192365</v>
      </c>
      <c r="BB405">
        <f t="shared" si="398"/>
        <v>1.5610378133511122</v>
      </c>
      <c r="BC405" s="41" t="str">
        <f t="shared" si="399"/>
        <v>-3,33178121427694+1,05684837892445i</v>
      </c>
      <c r="BD405">
        <f t="shared" si="400"/>
        <v>10.869892635059553</v>
      </c>
      <c r="BE405" s="43">
        <f t="shared" si="401"/>
        <v>162.40085745285361</v>
      </c>
      <c r="BF405" s="41" t="str">
        <f t="shared" si="402"/>
        <v>0,15092342014514+0,129845605271466i</v>
      </c>
      <c r="BG405" s="20">
        <f t="shared" si="403"/>
        <v>-14.018908967187418</v>
      </c>
      <c r="BH405" s="43">
        <f t="shared" si="404"/>
        <v>40.706760178864634</v>
      </c>
      <c r="BI405" s="41" t="str">
        <f t="shared" si="357"/>
        <v>0,0820013925122364+0,484059143959861i</v>
      </c>
      <c r="BJ405" s="20">
        <f t="shared" si="405"/>
        <v>-6.1791541596446153</v>
      </c>
      <c r="BK405" s="43">
        <f t="shared" si="358"/>
        <v>80.385165789893009</v>
      </c>
      <c r="BL405">
        <f t="shared" si="406"/>
        <v>-14.018908967187418</v>
      </c>
      <c r="BM405" s="43">
        <f t="shared" si="407"/>
        <v>40.706760178864634</v>
      </c>
    </row>
    <row r="406" spans="14:65" x14ac:dyDescent="0.25">
      <c r="N406" s="9">
        <v>88</v>
      </c>
      <c r="O406" s="34">
        <f t="shared" si="359"/>
        <v>75857.757502918481</v>
      </c>
      <c r="P406" s="33" t="str">
        <f t="shared" si="360"/>
        <v>66,7780509511648</v>
      </c>
      <c r="Q406" s="4" t="str">
        <f t="shared" si="361"/>
        <v>1+1857,61603148678i</v>
      </c>
      <c r="R406" s="4">
        <f t="shared" si="373"/>
        <v>1857.6163006489508</v>
      </c>
      <c r="S406" s="4">
        <f t="shared" si="374"/>
        <v>1.5702580024660513</v>
      </c>
      <c r="T406" s="4" t="str">
        <f t="shared" si="362"/>
        <v>1+0,476628347377929i</v>
      </c>
      <c r="U406" s="4">
        <f t="shared" si="375"/>
        <v>1.1077791212711203</v>
      </c>
      <c r="V406" s="4">
        <f t="shared" si="376"/>
        <v>0.44477608304330041</v>
      </c>
      <c r="W406" t="str">
        <f t="shared" si="363"/>
        <v>1-1,03684391402329i</v>
      </c>
      <c r="X406" s="4">
        <f t="shared" si="377"/>
        <v>1.4405017535730857</v>
      </c>
      <c r="Y406" s="4">
        <f t="shared" si="378"/>
        <v>-0.80348491815085299</v>
      </c>
      <c r="Z406" t="str">
        <f t="shared" si="364"/>
        <v>0,994245600626628+0,203792027033087i</v>
      </c>
      <c r="AA406" s="4">
        <f t="shared" si="379"/>
        <v>1.0149165013180439</v>
      </c>
      <c r="AB406" s="4">
        <f t="shared" si="380"/>
        <v>0.20217126052421935</v>
      </c>
      <c r="AC406" s="47" t="str">
        <f t="shared" si="381"/>
        <v>-0,0300398541475267-0,0478779429937554i</v>
      </c>
      <c r="AD406" s="20">
        <f t="shared" si="382"/>
        <v>-24.955712419813423</v>
      </c>
      <c r="AE406" s="43">
        <f t="shared" si="383"/>
        <v>-122.10521858054248</v>
      </c>
      <c r="AF406" t="str">
        <f t="shared" si="365"/>
        <v>223,849857273222</v>
      </c>
      <c r="AG406" t="str">
        <f t="shared" si="366"/>
        <v>1+1881,48212647667i</v>
      </c>
      <c r="AH406">
        <f t="shared" si="384"/>
        <v>1881.4823922245914</v>
      </c>
      <c r="AI406">
        <f t="shared" si="385"/>
        <v>1.5702648309641549</v>
      </c>
      <c r="AJ406" t="str">
        <f t="shared" si="367"/>
        <v>1+0,476628347377929i</v>
      </c>
      <c r="AK406">
        <f t="shared" si="386"/>
        <v>1.1077791212711203</v>
      </c>
      <c r="AL406">
        <f t="shared" si="387"/>
        <v>0.44477608304330041</v>
      </c>
      <c r="AM406" t="str">
        <f t="shared" si="368"/>
        <v>1-0,313281106430156i</v>
      </c>
      <c r="AN406">
        <f t="shared" si="388"/>
        <v>1.0479241631177814</v>
      </c>
      <c r="AO406">
        <f t="shared" si="389"/>
        <v>-0.30359632301781098</v>
      </c>
      <c r="AP406" s="41" t="str">
        <f t="shared" si="390"/>
        <v>0,0195069547530184-0,136730137659659i</v>
      </c>
      <c r="AQ406">
        <f t="shared" si="391"/>
        <v>-17.195206129778626</v>
      </c>
      <c r="AR406" s="43">
        <f t="shared" si="392"/>
        <v>-81.880543129939397</v>
      </c>
      <c r="AS406" t="str">
        <f t="shared" si="369"/>
        <v>-0,0000166666666666667</v>
      </c>
      <c r="AT406" t="str">
        <f t="shared" si="370"/>
        <v>0,000478058232420063i</v>
      </c>
      <c r="AU406">
        <f t="shared" si="393"/>
        <v>4.7805823242006302E-4</v>
      </c>
      <c r="AV406">
        <f t="shared" si="394"/>
        <v>1.5707963267948966</v>
      </c>
      <c r="AW406" t="str">
        <f t="shared" si="371"/>
        <v>1+0,313633807845895i</v>
      </c>
      <c r="AX406">
        <f t="shared" si="395"/>
        <v>1.048029658656622</v>
      </c>
      <c r="AY406">
        <f t="shared" si="396"/>
        <v>0.30391746995377722</v>
      </c>
      <c r="AZ406" t="str">
        <f t="shared" si="372"/>
        <v>1+104,858236423144i</v>
      </c>
      <c r="BA406">
        <f t="shared" si="397"/>
        <v>104.86300465737172</v>
      </c>
      <c r="BB406">
        <f t="shared" si="398"/>
        <v>1.5612599306123698</v>
      </c>
      <c r="BC406" s="41" t="str">
        <f t="shared" si="399"/>
        <v>-3,31835173631704+1,07561054709859i</v>
      </c>
      <c r="BD406">
        <f t="shared" si="400"/>
        <v>10.852333451858469</v>
      </c>
      <c r="BE406" s="43">
        <f t="shared" si="401"/>
        <v>162.04041639833122</v>
      </c>
      <c r="BF406" s="41" t="str">
        <f t="shared" si="402"/>
        <v>0,151180822626624+0,126564671310233i</v>
      </c>
      <c r="BG406" s="20">
        <f t="shared" si="403"/>
        <v>-14.103378967954974</v>
      </c>
      <c r="BH406" s="43">
        <f t="shared" si="404"/>
        <v>39.935197817788669</v>
      </c>
      <c r="BI406" s="41" t="str">
        <f t="shared" si="357"/>
        <v>0,0823374409980348+0,474700575983919i</v>
      </c>
      <c r="BJ406" s="20">
        <f t="shared" si="405"/>
        <v>-6.3428726779201563</v>
      </c>
      <c r="BK406" s="43">
        <f t="shared" si="358"/>
        <v>80.15987326839182</v>
      </c>
      <c r="BL406">
        <f t="shared" si="406"/>
        <v>-14.103378967954974</v>
      </c>
      <c r="BM406" s="43">
        <f t="shared" si="407"/>
        <v>39.935197817788669</v>
      </c>
    </row>
    <row r="407" spans="14:65" x14ac:dyDescent="0.25">
      <c r="N407" s="9">
        <v>89</v>
      </c>
      <c r="O407" s="34">
        <f t="shared" si="359"/>
        <v>77624.711662869129</v>
      </c>
      <c r="P407" s="33" t="str">
        <f t="shared" si="360"/>
        <v>66,7780509511648</v>
      </c>
      <c r="Q407" s="4" t="str">
        <f t="shared" si="361"/>
        <v>1+1900,8854673688i</v>
      </c>
      <c r="R407" s="4">
        <f t="shared" si="373"/>
        <v>1900.8857304040926</v>
      </c>
      <c r="S407" s="4">
        <f t="shared" si="374"/>
        <v>1.5702702562215158</v>
      </c>
      <c r="T407" s="4" t="str">
        <f t="shared" si="362"/>
        <v>1+0,487730447794191i</v>
      </c>
      <c r="U407" s="4">
        <f t="shared" si="375"/>
        <v>1.1126010020243204</v>
      </c>
      <c r="V407" s="4">
        <f t="shared" si="376"/>
        <v>0.45378387613590931</v>
      </c>
      <c r="W407" t="str">
        <f t="shared" si="363"/>
        <v>1-1,06099511130898i</v>
      </c>
      <c r="X407" s="4">
        <f t="shared" si="377"/>
        <v>1.4579816961202066</v>
      </c>
      <c r="Y407" s="4">
        <f t="shared" si="378"/>
        <v>-0.81498450862540373</v>
      </c>
      <c r="Z407" t="str">
        <f t="shared" si="364"/>
        <v>0,993974404139256+0,208538953145647i</v>
      </c>
      <c r="AA407" s="4">
        <f t="shared" si="379"/>
        <v>1.0156148930884539</v>
      </c>
      <c r="AB407" s="4">
        <f t="shared" si="380"/>
        <v>0.20680364359997294</v>
      </c>
      <c r="AC407" s="47" t="str">
        <f t="shared" si="381"/>
        <v>-0,0301595251735726-0,0473152612519053i</v>
      </c>
      <c r="AD407" s="20">
        <f t="shared" si="382"/>
        <v>-25.019196272942835</v>
      </c>
      <c r="AE407" s="43">
        <f t="shared" si="383"/>
        <v>-122.51410614172946</v>
      </c>
      <c r="AF407" t="str">
        <f t="shared" si="365"/>
        <v>223,849857273222</v>
      </c>
      <c r="AG407" t="str">
        <f t="shared" si="366"/>
        <v>1+1925,30747512507i</v>
      </c>
      <c r="AH407">
        <f t="shared" si="384"/>
        <v>1925.3077348238312</v>
      </c>
      <c r="AI407">
        <f t="shared" si="385"/>
        <v>1.5702769292841119</v>
      </c>
      <c r="AJ407" t="str">
        <f t="shared" si="367"/>
        <v>1+0,487730447794191i</v>
      </c>
      <c r="AK407">
        <f t="shared" si="386"/>
        <v>1.1126010020243204</v>
      </c>
      <c r="AL407">
        <f t="shared" si="387"/>
        <v>0.45378387613590931</v>
      </c>
      <c r="AM407" t="str">
        <f t="shared" si="368"/>
        <v>1-0,320578360823939i</v>
      </c>
      <c r="AN407">
        <f t="shared" si="388"/>
        <v>1.0501287946859488</v>
      </c>
      <c r="AO407">
        <f t="shared" si="389"/>
        <v>-0.31022749433345531</v>
      </c>
      <c r="AP407" s="41" t="str">
        <f t="shared" si="390"/>
        <v>0,0195041089638413-0,134435972525471i</v>
      </c>
      <c r="AQ407">
        <f t="shared" si="391"/>
        <v>-17.339226399511837</v>
      </c>
      <c r="AR407" s="43">
        <f t="shared" si="392"/>
        <v>-81.745065915293182</v>
      </c>
      <c r="AS407" t="str">
        <f t="shared" si="369"/>
        <v>-0,0000166666666666667</v>
      </c>
      <c r="AT407" t="str">
        <f t="shared" si="370"/>
        <v>0,000489193639137574i</v>
      </c>
      <c r="AU407">
        <f t="shared" si="393"/>
        <v>4.8919363913757399E-4</v>
      </c>
      <c r="AV407">
        <f t="shared" si="394"/>
        <v>1.5707963267948966</v>
      </c>
      <c r="AW407" t="str">
        <f t="shared" si="371"/>
        <v>1+0,320939277711033i</v>
      </c>
      <c r="AX407">
        <f t="shared" si="395"/>
        <v>1.0502390299249402</v>
      </c>
      <c r="AY407">
        <f t="shared" si="396"/>
        <v>0.31055474194819305</v>
      </c>
      <c r="AZ407" t="str">
        <f t="shared" si="372"/>
        <v>1+107,300698514722i</v>
      </c>
      <c r="BA407">
        <f t="shared" si="397"/>
        <v>107.3053582154557</v>
      </c>
      <c r="BB407">
        <f t="shared" si="398"/>
        <v>1.5614769927767713</v>
      </c>
      <c r="BC407" s="41" t="str">
        <f t="shared" si="399"/>
        <v>-3,30440489331116+1,0945829913904i</v>
      </c>
      <c r="BD407">
        <f t="shared" si="400"/>
        <v>10.834024060680621</v>
      </c>
      <c r="BE407" s="43">
        <f t="shared" si="401"/>
        <v>161.6725654714829</v>
      </c>
      <c r="BF407" s="41" t="str">
        <f t="shared" si="402"/>
        <v>0,151449762763023+0,123336677525689i</v>
      </c>
      <c r="BG407" s="20">
        <f t="shared" si="403"/>
        <v>-14.185172212262209</v>
      </c>
      <c r="BH407" s="43">
        <f t="shared" si="404"/>
        <v>39.158459329753583</v>
      </c>
      <c r="BI407" s="41" t="str">
        <f t="shared" si="357"/>
        <v>0,0827018558576164+0,465579751384257i</v>
      </c>
      <c r="BJ407" s="20">
        <f t="shared" si="405"/>
        <v>-6.5052023388312099</v>
      </c>
      <c r="BK407" s="43">
        <f t="shared" si="358"/>
        <v>79.92749955618973</v>
      </c>
      <c r="BL407">
        <f t="shared" si="406"/>
        <v>-14.185172212262209</v>
      </c>
      <c r="BM407" s="43">
        <f t="shared" si="407"/>
        <v>39.158459329753583</v>
      </c>
    </row>
    <row r="408" spans="14:65" x14ac:dyDescent="0.25">
      <c r="N408" s="9">
        <v>90</v>
      </c>
      <c r="O408" s="34">
        <f t="shared" si="359"/>
        <v>79432.823472428237</v>
      </c>
      <c r="P408" s="33" t="str">
        <f t="shared" si="360"/>
        <v>66,7780509511648</v>
      </c>
      <c r="Q408" s="4" t="str">
        <f t="shared" si="361"/>
        <v>1+1945,16277788682i</v>
      </c>
      <c r="R408" s="4">
        <f t="shared" si="373"/>
        <v>1945.1630349346992</v>
      </c>
      <c r="S408" s="4">
        <f t="shared" si="374"/>
        <v>1.5702822310476048</v>
      </c>
      <c r="T408" s="4" t="str">
        <f t="shared" si="362"/>
        <v>1+0,499091149349751i</v>
      </c>
      <c r="U408" s="4">
        <f t="shared" si="375"/>
        <v>1.1176278340124031</v>
      </c>
      <c r="V408" s="4">
        <f t="shared" si="376"/>
        <v>0.46292026418970106</v>
      </c>
      <c r="W408" t="str">
        <f t="shared" si="363"/>
        <v>1-1,08570886224662i</v>
      </c>
      <c r="X408" s="4">
        <f t="shared" si="377"/>
        <v>1.476063594009706</v>
      </c>
      <c r="Y408" s="4">
        <f t="shared" si="378"/>
        <v>-0.82646845275378999</v>
      </c>
      <c r="Z408" t="str">
        <f t="shared" si="364"/>
        <v>0,993690426555198+0,213396449371506i</v>
      </c>
      <c r="AA408" s="4">
        <f t="shared" si="379"/>
        <v>1.016345762244236</v>
      </c>
      <c r="AB408" s="4">
        <f t="shared" si="380"/>
        <v>0.21153856930879483</v>
      </c>
      <c r="AC408" s="47" t="str">
        <f t="shared" si="381"/>
        <v>-0,0302844016033071-0,0467756934896267i</v>
      </c>
      <c r="AD408" s="20">
        <f t="shared" si="382"/>
        <v>-25.079229427246119</v>
      </c>
      <c r="AE408" s="43">
        <f t="shared" si="383"/>
        <v>-122.92058856339274</v>
      </c>
      <c r="AF408" t="str">
        <f t="shared" si="365"/>
        <v>223,849857273222</v>
      </c>
      <c r="AG408" t="str">
        <f t="shared" si="366"/>
        <v>1+1970,15364728124i</v>
      </c>
      <c r="AH408">
        <f t="shared" si="384"/>
        <v>1970.1539010685367</v>
      </c>
      <c r="AI408">
        <f t="shared" si="385"/>
        <v>1.5702887522128315</v>
      </c>
      <c r="AJ408" t="str">
        <f t="shared" si="367"/>
        <v>1+0,499091149349751i</v>
      </c>
      <c r="AK408">
        <f t="shared" si="386"/>
        <v>1.1176278340124031</v>
      </c>
      <c r="AL408">
        <f t="shared" si="387"/>
        <v>0.46292026418970106</v>
      </c>
      <c r="AM408" t="str">
        <f t="shared" si="368"/>
        <v>1-0,328045590107989i</v>
      </c>
      <c r="AN408">
        <f t="shared" si="388"/>
        <v>1.0524323774900213</v>
      </c>
      <c r="AO408">
        <f t="shared" si="389"/>
        <v>-0.31698406033529258</v>
      </c>
      <c r="AP408" s="41" t="str">
        <f t="shared" si="390"/>
        <v>0,0195013912562083-0,132213086990301i</v>
      </c>
      <c r="AQ408">
        <f t="shared" si="391"/>
        <v>-17.481038430911269</v>
      </c>
      <c r="AR408" s="43">
        <f t="shared" si="392"/>
        <v>-81.609389559641144</v>
      </c>
      <c r="AS408" t="str">
        <f t="shared" si="369"/>
        <v>-0,0000166666666666667</v>
      </c>
      <c r="AT408" t="str">
        <f t="shared" si="370"/>
        <v>0,0005005884227978i</v>
      </c>
      <c r="AU408">
        <f t="shared" si="393"/>
        <v>5.0058842279779997E-4</v>
      </c>
      <c r="AV408">
        <f t="shared" si="394"/>
        <v>1.5707963267948966</v>
      </c>
      <c r="AW408" t="str">
        <f t="shared" si="371"/>
        <v>1+0,328414913829348i</v>
      </c>
      <c r="AX408">
        <f t="shared" si="395"/>
        <v>1.0525475550423069</v>
      </c>
      <c r="AY408">
        <f t="shared" si="396"/>
        <v>0.31731746470210187</v>
      </c>
      <c r="AZ408" t="str">
        <f t="shared" si="372"/>
        <v>1+109,800052856945i</v>
      </c>
      <c r="BA408">
        <f t="shared" si="397"/>
        <v>109.80460649439037</v>
      </c>
      <c r="BB408">
        <f t="shared" si="398"/>
        <v>1.5616891148516854</v>
      </c>
      <c r="BC408" s="41" t="str">
        <f t="shared" si="399"/>
        <v>-3,28992585874399+1,11375486866242i</v>
      </c>
      <c r="BD408">
        <f t="shared" si="400"/>
        <v>10.814935627570444</v>
      </c>
      <c r="BE408" s="43">
        <f t="shared" si="401"/>
        <v>161.29724369930091</v>
      </c>
      <c r="BF408" s="41" t="str">
        <f t="shared" si="402"/>
        <v>0,151730092310441+0,120159163841995i</v>
      </c>
      <c r="BG408" s="20">
        <f t="shared" si="403"/>
        <v>-14.264293799675656</v>
      </c>
      <c r="BH408" s="43">
        <f t="shared" si="404"/>
        <v>38.37665513590823</v>
      </c>
      <c r="BI408" s="41" t="str">
        <f t="shared" si="357"/>
        <v>0,0830948379610521+0,456691023211053i</v>
      </c>
      <c r="BJ408" s="20">
        <f t="shared" si="405"/>
        <v>-6.6661028033408209</v>
      </c>
      <c r="BK408" s="43">
        <f t="shared" si="358"/>
        <v>79.687854139659777</v>
      </c>
      <c r="BL408">
        <f t="shared" si="406"/>
        <v>-14.264293799675656</v>
      </c>
      <c r="BM408" s="43">
        <f t="shared" si="407"/>
        <v>38.37665513590823</v>
      </c>
    </row>
    <row r="409" spans="14:65" x14ac:dyDescent="0.25">
      <c r="N409" s="9">
        <v>91</v>
      </c>
      <c r="O409" s="34">
        <f t="shared" si="359"/>
        <v>81283.051616410012</v>
      </c>
      <c r="P409" s="33" t="str">
        <f t="shared" si="360"/>
        <v>66,7780509511648</v>
      </c>
      <c r="Q409" s="4" t="str">
        <f t="shared" si="361"/>
        <v>1+1990,47143945695i</v>
      </c>
      <c r="R409" s="4">
        <f t="shared" si="373"/>
        <v>1990.4716906537058</v>
      </c>
      <c r="S409" s="4">
        <f t="shared" si="374"/>
        <v>1.570293933293516</v>
      </c>
      <c r="T409" s="4" t="str">
        <f t="shared" si="362"/>
        <v>1+0,510716475638947i</v>
      </c>
      <c r="U409" s="4">
        <f t="shared" si="375"/>
        <v>1.1228674536600778</v>
      </c>
      <c r="V409" s="4">
        <f t="shared" si="376"/>
        <v>0.47218398930437411</v>
      </c>
      <c r="W409" t="str">
        <f t="shared" si="363"/>
        <v>1-1,11099827039408i</v>
      </c>
      <c r="X409" s="4">
        <f t="shared" si="377"/>
        <v>1.494763244403152</v>
      </c>
      <c r="Y409" s="4">
        <f t="shared" si="378"/>
        <v>-0.83793072439546712</v>
      </c>
      <c r="Z409" t="str">
        <f t="shared" si="364"/>
        <v>0,993393065519924+0,218367091219456i</v>
      </c>
      <c r="AA409" s="4">
        <f t="shared" si="379"/>
        <v>1.0171105982884645</v>
      </c>
      <c r="AB409" s="4">
        <f t="shared" si="380"/>
        <v>0.21637805860887344</v>
      </c>
      <c r="AC409" s="47" t="str">
        <f t="shared" si="381"/>
        <v>-0,0304146998086737-0,0462588213533425i</v>
      </c>
      <c r="AD409" s="20">
        <f t="shared" si="382"/>
        <v>-25.135790831751823</v>
      </c>
      <c r="AE409" s="43">
        <f t="shared" si="383"/>
        <v>-123.32450880164799</v>
      </c>
      <c r="AF409" t="str">
        <f t="shared" si="365"/>
        <v>223,849857273222</v>
      </c>
      <c r="AG409" t="str">
        <f t="shared" si="366"/>
        <v>1+2016,04442097926i</v>
      </c>
      <c r="AH409">
        <f t="shared" si="384"/>
        <v>2016.044668989653</v>
      </c>
      <c r="AI409">
        <f t="shared" si="385"/>
        <v>1.5703003060189744</v>
      </c>
      <c r="AJ409" t="str">
        <f t="shared" si="367"/>
        <v>1+0,510716475638947i</v>
      </c>
      <c r="AK409">
        <f t="shared" si="386"/>
        <v>1.1228674536600778</v>
      </c>
      <c r="AL409">
        <f t="shared" si="387"/>
        <v>0.47218398930437411</v>
      </c>
      <c r="AM409" t="str">
        <f t="shared" si="368"/>
        <v>1-0,335686753506109i</v>
      </c>
      <c r="AN409">
        <f t="shared" si="388"/>
        <v>1.0548391329863862</v>
      </c>
      <c r="AO409">
        <f t="shared" si="389"/>
        <v>-0.32386713502813702</v>
      </c>
      <c r="AP409" s="41" t="str">
        <f t="shared" si="390"/>
        <v>0,0194987958655062-0,130060302459697i</v>
      </c>
      <c r="AQ409">
        <f t="shared" si="391"/>
        <v>-17.620572030591628</v>
      </c>
      <c r="AR409" s="43">
        <f t="shared" si="392"/>
        <v>-81.473650322303612</v>
      </c>
      <c r="AS409" t="str">
        <f t="shared" si="369"/>
        <v>-0,0000166666666666667</v>
      </c>
      <c r="AT409" t="str">
        <f t="shared" si="370"/>
        <v>0,000512248625065864i</v>
      </c>
      <c r="AU409">
        <f t="shared" si="393"/>
        <v>5.1224862506586396E-4</v>
      </c>
      <c r="AV409">
        <f t="shared" si="394"/>
        <v>1.5707963267948966</v>
      </c>
      <c r="AW409" t="str">
        <f t="shared" si="371"/>
        <v>1+0,336064679882059i</v>
      </c>
      <c r="AX409">
        <f t="shared" si="395"/>
        <v>1.0549594632327022</v>
      </c>
      <c r="AY409">
        <f t="shared" si="396"/>
        <v>0.32420674873174277</v>
      </c>
      <c r="AZ409" t="str">
        <f t="shared" si="372"/>
        <v>1+112,357624640568i</v>
      </c>
      <c r="BA409">
        <f t="shared" si="397"/>
        <v>112.36207462872326</v>
      </c>
      <c r="BB409">
        <f t="shared" si="398"/>
        <v>1.5618964092306433</v>
      </c>
      <c r="BC409" s="41" t="str">
        <f t="shared" si="399"/>
        <v>-3,27489982470556+1,13311444508499i</v>
      </c>
      <c r="BD409">
        <f t="shared" si="400"/>
        <v>10.795038507001482</v>
      </c>
      <c r="BE409" s="43">
        <f t="shared" si="401"/>
        <v>160.91439389356688</v>
      </c>
      <c r="BF409" s="41" t="str">
        <f t="shared" si="402"/>
        <v>0,152021633759976+0,117029670245015i</v>
      </c>
      <c r="BG409" s="20">
        <f t="shared" si="403"/>
        <v>-14.340752324750357</v>
      </c>
      <c r="BH409" s="43">
        <f t="shared" si="404"/>
        <v>37.589885091918838</v>
      </c>
      <c r="BI409" s="41" t="str">
        <f t="shared" si="357"/>
        <v>0,0835166042872898+0,448028828983382i</v>
      </c>
      <c r="BJ409" s="20">
        <f t="shared" si="405"/>
        <v>-6.8255335235901535</v>
      </c>
      <c r="BK409" s="43">
        <f t="shared" si="358"/>
        <v>79.440743571263269</v>
      </c>
      <c r="BL409">
        <f t="shared" si="406"/>
        <v>-14.340752324750357</v>
      </c>
      <c r="BM409" s="43">
        <f t="shared" si="407"/>
        <v>37.589885091918838</v>
      </c>
    </row>
    <row r="410" spans="14:65" x14ac:dyDescent="0.25">
      <c r="N410" s="9">
        <v>92</v>
      </c>
      <c r="O410" s="34">
        <f t="shared" si="359"/>
        <v>83176.377110267174</v>
      </c>
      <c r="P410" s="33" t="str">
        <f t="shared" si="360"/>
        <v>66,7780509511648</v>
      </c>
      <c r="Q410" s="4" t="str">
        <f t="shared" si="361"/>
        <v>1+2036,83547533128i</v>
      </c>
      <c r="R410" s="4">
        <f t="shared" si="373"/>
        <v>2036.8357208101002</v>
      </c>
      <c r="S410" s="4">
        <f t="shared" si="374"/>
        <v>1.5703053691639222</v>
      </c>
      <c r="T410" s="4" t="str">
        <f t="shared" si="362"/>
        <v>1+0,522612590563659i</v>
      </c>
      <c r="U410" s="4">
        <f t="shared" si="375"/>
        <v>1.1283279309738188</v>
      </c>
      <c r="V410" s="4">
        <f t="shared" si="376"/>
        <v>0.48157360245460867</v>
      </c>
      <c r="W410" t="str">
        <f t="shared" si="363"/>
        <v>1-1,1368767445303i</v>
      </c>
      <c r="X410" s="4">
        <f t="shared" si="377"/>
        <v>1.5140966720304927</v>
      </c>
      <c r="Y410" s="4">
        <f t="shared" si="378"/>
        <v>-0.84936535435024441</v>
      </c>
      <c r="Z410" t="str">
        <f t="shared" si="364"/>
        <v>0,993081690290811+0,223453514189602i</v>
      </c>
      <c r="AA410" s="4">
        <f t="shared" si="379"/>
        <v>1.0179109571050589</v>
      </c>
      <c r="AB410" s="4">
        <f t="shared" si="380"/>
        <v>0.22132415508979295</v>
      </c>
      <c r="AC410" s="47" t="str">
        <f t="shared" si="381"/>
        <v>-0,0305506432828692-0,0457642300865392i</v>
      </c>
      <c r="AD410" s="20">
        <f t="shared" si="382"/>
        <v>-25.188862181315873</v>
      </c>
      <c r="AE410" s="43">
        <f t="shared" si="383"/>
        <v>-123.725725314112</v>
      </c>
      <c r="AF410" t="str">
        <f t="shared" si="365"/>
        <v>223,849857273222</v>
      </c>
      <c r="AG410" t="str">
        <f t="shared" si="366"/>
        <v>1+2063,00412811479i</v>
      </c>
      <c r="AH410">
        <f t="shared" si="384"/>
        <v>2063.0043704797777</v>
      </c>
      <c r="AI410">
        <f t="shared" si="385"/>
        <v>1.5703115968285088</v>
      </c>
      <c r="AJ410" t="str">
        <f t="shared" si="367"/>
        <v>1+0,522612590563659i</v>
      </c>
      <c r="AK410">
        <f t="shared" si="386"/>
        <v>1.1283279309738188</v>
      </c>
      <c r="AL410">
        <f t="shared" si="387"/>
        <v>0.48157360245460867</v>
      </c>
      <c r="AM410" t="str">
        <f t="shared" si="368"/>
        <v>1-0,343505902464279i</v>
      </c>
      <c r="AN410">
        <f t="shared" si="388"/>
        <v>1.057353443758424</v>
      </c>
      <c r="AO410">
        <f t="shared" si="389"/>
        <v>-0.33087775824907706</v>
      </c>
      <c r="AP410" s="41" t="str">
        <f t="shared" si="390"/>
        <v>0,0194963172865715-0,127976477507096i</v>
      </c>
      <c r="AQ410">
        <f t="shared" si="391"/>
        <v>-17.75775606351603</v>
      </c>
      <c r="AR410" s="43">
        <f t="shared" si="392"/>
        <v>-81.337991155584547</v>
      </c>
      <c r="AS410" t="str">
        <f t="shared" si="369"/>
        <v>-0,0000166666666666667</v>
      </c>
      <c r="AT410" t="str">
        <f t="shared" si="370"/>
        <v>0,00052418042833535i</v>
      </c>
      <c r="AU410">
        <f t="shared" si="393"/>
        <v>5.2418042833535E-4</v>
      </c>
      <c r="AV410">
        <f t="shared" si="394"/>
        <v>1.5707963267948966</v>
      </c>
      <c r="AW410" t="str">
        <f t="shared" si="371"/>
        <v>1+0,343892631876386i</v>
      </c>
      <c r="AX410">
        <f t="shared" si="395"/>
        <v>1.0574791450704204</v>
      </c>
      <c r="AY410">
        <f t="shared" si="396"/>
        <v>0.33122363009856687</v>
      </c>
      <c r="AZ410" t="str">
        <f t="shared" si="372"/>
        <v>1+114,974769924005i</v>
      </c>
      <c r="BA410">
        <f t="shared" si="397"/>
        <v>114.97911862193885</v>
      </c>
      <c r="BB410">
        <f t="shared" si="398"/>
        <v>1.5620989857525671</v>
      </c>
      <c r="BC410" s="41" t="str">
        <f t="shared" si="399"/>
        <v>-3,25931204715917+1,15264906561331i</v>
      </c>
      <c r="BD410">
        <f t="shared" si="400"/>
        <v>10.774302244046357</v>
      </c>
      <c r="BE410" s="43">
        <f t="shared" si="401"/>
        <v>160.52396298563835</v>
      </c>
      <c r="BF410" s="41" t="str">
        <f t="shared" si="402"/>
        <v>0,15232417674808+0,113945736016137i</v>
      </c>
      <c r="BG410" s="20">
        <f t="shared" si="403"/>
        <v>-14.414559937269498</v>
      </c>
      <c r="BH410" s="43">
        <f t="shared" si="404"/>
        <v>36.798237671526415</v>
      </c>
      <c r="BI410" s="41" t="str">
        <f t="shared" si="357"/>
        <v>0,0839673854116769+0,43958768679514i</v>
      </c>
      <c r="BJ410" s="20">
        <f t="shared" si="405"/>
        <v>-6.9834538194696698</v>
      </c>
      <c r="BK410" s="43">
        <f t="shared" si="358"/>
        <v>79.18597183005383</v>
      </c>
      <c r="BL410">
        <f t="shared" si="406"/>
        <v>-14.414559937269498</v>
      </c>
      <c r="BM410" s="43">
        <f t="shared" si="407"/>
        <v>36.798237671526415</v>
      </c>
    </row>
    <row r="411" spans="14:65" x14ac:dyDescent="0.25">
      <c r="N411" s="9">
        <v>93</v>
      </c>
      <c r="O411" s="34">
        <f t="shared" si="359"/>
        <v>85113.803820237721</v>
      </c>
      <c r="P411" s="33" t="str">
        <f t="shared" si="360"/>
        <v>66,7780509511648</v>
      </c>
      <c r="Q411" s="4" t="str">
        <f t="shared" si="361"/>
        <v>1+2084,27946833534i</v>
      </c>
      <c r="R411" s="4">
        <f t="shared" si="373"/>
        <v>2084.279708226381</v>
      </c>
      <c r="S411" s="4">
        <f t="shared" si="374"/>
        <v>1.5703165447222611</v>
      </c>
      <c r="T411" s="4" t="str">
        <f t="shared" si="362"/>
        <v>1+0,534785801601483i</v>
      </c>
      <c r="U411" s="4">
        <f t="shared" si="375"/>
        <v>1.1340175719954875</v>
      </c>
      <c r="V411" s="4">
        <f t="shared" si="376"/>
        <v>0.49108745858397057</v>
      </c>
      <c r="W411" t="str">
        <f t="shared" si="363"/>
        <v>1-1,16335800576481i</v>
      </c>
      <c r="X411" s="4">
        <f t="shared" si="377"/>
        <v>1.5340801314067907</v>
      </c>
      <c r="Y411" s="4">
        <f t="shared" si="378"/>
        <v>-0.86076644566691263</v>
      </c>
      <c r="Z411" t="str">
        <f t="shared" si="364"/>
        <v>0,99275564039925+0,228658415170728i</v>
      </c>
      <c r="AA411" s="4">
        <f t="shared" si="379"/>
        <v>1.0187484637401492</v>
      </c>
      <c r="AB411" s="4">
        <f t="shared" si="380"/>
        <v>0.22637892396414047</v>
      </c>
      <c r="AC411" s="47" t="str">
        <f t="shared" si="381"/>
        <v>-0,0306924627340024-0,045291507822081i</v>
      </c>
      <c r="AD411" s="20">
        <f t="shared" si="382"/>
        <v>-25.238427974417231</v>
      </c>
      <c r="AE411" s="43">
        <f t="shared" si="383"/>
        <v>-124.12411316053397</v>
      </c>
      <c r="AF411" t="str">
        <f t="shared" si="365"/>
        <v>223,849857273222</v>
      </c>
      <c r="AG411" t="str">
        <f t="shared" si="366"/>
        <v>1+2111,05766734613i</v>
      </c>
      <c r="AH411">
        <f t="shared" si="384"/>
        <v>2111.0579041942183</v>
      </c>
      <c r="AI411">
        <f t="shared" si="385"/>
        <v>1.5703226306279601</v>
      </c>
      <c r="AJ411" t="str">
        <f t="shared" si="367"/>
        <v>1+0,534785801601483i</v>
      </c>
      <c r="AK411">
        <f t="shared" si="386"/>
        <v>1.1340175719954875</v>
      </c>
      <c r="AL411">
        <f t="shared" si="387"/>
        <v>0.49108745858397057</v>
      </c>
      <c r="AM411" t="str">
        <f t="shared" si="368"/>
        <v>1-0,351507182798772i</v>
      </c>
      <c r="AN411">
        <f t="shared" si="388"/>
        <v>1.0599798580912418</v>
      </c>
      <c r="AO411">
        <f t="shared" si="389"/>
        <v>-0.33801688970568333</v>
      </c>
      <c r="AP411" s="41" t="str">
        <f t="shared" si="390"/>
        <v>0,019493950262014-0,125960507268662i</v>
      </c>
      <c r="AQ411">
        <f t="shared" si="391"/>
        <v>-17.892518539134713</v>
      </c>
      <c r="AR411" s="43">
        <f t="shared" si="392"/>
        <v>-81.202561644470578</v>
      </c>
      <c r="AS411" t="str">
        <f t="shared" si="369"/>
        <v>-0,0000166666666666667</v>
      </c>
      <c r="AT411" t="str">
        <f t="shared" si="370"/>
        <v>0,000536390159006288i</v>
      </c>
      <c r="AU411">
        <f t="shared" si="393"/>
        <v>5.3639015900628804E-4</v>
      </c>
      <c r="AV411">
        <f t="shared" si="394"/>
        <v>1.5707963267948966</v>
      </c>
      <c r="AW411" t="str">
        <f t="shared" si="371"/>
        <v>1+0,35190292029609i</v>
      </c>
      <c r="AX411">
        <f t="shared" si="395"/>
        <v>1.0601111570552006</v>
      </c>
      <c r="AY411">
        <f t="shared" si="396"/>
        <v>0.33836906443855791</v>
      </c>
      <c r="AZ411" t="str">
        <f t="shared" si="372"/>
        <v>1+117,652876352326i</v>
      </c>
      <c r="BA411">
        <f t="shared" si="397"/>
        <v>117.65712606542671</v>
      </c>
      <c r="BB411">
        <f t="shared" si="398"/>
        <v>1.5622969517596661</v>
      </c>
      <c r="BC411" s="41" t="str">
        <f t="shared" si="399"/>
        <v>-3,24314789487616+1,17234512501201i</v>
      </c>
      <c r="BD411">
        <f t="shared" si="400"/>
        <v>10.752695579134592</v>
      </c>
      <c r="BE411" s="43">
        <f t="shared" si="401"/>
        <v>160.12590237186291</v>
      </c>
      <c r="BF411" s="41" t="str">
        <f t="shared" si="402"/>
        <v>0,152637474304005+0,110904899188129i</v>
      </c>
      <c r="BG411" s="20">
        <f t="shared" si="403"/>
        <v>-14.485732395282621</v>
      </c>
      <c r="BH411" s="43">
        <f t="shared" si="404"/>
        <v>36.001789211329033</v>
      </c>
      <c r="BI411" s="41" t="str">
        <f t="shared" si="357"/>
        <v>0,0844474228853845+0,431362191542793i</v>
      </c>
      <c r="BJ411" s="20">
        <f t="shared" si="405"/>
        <v>-7.1398229600001253</v>
      </c>
      <c r="BK411" s="43">
        <f t="shared" si="358"/>
        <v>78.923340727392343</v>
      </c>
      <c r="BL411">
        <f t="shared" si="406"/>
        <v>-14.485732395282621</v>
      </c>
      <c r="BM411" s="43">
        <f t="shared" si="407"/>
        <v>36.001789211329033</v>
      </c>
    </row>
    <row r="412" spans="14:65" x14ac:dyDescent="0.25">
      <c r="N412" s="9">
        <v>94</v>
      </c>
      <c r="O412" s="34">
        <f t="shared" si="359"/>
        <v>87096.358995608127</v>
      </c>
      <c r="P412" s="33" t="str">
        <f t="shared" si="360"/>
        <v>66,7780509511648</v>
      </c>
      <c r="Q412" s="4" t="str">
        <f t="shared" si="361"/>
        <v>1+2132,82857390221i</v>
      </c>
      <c r="R412" s="4">
        <f t="shared" si="373"/>
        <v>2132.8288083326643</v>
      </c>
      <c r="S412" s="4">
        <f t="shared" si="374"/>
        <v>1.5703274658939506</v>
      </c>
      <c r="T412" s="4" t="str">
        <f t="shared" si="362"/>
        <v>1+0,547242563150044i</v>
      </c>
      <c r="U412" s="4">
        <f t="shared" si="375"/>
        <v>1.1399449210040939</v>
      </c>
      <c r="V412" s="4">
        <f t="shared" si="376"/>
        <v>0.50072371217001976</v>
      </c>
      <c r="W412" t="str">
        <f t="shared" si="363"/>
        <v>1-1,19045609481285i</v>
      </c>
      <c r="X412" s="4">
        <f t="shared" si="377"/>
        <v>1.554730109593643</v>
      </c>
      <c r="Y412" s="4">
        <f t="shared" si="378"/>
        <v>-0.8721281884944061</v>
      </c>
      <c r="Z412" t="str">
        <f t="shared" si="364"/>
        <v>0,992414224249708+0,233984553870229i</v>
      </c>
      <c r="AA412" s="4">
        <f t="shared" si="379"/>
        <v>1.0196248152840335</v>
      </c>
      <c r="AB412" s="4">
        <f t="shared" si="380"/>
        <v>0.23154445094967416</v>
      </c>
      <c r="AC412" s="47" t="str">
        <f t="shared" si="381"/>
        <v>-0,030840396163115-0,0448402448537473i</v>
      </c>
      <c r="AD412" s="20">
        <f t="shared" si="382"/>
        <v>-25.284475566543843</v>
      </c>
      <c r="AE412" s="43">
        <f t="shared" si="383"/>
        <v>-124.5195650439413</v>
      </c>
      <c r="AF412" t="str">
        <f t="shared" si="365"/>
        <v>223,849857273222</v>
      </c>
      <c r="AG412" t="str">
        <f t="shared" si="366"/>
        <v>1+2160,23051729585i</v>
      </c>
      <c r="AH412">
        <f t="shared" si="384"/>
        <v>2160.2307487526177</v>
      </c>
      <c r="AI412">
        <f t="shared" si="385"/>
        <v>1.5703334132675837</v>
      </c>
      <c r="AJ412" t="str">
        <f t="shared" si="367"/>
        <v>1+0,547242563150044i</v>
      </c>
      <c r="AK412">
        <f t="shared" si="386"/>
        <v>1.1399449210040939</v>
      </c>
      <c r="AL412">
        <f t="shared" si="387"/>
        <v>0.50072371217001976</v>
      </c>
      <c r="AM412" t="str">
        <f t="shared" si="368"/>
        <v>1-0,359694836894334i</v>
      </c>
      <c r="AN412">
        <f t="shared" si="388"/>
        <v>1.0627230945493005</v>
      </c>
      <c r="AO412">
        <f t="shared" si="389"/>
        <v>-0.34528540283771308</v>
      </c>
      <c r="AP412" s="41" t="str">
        <f t="shared" si="390"/>
        <v>0,0194916897710639-0,124011322857511i</v>
      </c>
      <c r="AQ412">
        <f t="shared" si="391"/>
        <v>-18.024786704990721</v>
      </c>
      <c r="AR412" s="43">
        <f t="shared" si="392"/>
        <v>-81.067517909215326</v>
      </c>
      <c r="AS412" t="str">
        <f t="shared" si="369"/>
        <v>-0,0000166666666666667</v>
      </c>
      <c r="AT412" t="str">
        <f t="shared" si="370"/>
        <v>0,000548884290839494i</v>
      </c>
      <c r="AU412">
        <f t="shared" si="393"/>
        <v>5.4888429083949401E-4</v>
      </c>
      <c r="AV412">
        <f t="shared" si="394"/>
        <v>1.5707963267948966</v>
      </c>
      <c r="AW412" t="str">
        <f t="shared" si="371"/>
        <v>1+0,360099792302123i</v>
      </c>
      <c r="AX412">
        <f t="shared" si="395"/>
        <v>1.0628602261897055</v>
      </c>
      <c r="AY412">
        <f t="shared" si="396"/>
        <v>0.34564392081561823</v>
      </c>
      <c r="AZ412" t="str">
        <f t="shared" si="372"/>
        <v>1+120,39336389301i</v>
      </c>
      <c r="BA412">
        <f t="shared" si="397"/>
        <v>120.397516874206</v>
      </c>
      <c r="BB412">
        <f t="shared" si="398"/>
        <v>1.5624904121540348</v>
      </c>
      <c r="BC412" s="41" t="str">
        <f t="shared" si="399"/>
        <v>-3,22639290209821+1,19218804076512i</v>
      </c>
      <c r="BD412">
        <f t="shared" si="400"/>
        <v>10.730186455601094</v>
      </c>
      <c r="BE412" s="43">
        <f t="shared" si="401"/>
        <v>159.72016826899375</v>
      </c>
      <c r="BF412" s="41" t="str">
        <f t="shared" si="402"/>
        <v>0,152961238938188+0,107904696246352i</v>
      </c>
      <c r="BG412" s="20">
        <f t="shared" si="403"/>
        <v>-14.55428911094276</v>
      </c>
      <c r="BH412" s="43">
        <f t="shared" si="404"/>
        <v>35.200603225052561</v>
      </c>
      <c r="BI412" s="41" t="str">
        <f t="shared" si="357"/>
        <v>0,0849569665029259+0,423347011286649i</v>
      </c>
      <c r="BJ412" s="20">
        <f t="shared" si="405"/>
        <v>-7.2946002493896325</v>
      </c>
      <c r="BK412" s="43">
        <f t="shared" si="358"/>
        <v>78.652650359778463</v>
      </c>
      <c r="BL412">
        <f t="shared" si="406"/>
        <v>-14.55428911094276</v>
      </c>
      <c r="BM412" s="43">
        <f t="shared" si="407"/>
        <v>35.200603225052561</v>
      </c>
    </row>
    <row r="413" spans="14:65" x14ac:dyDescent="0.25">
      <c r="N413" s="9">
        <v>95</v>
      </c>
      <c r="O413" s="34">
        <f t="shared" si="359"/>
        <v>89125.093813374609</v>
      </c>
      <c r="P413" s="33" t="str">
        <f t="shared" si="360"/>
        <v>66,7780509511648</v>
      </c>
      <c r="Q413" s="4" t="str">
        <f t="shared" si="361"/>
        <v>1+2182,50853341029i</v>
      </c>
      <c r="R413" s="4">
        <f t="shared" si="373"/>
        <v>2182.5087625044566</v>
      </c>
      <c r="S413" s="4">
        <f t="shared" si="374"/>
        <v>1.5703381384695303</v>
      </c>
      <c r="T413" s="4" t="str">
        <f t="shared" si="362"/>
        <v>1+0,559989479949198i</v>
      </c>
      <c r="U413" s="4">
        <f t="shared" si="375"/>
        <v>1.1461187624560438</v>
      </c>
      <c r="V413" s="4">
        <f t="shared" si="376"/>
        <v>0.51048031331599752</v>
      </c>
      <c r="W413" t="str">
        <f t="shared" si="363"/>
        <v>1-1,2181853794399i</v>
      </c>
      <c r="X413" s="4">
        <f t="shared" si="377"/>
        <v>1.576063329527444</v>
      </c>
      <c r="Y413" s="4">
        <f t="shared" si="378"/>
        <v>-0.88344487438664066</v>
      </c>
      <c r="Z413" t="str">
        <f t="shared" si="364"/>
        <v>0,992056717652757+0,239434754277344i</v>
      </c>
      <c r="AA413" s="4">
        <f t="shared" si="379"/>
        <v>1.0205417838559157</v>
      </c>
      <c r="AB413" s="4">
        <f t="shared" si="380"/>
        <v>0.23682284103590476</v>
      </c>
      <c r="AC413" s="47" t="str">
        <f t="shared" si="381"/>
        <v>-0,0309946889245012-0,0444100328862908i</v>
      </c>
      <c r="AD413" s="20">
        <f t="shared" si="382"/>
        <v>-25.326995219403198</v>
      </c>
      <c r="AE413" s="43">
        <f t="shared" si="383"/>
        <v>-124.91199228368635</v>
      </c>
      <c r="AF413" t="str">
        <f t="shared" si="365"/>
        <v>223,849857273222</v>
      </c>
      <c r="AG413" t="str">
        <f t="shared" si="366"/>
        <v>1+2210,54875005987i</v>
      </c>
      <c r="AH413">
        <f t="shared" si="384"/>
        <v>2210.5489762480393</v>
      </c>
      <c r="AI413">
        <f t="shared" si="385"/>
        <v>1.5703439504644683</v>
      </c>
      <c r="AJ413" t="str">
        <f t="shared" si="367"/>
        <v>1+0,559989479949198i</v>
      </c>
      <c r="AK413">
        <f t="shared" si="386"/>
        <v>1.1461187624560438</v>
      </c>
      <c r="AL413">
        <f t="shared" si="387"/>
        <v>0.51048031331599752</v>
      </c>
      <c r="AM413" t="str">
        <f t="shared" si="368"/>
        <v>1-0,368073205953541i</v>
      </c>
      <c r="AN413">
        <f t="shared" si="388"/>
        <v>1.0655880465456233</v>
      </c>
      <c r="AO413">
        <f t="shared" si="389"/>
        <v>-0.35268407851515832</v>
      </c>
      <c r="AP413" s="41" t="str">
        <f t="shared" si="390"/>
        <v>0,019489531018923-0,122127890797005i</v>
      </c>
      <c r="AQ413">
        <f t="shared" si="391"/>
        <v>-18.154487147818507</v>
      </c>
      <c r="AR413" s="43">
        <f t="shared" si="392"/>
        <v>-80.933022468371405</v>
      </c>
      <c r="AS413" t="str">
        <f t="shared" si="369"/>
        <v>-0,0000166666666666667</v>
      </c>
      <c r="AT413" t="str">
        <f t="shared" si="370"/>
        <v>0,000561669448389045i</v>
      </c>
      <c r="AU413">
        <f t="shared" si="393"/>
        <v>5.6166944838904496E-4</v>
      </c>
      <c r="AV413">
        <f t="shared" si="394"/>
        <v>1.5707963267948966</v>
      </c>
      <c r="AW413" t="str">
        <f t="shared" si="371"/>
        <v>1+0,368487593984517i</v>
      </c>
      <c r="AX413">
        <f t="shared" si="395"/>
        <v>1.0657312545480209</v>
      </c>
      <c r="AY413">
        <f t="shared" si="396"/>
        <v>0.35304897541199104</v>
      </c>
      <c r="AZ413" t="str">
        <f t="shared" si="372"/>
        <v>1+123,197685588823i</v>
      </c>
      <c r="BA413">
        <f t="shared" si="397"/>
        <v>123.20174403977602</v>
      </c>
      <c r="BB413">
        <f t="shared" si="398"/>
        <v>1.5626794694529769</v>
      </c>
      <c r="BC413" s="41" t="str">
        <f t="shared" si="399"/>
        <v>-3,20903282496299+1,21216222823107i</v>
      </c>
      <c r="BD413">
        <f t="shared" si="400"/>
        <v>10.706742030229837</v>
      </c>
      <c r="BE413" s="43">
        <f t="shared" si="401"/>
        <v>159.30672207887312</v>
      </c>
      <c r="BF413" s="41" t="str">
        <f t="shared" si="402"/>
        <v>0,153295138577503+0,104942662099741i</v>
      </c>
      <c r="BG413" s="20">
        <f t="shared" si="403"/>
        <v>-14.620253189173338</v>
      </c>
      <c r="BH413" s="43">
        <f t="shared" si="404"/>
        <v>34.394729795186763</v>
      </c>
      <c r="BI413" s="41" t="str">
        <f t="shared" si="357"/>
        <v>0,0854962714548001+0,415536883758161i</v>
      </c>
      <c r="BJ413" s="20">
        <f t="shared" si="405"/>
        <v>-7.4477451175886653</v>
      </c>
      <c r="BK413" s="43">
        <f t="shared" si="358"/>
        <v>78.373699610501731</v>
      </c>
      <c r="BL413">
        <f t="shared" si="406"/>
        <v>-14.620253189173338</v>
      </c>
      <c r="BM413" s="43">
        <f t="shared" si="407"/>
        <v>34.394729795186763</v>
      </c>
    </row>
    <row r="414" spans="14:65" x14ac:dyDescent="0.25">
      <c r="N414" s="9">
        <v>96</v>
      </c>
      <c r="O414" s="34">
        <f t="shared" si="359"/>
        <v>91201.083935591028</v>
      </c>
      <c r="P414" s="33" t="str">
        <f t="shared" si="360"/>
        <v>66,7780509511648</v>
      </c>
      <c r="Q414" s="4" t="str">
        <f t="shared" si="361"/>
        <v>1+2233,34568783169i</v>
      </c>
      <c r="R414" s="4">
        <f t="shared" si="373"/>
        <v>2233.3459117110374</v>
      </c>
      <c r="S414" s="4">
        <f t="shared" si="374"/>
        <v>1.5703485681077309</v>
      </c>
      <c r="T414" s="4" t="str">
        <f t="shared" si="362"/>
        <v>1+0,573033310582958i</v>
      </c>
      <c r="U414" s="4">
        <f t="shared" si="375"/>
        <v>1.1525481226559111</v>
      </c>
      <c r="V414" s="4">
        <f t="shared" si="376"/>
        <v>0.5203550044244446</v>
      </c>
      <c r="W414" t="str">
        <f t="shared" si="363"/>
        <v>1-1,24656056207972i</v>
      </c>
      <c r="X414" s="4">
        <f t="shared" si="377"/>
        <v>1.5980967539334117</v>
      </c>
      <c r="Y414" s="4">
        <f t="shared" si="378"/>
        <v>-0.89471090997855895</v>
      </c>
      <c r="Z414" t="str">
        <f t="shared" si="364"/>
        <v>0,991682362288973+0,24501190616047i</v>
      </c>
      <c r="AA414" s="4">
        <f t="shared" si="379"/>
        <v>1.0215012196935571</v>
      </c>
      <c r="AB414" s="4">
        <f t="shared" si="380"/>
        <v>0.24221621712882607</v>
      </c>
      <c r="AC414" s="47" t="str">
        <f t="shared" si="381"/>
        <v>-0,0311555937661257-0,0440004642634201i</v>
      </c>
      <c r="AD414" s="20">
        <f t="shared" si="382"/>
        <v>-25.365980146206017</v>
      </c>
      <c r="AE414" s="43">
        <f t="shared" si="383"/>
        <v>-125.30132571213994</v>
      </c>
      <c r="AF414" t="str">
        <f t="shared" si="365"/>
        <v>223,849857273222</v>
      </c>
      <c r="AG414" t="str">
        <f t="shared" si="366"/>
        <v>1+2262,03904503125i</v>
      </c>
      <c r="AH414">
        <f t="shared" si="384"/>
        <v>2262.0392660707485</v>
      </c>
      <c r="AI414">
        <f t="shared" si="385"/>
        <v>1.5703542478055652</v>
      </c>
      <c r="AJ414" t="str">
        <f t="shared" si="367"/>
        <v>1+0,573033310582958i</v>
      </c>
      <c r="AK414">
        <f t="shared" si="386"/>
        <v>1.1525481226559111</v>
      </c>
      <c r="AL414">
        <f t="shared" si="387"/>
        <v>0.5203550044244446</v>
      </c>
      <c r="AM414" t="str">
        <f t="shared" si="368"/>
        <v>1-0,376646732298569i</v>
      </c>
      <c r="AN414">
        <f t="shared" si="388"/>
        <v>1.0685797868906139</v>
      </c>
      <c r="AO414">
        <f t="shared" si="389"/>
        <v>-0.36021359858791074</v>
      </c>
      <c r="AP414" s="41" t="str">
        <f t="shared" si="390"/>
        <v>0,0194874694265946-0,120309212472824i</v>
      </c>
      <c r="AQ414">
        <f t="shared" si="391"/>
        <v>-18.281545902112079</v>
      </c>
      <c r="AR414" s="43">
        <f t="shared" si="392"/>
        <v>-80.799244059974825</v>
      </c>
      <c r="AS414" t="str">
        <f t="shared" si="369"/>
        <v>-0,0000166666666666667</v>
      </c>
      <c r="AT414" t="str">
        <f t="shared" si="370"/>
        <v>0,000574752410514707i</v>
      </c>
      <c r="AU414">
        <f t="shared" si="393"/>
        <v>5.7475241051470696E-4</v>
      </c>
      <c r="AV414">
        <f t="shared" si="394"/>
        <v>1.5707963267948966</v>
      </c>
      <c r="AW414" t="str">
        <f t="shared" si="371"/>
        <v>1+0,377070772666752i</v>
      </c>
      <c r="AX414">
        <f t="shared" si="395"/>
        <v>1.0687293238231566</v>
      </c>
      <c r="AY414">
        <f t="shared" si="396"/>
        <v>0.36058490507111246</v>
      </c>
      <c r="AZ414" t="str">
        <f t="shared" si="372"/>
        <v>1+126,067328328251i</v>
      </c>
      <c r="BA414">
        <f t="shared" si="397"/>
        <v>126.07129440052179</v>
      </c>
      <c r="BB414">
        <f t="shared" si="398"/>
        <v>1.5628642238430843</v>
      </c>
      <c r="BC414" s="41" t="str">
        <f t="shared" si="399"/>
        <v>-3,19105370170131+1,23225107842588i</v>
      </c>
      <c r="BD414">
        <f t="shared" si="400"/>
        <v>10.68232868700197</v>
      </c>
      <c r="BE414" s="43">
        <f t="shared" si="401"/>
        <v>158.88553076149768</v>
      </c>
      <c r="BF414" s="41" t="str">
        <f t="shared" si="402"/>
        <v>0,153638792355936+0,102016330347056i</v>
      </c>
      <c r="BG414" s="20">
        <f t="shared" si="403"/>
        <v>-14.683651459204068</v>
      </c>
      <c r="BH414" s="43">
        <f t="shared" si="404"/>
        <v>33.584205049357834</v>
      </c>
      <c r="BI414" s="41" t="str">
        <f t="shared" si="357"/>
        <v>0,0860655953636799+0,407926613026887i</v>
      </c>
      <c r="BJ414" s="20">
        <f t="shared" si="405"/>
        <v>-7.5992172151101087</v>
      </c>
      <c r="BK414" s="43">
        <f t="shared" si="358"/>
        <v>78.086286701522866</v>
      </c>
      <c r="BL414">
        <f t="shared" si="406"/>
        <v>-14.683651459204068</v>
      </c>
      <c r="BM414" s="43">
        <f t="shared" si="407"/>
        <v>33.584205049357834</v>
      </c>
    </row>
    <row r="415" spans="14:65" x14ac:dyDescent="0.25">
      <c r="N415" s="9">
        <v>97</v>
      </c>
      <c r="O415" s="34">
        <f t="shared" si="359"/>
        <v>93325.430079699145</v>
      </c>
      <c r="P415" s="33" t="str">
        <f t="shared" si="360"/>
        <v>66,7780509511648</v>
      </c>
      <c r="Q415" s="4" t="str">
        <f t="shared" si="361"/>
        <v>1+2285,36699169861i</v>
      </c>
      <c r="R415" s="4">
        <f t="shared" si="373"/>
        <v>2285.3672104818415</v>
      </c>
      <c r="S415" s="4">
        <f t="shared" si="374"/>
        <v>1.5703587603384759</v>
      </c>
      <c r="T415" s="4" t="str">
        <f t="shared" si="362"/>
        <v>1+0,586380971062982i</v>
      </c>
      <c r="U415" s="4">
        <f t="shared" si="375"/>
        <v>1.1592422711516199</v>
      </c>
      <c r="V415" s="4">
        <f t="shared" si="376"/>
        <v>0.53034531750741232</v>
      </c>
      <c r="W415" t="str">
        <f t="shared" si="363"/>
        <v>1-1,27559668762974i</v>
      </c>
      <c r="X415" s="4">
        <f t="shared" si="377"/>
        <v>1.6208475898405637</v>
      </c>
      <c r="Y415" s="4">
        <f t="shared" si="378"/>
        <v>-0.90592082995792378</v>
      </c>
      <c r="Z415" t="str">
        <f t="shared" si="364"/>
        <v>0,991290364100439+0,250718966599359i</v>
      </c>
      <c r="AA415" s="4">
        <f t="shared" si="379"/>
        <v>1.0225050543498704</v>
      </c>
      <c r="AB415" s="4">
        <f t="shared" si="380"/>
        <v>0.24772671856741732</v>
      </c>
      <c r="AC415" s="47" t="str">
        <f t="shared" si="381"/>
        <v>-0,0313233708477532-0,043611131173197i</v>
      </c>
      <c r="AD415" s="20">
        <f t="shared" si="382"/>
        <v>-25.401426553284438</v>
      </c>
      <c r="AE415" s="43">
        <f t="shared" si="383"/>
        <v>-125.68751648720614</v>
      </c>
      <c r="AF415" t="str">
        <f t="shared" si="365"/>
        <v>223,849857273222</v>
      </c>
      <c r="AG415" t="str">
        <f t="shared" si="366"/>
        <v>1+2314,72870304593i</v>
      </c>
      <c r="AH415">
        <f t="shared" si="384"/>
        <v>2314.7289190539559</v>
      </c>
      <c r="AI415">
        <f t="shared" si="385"/>
        <v>1.5703643107506529</v>
      </c>
      <c r="AJ415" t="str">
        <f t="shared" si="367"/>
        <v>1+0,586380971062982i</v>
      </c>
      <c r="AK415">
        <f t="shared" si="386"/>
        <v>1.1592422711516199</v>
      </c>
      <c r="AL415">
        <f t="shared" si="387"/>
        <v>0.53034531750741232</v>
      </c>
      <c r="AM415" t="str">
        <f t="shared" si="368"/>
        <v>1-0,385419961726571i</v>
      </c>
      <c r="AN415">
        <f t="shared" si="388"/>
        <v>1.0717035723078054</v>
      </c>
      <c r="AO415">
        <f t="shared" si="389"/>
        <v>-0.36787453930472924</v>
      </c>
      <c r="AP415" s="41" t="str">
        <f t="shared" si="390"/>
        <v>0,0194855006211701-0,118554323603517i</v>
      </c>
      <c r="AQ415">
        <f t="shared" si="391"/>
        <v>-18.405888566088805</v>
      </c>
      <c r="AR415" s="43">
        <f t="shared" si="392"/>
        <v>-80.66635741876307</v>
      </c>
      <c r="AS415" t="str">
        <f t="shared" si="369"/>
        <v>-0,0000166666666666667</v>
      </c>
      <c r="AT415" t="str">
        <f t="shared" si="370"/>
        <v>0,000588140113976171i</v>
      </c>
      <c r="AU415">
        <f t="shared" si="393"/>
        <v>5.8814011397617097E-4</v>
      </c>
      <c r="AV415">
        <f t="shared" si="394"/>
        <v>1.5707963267948966</v>
      </c>
      <c r="AW415" t="str">
        <f t="shared" si="371"/>
        <v>1+0,385853879263777i</v>
      </c>
      <c r="AX415">
        <f t="shared" si="395"/>
        <v>1.0718596998408445</v>
      </c>
      <c r="AY415">
        <f t="shared" si="396"/>
        <v>0.368252280710685</v>
      </c>
      <c r="AZ415" t="str">
        <f t="shared" si="372"/>
        <v>1+129,003813633856i</v>
      </c>
      <c r="BA415">
        <f t="shared" si="397"/>
        <v>129.00768943004388</v>
      </c>
      <c r="BB415">
        <f t="shared" si="398"/>
        <v>1.5630447732330999</v>
      </c>
      <c r="BC415" s="41" t="str">
        <f t="shared" si="399"/>
        <v>-3,17244191657944+1,25243693883659i</v>
      </c>
      <c r="BD415">
        <f t="shared" si="400"/>
        <v>10.656912054250764</v>
      </c>
      <c r="BE415" s="43">
        <f t="shared" si="401"/>
        <v>158.45656721545038</v>
      </c>
      <c r="BF415" s="41" t="str">
        <f t="shared" si="402"/>
        <v>0,153991766271735+0,0991232338646912i</v>
      </c>
      <c r="BG415" s="20">
        <f t="shared" si="403"/>
        <v>-14.744514499033656</v>
      </c>
      <c r="BH415" s="43">
        <f t="shared" si="404"/>
        <v>32.769050728244174</v>
      </c>
      <c r="BI415" s="41" t="str">
        <f t="shared" si="357"/>
        <v>0,0866651952036966+0,400511066341197i</v>
      </c>
      <c r="BJ415" s="20">
        <f t="shared" si="405"/>
        <v>-7.7489765118380491</v>
      </c>
      <c r="BK415" s="43">
        <f t="shared" si="358"/>
        <v>77.790209796687293</v>
      </c>
      <c r="BL415">
        <f t="shared" si="406"/>
        <v>-14.744514499033656</v>
      </c>
      <c r="BM415" s="43">
        <f t="shared" si="407"/>
        <v>32.769050728244174</v>
      </c>
    </row>
    <row r="416" spans="14:65" x14ac:dyDescent="0.25">
      <c r="N416" s="9">
        <v>98</v>
      </c>
      <c r="O416" s="34">
        <f t="shared" si="359"/>
        <v>95499.258602143804</v>
      </c>
      <c r="P416" s="33" t="str">
        <f t="shared" si="360"/>
        <v>66,7780509511648</v>
      </c>
      <c r="Q416" s="4" t="str">
        <f t="shared" si="361"/>
        <v>1+2338,60002739494i</v>
      </c>
      <c r="R416" s="4">
        <f t="shared" si="373"/>
        <v>2338.6002411980576</v>
      </c>
      <c r="S416" s="4">
        <f t="shared" si="374"/>
        <v>1.5703687205658123</v>
      </c>
      <c r="T416" s="4" t="str">
        <f t="shared" si="362"/>
        <v>1+0,600039538495534i</v>
      </c>
      <c r="U416" s="4">
        <f t="shared" si="375"/>
        <v>1.1662107218500151</v>
      </c>
      <c r="V416" s="4">
        <f t="shared" si="376"/>
        <v>0.5404485721866481</v>
      </c>
      <c r="W416" t="str">
        <f t="shared" si="363"/>
        <v>1-1,30530915142805i</v>
      </c>
      <c r="X416" s="4">
        <f t="shared" si="377"/>
        <v>1.644333293709586</v>
      </c>
      <c r="Y416" s="4">
        <f t="shared" si="378"/>
        <v>-0.91706930926539365</v>
      </c>
      <c r="Z416" t="str">
        <f t="shared" si="364"/>
        <v>0,990879891606441+0,256558961552997i</v>
      </c>
      <c r="AA416" s="4">
        <f t="shared" si="379"/>
        <v>1.0235553039983452</v>
      </c>
      <c r="AB416" s="4">
        <f t="shared" si="380"/>
        <v>0.25335649950542516</v>
      </c>
      <c r="AC416" s="47" t="str">
        <f t="shared" si="381"/>
        <v>-0,0314982877342627-0,0432416248304653i</v>
      </c>
      <c r="AD416" s="20">
        <f t="shared" si="382"/>
        <v>-25.433333678301771</v>
      </c>
      <c r="AE416" s="43">
        <f t="shared" si="383"/>
        <v>-126.07053681336753</v>
      </c>
      <c r="AF416" t="str">
        <f t="shared" si="365"/>
        <v>223,849857273222</v>
      </c>
      <c r="AG416" t="str">
        <f t="shared" si="366"/>
        <v>1+2368,64566085802i</v>
      </c>
      <c r="AH416">
        <f t="shared" si="384"/>
        <v>2368.6458719491034</v>
      </c>
      <c r="AI416">
        <f t="shared" si="385"/>
        <v>1.5703741446352295</v>
      </c>
      <c r="AJ416" t="str">
        <f t="shared" si="367"/>
        <v>1+0,600039538495534i</v>
      </c>
      <c r="AK416">
        <f t="shared" si="386"/>
        <v>1.1662107218500151</v>
      </c>
      <c r="AL416">
        <f t="shared" si="387"/>
        <v>0.5404485721866481</v>
      </c>
      <c r="AM416" t="str">
        <f t="shared" si="368"/>
        <v>1-0,394397545919917i</v>
      </c>
      <c r="AN416">
        <f t="shared" si="388"/>
        <v>1.0749648479032479</v>
      </c>
      <c r="AO416">
        <f t="shared" si="389"/>
        <v>-0.37566736462182748</v>
      </c>
      <c r="AP416" s="41" t="str">
        <f t="shared" si="390"/>
        <v>0,0194836204265541-0,116862293729254i</v>
      </c>
      <c r="AQ416">
        <f t="shared" si="391"/>
        <v>-18.527440424919593</v>
      </c>
      <c r="AR416" s="43">
        <f t="shared" si="392"/>
        <v>-80.534543007531951</v>
      </c>
      <c r="AS416" t="str">
        <f t="shared" si="369"/>
        <v>-0,0000166666666666667</v>
      </c>
      <c r="AT416" t="str">
        <f t="shared" si="370"/>
        <v>0,00060183965711102i</v>
      </c>
      <c r="AU416">
        <f t="shared" si="393"/>
        <v>6.0183965711101996E-4</v>
      </c>
      <c r="AV416">
        <f t="shared" si="394"/>
        <v>1.5707963267948966</v>
      </c>
      <c r="AW416" t="str">
        <f t="shared" si="371"/>
        <v>1+0,394841570694967i</v>
      </c>
      <c r="AX416">
        <f t="shared" si="395"/>
        <v>1.0751278370263084</v>
      </c>
      <c r="AY416">
        <f t="shared" si="396"/>
        <v>0.37605156062644129</v>
      </c>
      <c r="AZ416" t="str">
        <f t="shared" si="372"/>
        <v>1+132,008698469017i</v>
      </c>
      <c r="BA416">
        <f t="shared" si="397"/>
        <v>132.01248604387334</v>
      </c>
      <c r="BB416">
        <f t="shared" si="398"/>
        <v>1.5632212133055883</v>
      </c>
      <c r="BC416" s="41" t="str">
        <f t="shared" si="399"/>
        <v>-3,15318426752682+1,27270109768702i</v>
      </c>
      <c r="BD416">
        <f t="shared" si="400"/>
        <v>10.630457025431479</v>
      </c>
      <c r="BE416" s="43">
        <f t="shared" si="401"/>
        <v>158.01981066452694</v>
      </c>
      <c r="BF416" s="41" t="str">
        <f t="shared" si="402"/>
        <v>0,154353568725214+0,0962609057430625i</v>
      </c>
      <c r="BG416" s="20">
        <f t="shared" si="403"/>
        <v>-14.802876652870278</v>
      </c>
      <c r="BH416" s="43">
        <f t="shared" si="404"/>
        <v>31.949273851159329</v>
      </c>
      <c r="BI416" s="41" t="str">
        <f t="shared" si="357"/>
        <v>0,0872953241039699+0,393285171157975i</v>
      </c>
      <c r="BJ416" s="20">
        <f t="shared" si="405"/>
        <v>-7.8969833994881045</v>
      </c>
      <c r="BK416" s="43">
        <f t="shared" si="358"/>
        <v>77.485267656994992</v>
      </c>
      <c r="BL416">
        <f t="shared" si="406"/>
        <v>-14.802876652870278</v>
      </c>
      <c r="BM416" s="43">
        <f t="shared" si="407"/>
        <v>31.949273851159329</v>
      </c>
    </row>
    <row r="417" spans="14:65" x14ac:dyDescent="0.25">
      <c r="N417" s="9">
        <v>99</v>
      </c>
      <c r="O417" s="34">
        <f t="shared" si="359"/>
        <v>97723.722095581266</v>
      </c>
      <c r="P417" s="33" t="str">
        <f t="shared" si="360"/>
        <v>66,7780509511648</v>
      </c>
      <c r="Q417" s="4" t="str">
        <f t="shared" si="361"/>
        <v>1+2393,07301978082i</v>
      </c>
      <c r="R417" s="4">
        <f t="shared" si="373"/>
        <v>2393.0732287171845</v>
      </c>
      <c r="S417" s="4">
        <f t="shared" si="374"/>
        <v>1.5703784540707766</v>
      </c>
      <c r="T417" s="4" t="str">
        <f t="shared" si="362"/>
        <v>1+0,614016254833857i</v>
      </c>
      <c r="U417" s="4">
        <f t="shared" si="375"/>
        <v>1.1734632338510635</v>
      </c>
      <c r="V417" s="4">
        <f t="shared" si="376"/>
        <v>0.55066187443512959</v>
      </c>
      <c r="W417" t="str">
        <f t="shared" si="363"/>
        <v>1-1,33571370741626i</v>
      </c>
      <c r="X417" s="4">
        <f t="shared" si="377"/>
        <v>1.6685715771820189</v>
      </c>
      <c r="Y417" s="4">
        <f t="shared" si="378"/>
        <v>-0.928151174463827</v>
      </c>
      <c r="Z417" t="str">
        <f t="shared" si="364"/>
        <v>0,990450074139786+0,262534987464009i</v>
      </c>
      <c r="AA417" s="4">
        <f t="shared" si="379"/>
        <v>1.0246540728490934</v>
      </c>
      <c r="AB417" s="4">
        <f t="shared" si="380"/>
        <v>0.25910772715188857</v>
      </c>
      <c r="AC417" s="47" t="str">
        <f t="shared" si="381"/>
        <v>-0,0316806193614376-0,0428915346360602i</v>
      </c>
      <c r="AD417" s="20">
        <f t="shared" si="382"/>
        <v>-25.461703825302109</v>
      </c>
      <c r="AE417" s="43">
        <f t="shared" si="383"/>
        <v>-126.4503805645568</v>
      </c>
      <c r="AF417" t="str">
        <f t="shared" si="365"/>
        <v>223,849857273222</v>
      </c>
      <c r="AG417" t="str">
        <f t="shared" si="366"/>
        <v>1+2423,81850595222i</v>
      </c>
      <c r="AH417">
        <f t="shared" si="384"/>
        <v>2423.8187122382842</v>
      </c>
      <c r="AI417">
        <f t="shared" si="385"/>
        <v>1.570383754673343</v>
      </c>
      <c r="AJ417" t="str">
        <f t="shared" si="367"/>
        <v>1+0,614016254833857i</v>
      </c>
      <c r="AK417">
        <f t="shared" si="386"/>
        <v>1.1734632338510635</v>
      </c>
      <c r="AL417">
        <f t="shared" si="387"/>
        <v>0.55066187443512959</v>
      </c>
      <c r="AM417" t="str">
        <f t="shared" si="368"/>
        <v>1-0,403584244912578i</v>
      </c>
      <c r="AN417">
        <f t="shared" si="388"/>
        <v>1.078369251574643</v>
      </c>
      <c r="AO417">
        <f t="shared" si="389"/>
        <v>-0.3835924194241021</v>
      </c>
      <c r="AP417" s="41" t="str">
        <f t="shared" si="390"/>
        <v>0,0194818248546061-0,11523222571851i</v>
      </c>
      <c r="AQ417">
        <f t="shared" si="391"/>
        <v>-18.646126581038747</v>
      </c>
      <c r="AR417" s="43">
        <f t="shared" si="392"/>
        <v>-80.403986701007511</v>
      </c>
      <c r="AS417" t="str">
        <f t="shared" si="369"/>
        <v>-0,0000166666666666667</v>
      </c>
      <c r="AT417" t="str">
        <f t="shared" si="370"/>
        <v>0,000615858303598359i</v>
      </c>
      <c r="AU417">
        <f t="shared" si="393"/>
        <v>6.1585830359835896E-4</v>
      </c>
      <c r="AV417">
        <f t="shared" si="394"/>
        <v>1.5707963267948966</v>
      </c>
      <c r="AW417" t="str">
        <f t="shared" si="371"/>
        <v>1+0,404038612353286i</v>
      </c>
      <c r="AX417">
        <f t="shared" si="395"/>
        <v>1.0785393828100895</v>
      </c>
      <c r="AY417">
        <f t="shared" si="396"/>
        <v>0.38398308370974465</v>
      </c>
      <c r="AZ417" t="str">
        <f t="shared" si="372"/>
        <v>1+135,083576063448i</v>
      </c>
      <c r="BA417">
        <f t="shared" si="397"/>
        <v>135.08727742496455</v>
      </c>
      <c r="BB417">
        <f t="shared" si="398"/>
        <v>1.563393637567444</v>
      </c>
      <c r="BC417" s="41" t="str">
        <f t="shared" si="399"/>
        <v>-3,13326803734659+1,29302377209276i</v>
      </c>
      <c r="BD417">
        <f t="shared" si="400"/>
        <v>10.602927783702468</v>
      </c>
      <c r="BE417" s="43">
        <f t="shared" si="401"/>
        <v>157.57524704923304</v>
      </c>
      <c r="BF417" s="41" t="str">
        <f t="shared" si="402"/>
        <v>0,154723645954502+0,0934268805989507i</v>
      </c>
      <c r="BG417" s="20">
        <f t="shared" si="403"/>
        <v>-14.858776041599633</v>
      </c>
      <c r="BH417" s="43">
        <f t="shared" si="404"/>
        <v>31.124866484676208</v>
      </c>
      <c r="BI417" s="41" t="str">
        <f t="shared" si="357"/>
        <v>0,0879562280390705+0,386243912376868i</v>
      </c>
      <c r="BJ417" s="20">
        <f t="shared" si="405"/>
        <v>-8.0431987973362844</v>
      </c>
      <c r="BK417" s="43">
        <f t="shared" si="358"/>
        <v>77.171260348225502</v>
      </c>
      <c r="BL417">
        <f t="shared" si="406"/>
        <v>-14.858776041599633</v>
      </c>
      <c r="BM417" s="43">
        <f t="shared" si="407"/>
        <v>31.124866484676208</v>
      </c>
    </row>
    <row r="418" spans="14:65" x14ac:dyDescent="0.25">
      <c r="N418" s="9">
        <v>100</v>
      </c>
      <c r="O418" s="34">
        <f t="shared" si="359"/>
        <v>100000</v>
      </c>
      <c r="P418" s="33" t="str">
        <f t="shared" si="360"/>
        <v>66,7780509511648</v>
      </c>
      <c r="Q418" s="4" t="str">
        <f t="shared" si="361"/>
        <v>1+2448,81485115785i</v>
      </c>
      <c r="R418" s="4">
        <f t="shared" si="373"/>
        <v>2448.8150553382434</v>
      </c>
      <c r="S418" s="4">
        <f t="shared" si="374"/>
        <v>1.5703879660141944</v>
      </c>
      <c r="T418" s="4" t="str">
        <f t="shared" si="362"/>
        <v>1+0,628318530717959i</v>
      </c>
      <c r="U418" s="4">
        <f t="shared" si="375"/>
        <v>1.181009812001397</v>
      </c>
      <c r="V418" s="4">
        <f t="shared" si="376"/>
        <v>0.56098211610862403</v>
      </c>
      <c r="W418" t="str">
        <f t="shared" si="363"/>
        <v>1-1,3668264764924i</v>
      </c>
      <c r="X418" s="4">
        <f t="shared" si="377"/>
        <v>1.6935804134556556</v>
      </c>
      <c r="Y418" s="4">
        <f t="shared" si="378"/>
        <v>-0.93916141422655919</v>
      </c>
      <c r="Z418" t="str">
        <f t="shared" si="364"/>
        <v>0,99+0,268650212900436i</v>
      </c>
      <c r="AA418" s="4">
        <f t="shared" si="379"/>
        <v>1.02580355667713</v>
      </c>
      <c r="AB418" s="4">
        <f t="shared" si="380"/>
        <v>0.26498257986382462</v>
      </c>
      <c r="AC418" s="47" t="str">
        <f t="shared" si="381"/>
        <v>-0,0318706479713572-0,0425604473127106i</v>
      </c>
      <c r="AD418" s="20">
        <f t="shared" si="382"/>
        <v>-25.486542396826461</v>
      </c>
      <c r="AE418" s="43">
        <f t="shared" si="383"/>
        <v>-126.82706380280993</v>
      </c>
      <c r="AF418" t="str">
        <f t="shared" si="365"/>
        <v>223,849857273222</v>
      </c>
      <c r="AG418" t="str">
        <f t="shared" si="366"/>
        <v>1+2480,27649170132i</v>
      </c>
      <c r="AH418">
        <f t="shared" si="384"/>
        <v>2480.2766932917402</v>
      </c>
      <c r="AI418">
        <f t="shared" si="385"/>
        <v>1.5703931459603562</v>
      </c>
      <c r="AJ418" t="str">
        <f t="shared" si="367"/>
        <v>1+0,628318530717959i</v>
      </c>
      <c r="AK418">
        <f t="shared" si="386"/>
        <v>1.181009812001397</v>
      </c>
      <c r="AL418">
        <f t="shared" si="387"/>
        <v>0.56098211610862403</v>
      </c>
      <c r="AM418" t="str">
        <f t="shared" si="368"/>
        <v>1-0,41298492961396i</v>
      </c>
      <c r="AN418">
        <f t="shared" si="388"/>
        <v>1.0819226183458073</v>
      </c>
      <c r="AO418">
        <f t="shared" si="389"/>
        <v>-0.39164992268482396</v>
      </c>
      <c r="AP418" s="41" t="str">
        <f t="shared" si="390"/>
        <v>0,019480110096681-0,11366325529242i</v>
      </c>
      <c r="AQ418">
        <f t="shared" si="391"/>
        <v>-18.761872091287419</v>
      </c>
      <c r="AR418" s="43">
        <f t="shared" si="392"/>
        <v>-80.274879420923654</v>
      </c>
      <c r="AS418" t="str">
        <f t="shared" si="369"/>
        <v>-0,0000166666666666667</v>
      </c>
      <c r="AT418" t="str">
        <f t="shared" si="370"/>
        <v>0,000630203486310113i</v>
      </c>
      <c r="AU418">
        <f t="shared" si="393"/>
        <v>6.3020348631011303E-4</v>
      </c>
      <c r="AV418">
        <f t="shared" si="394"/>
        <v>1.5707963267948966</v>
      </c>
      <c r="AW418" t="str">
        <f t="shared" si="371"/>
        <v>1+0,413449880631957i</v>
      </c>
      <c r="AX418">
        <f t="shared" si="395"/>
        <v>1.0821001819584819</v>
      </c>
      <c r="AY418">
        <f t="shared" si="396"/>
        <v>0.39204706260497935</v>
      </c>
      <c r="AZ418" t="str">
        <f t="shared" si="372"/>
        <v>1+138,230076757951i</v>
      </c>
      <c r="BA418">
        <f t="shared" si="397"/>
        <v>138.2336938684235</v>
      </c>
      <c r="BB418">
        <f t="shared" si="398"/>
        <v>1.5635621373992601</v>
      </c>
      <c r="BC418" s="41" t="str">
        <f t="shared" si="399"/>
        <v>-3,11268106836402+1,31338410055592i</v>
      </c>
      <c r="BD418">
        <f t="shared" si="400"/>
        <v>10.574287830511796</v>
      </c>
      <c r="BE418" s="43">
        <f t="shared" si="401"/>
        <v>157.12286942166523</v>
      </c>
      <c r="BF418" s="41" t="str">
        <f t="shared" si="402"/>
        <v>0,15510137739+0,0906186962913833i</v>
      </c>
      <c r="BG418" s="20">
        <f t="shared" si="403"/>
        <v>-14.912254566314655</v>
      </c>
      <c r="BH418" s="43">
        <f t="shared" si="404"/>
        <v>30.295805618855269</v>
      </c>
      <c r="BI418" s="41" t="str">
        <f t="shared" si="357"/>
        <v>0,0886481424109072+0,379382329795402i</v>
      </c>
      <c r="BJ418" s="20">
        <f t="shared" si="405"/>
        <v>-8.1875842607756226</v>
      </c>
      <c r="BK418" s="43">
        <f t="shared" si="358"/>
        <v>76.847990000741603</v>
      </c>
      <c r="BL418">
        <f t="shared" si="406"/>
        <v>-14.912254566314655</v>
      </c>
      <c r="BM418" s="43">
        <f t="shared" si="407"/>
        <v>30.295805618855269</v>
      </c>
    </row>
    <row r="419" spans="14:65" x14ac:dyDescent="0.25">
      <c r="N419" s="9">
        <v>1</v>
      </c>
      <c r="O419" s="34">
        <f>10^(5+(N419/100))</f>
        <v>102329.29922807543</v>
      </c>
      <c r="P419" s="33" t="str">
        <f t="shared" si="360"/>
        <v>66,7780509511648</v>
      </c>
      <c r="Q419" s="4" t="str">
        <f t="shared" si="361"/>
        <v>1+2505,85507658287i</v>
      </c>
      <c r="R419" s="4">
        <f t="shared" si="373"/>
        <v>2505.8552761155502</v>
      </c>
      <c r="S419" s="4">
        <f t="shared" si="374"/>
        <v>1.5703972614394175</v>
      </c>
      <c r="T419" s="4" t="str">
        <f t="shared" si="362"/>
        <v>1+0,642953949403827i</v>
      </c>
      <c r="U419" s="4">
        <f t="shared" si="375"/>
        <v>1.1888607071705157</v>
      </c>
      <c r="V419" s="4">
        <f t="shared" si="376"/>
        <v>0.57140597531246529</v>
      </c>
      <c r="W419" t="str">
        <f t="shared" si="363"/>
        <v>1-1,39866395505847i</v>
      </c>
      <c r="X419" s="4">
        <f t="shared" si="377"/>
        <v>1.7193780442880506</v>
      </c>
      <c r="Y419" s="4">
        <f t="shared" si="378"/>
        <v>-0.9500951889036866</v>
      </c>
      <c r="Z419" t="str">
        <f t="shared" si="364"/>
        <v>0,989528714519491+0,274907880235749i</v>
      </c>
      <c r="AA419" s="4">
        <f t="shared" si="379"/>
        <v>1.0270060464643376</v>
      </c>
      <c r="AB419" s="4">
        <f t="shared" si="380"/>
        <v>0.27098324508448846</v>
      </c>
      <c r="AC419" s="47" t="str">
        <f t="shared" si="381"/>
        <v>-0,0320686630143476-0,0422479460177195i</v>
      </c>
      <c r="AD419" s="20">
        <f t="shared" si="382"/>
        <v>-25.507857923293397</v>
      </c>
      <c r="AE419" s="43">
        <f t="shared" si="383"/>
        <v>-127.20062518738679</v>
      </c>
      <c r="AF419" t="str">
        <f t="shared" si="365"/>
        <v>223,849857273222</v>
      </c>
      <c r="AG419" t="str">
        <f t="shared" si="366"/>
        <v>1+2538,04955287665i</v>
      </c>
      <c r="AH419">
        <f t="shared" si="384"/>
        <v>2538.049749878312</v>
      </c>
      <c r="AI419">
        <f t="shared" si="385"/>
        <v>1.5704023234756468</v>
      </c>
      <c r="AJ419" t="str">
        <f t="shared" si="367"/>
        <v>1+0,642953949403827i</v>
      </c>
      <c r="AK419">
        <f t="shared" si="386"/>
        <v>1.1888607071705157</v>
      </c>
      <c r="AL419">
        <f t="shared" si="387"/>
        <v>0.57140597531246529</v>
      </c>
      <c r="AM419" t="str">
        <f t="shared" si="368"/>
        <v>1-0,422604584391526i</v>
      </c>
      <c r="AN419">
        <f t="shared" si="388"/>
        <v>1.0856309846115919</v>
      </c>
      <c r="AO419">
        <f t="shared" si="389"/>
        <v>-0.39983996059248506</v>
      </c>
      <c r="AP419" s="41" t="str">
        <f t="shared" si="390"/>
        <v>0,0194784725155514-0,112154550566548i</v>
      </c>
      <c r="AQ419">
        <f t="shared" si="391"/>
        <v>-18.874602110583822</v>
      </c>
      <c r="AR419" s="43">
        <f t="shared" si="392"/>
        <v>-80.147416721358596</v>
      </c>
      <c r="AS419" t="str">
        <f t="shared" si="369"/>
        <v>-0,0000166666666666667</v>
      </c>
      <c r="AT419" t="str">
        <f t="shared" si="370"/>
        <v>0,000644882811252038i</v>
      </c>
      <c r="AU419">
        <f t="shared" si="393"/>
        <v>6.4488281125203804E-4</v>
      </c>
      <c r="AV419">
        <f t="shared" si="394"/>
        <v>1.5707963267948966</v>
      </c>
      <c r="AW419" t="str">
        <f t="shared" si="371"/>
        <v>1+0,423080365509996i</v>
      </c>
      <c r="AX419">
        <f t="shared" si="395"/>
        <v>1.0858162808136891</v>
      </c>
      <c r="AY419">
        <f t="shared" si="396"/>
        <v>0.40024357683558348</v>
      </c>
      <c r="AZ419" t="str">
        <f t="shared" si="372"/>
        <v>1+141,449868868842i</v>
      </c>
      <c r="BA419">
        <f t="shared" si="397"/>
        <v>141.45340364590948</v>
      </c>
      <c r="BB419">
        <f t="shared" si="398"/>
        <v>1.5637268021035828</v>
      </c>
      <c r="BC419" s="41" t="str">
        <f t="shared" si="399"/>
        <v>-3,09141184031937+1,33376014025893i</v>
      </c>
      <c r="BD419">
        <f t="shared" si="400"/>
        <v>10.544500018372226</v>
      </c>
      <c r="BE419" s="43">
        <f t="shared" si="401"/>
        <v>156.66267834212505</v>
      </c>
      <c r="BF419" s="41" t="str">
        <f t="shared" si="402"/>
        <v>0,155486070952011+0,087833896068419i</v>
      </c>
      <c r="BG419" s="20">
        <f t="shared" si="403"/>
        <v>-14.963357904921185</v>
      </c>
      <c r="BH419" s="43">
        <f t="shared" si="404"/>
        <v>29.46205315473831</v>
      </c>
      <c r="BI419" s="41" t="str">
        <f t="shared" si="357"/>
        <v>0,0893712885284053+0,372695515801496i</v>
      </c>
      <c r="BJ419" s="20">
        <f t="shared" si="405"/>
        <v>-8.330102092211586</v>
      </c>
      <c r="BK419" s="43">
        <f t="shared" si="358"/>
        <v>76.515261620766481</v>
      </c>
      <c r="BL419">
        <f t="shared" si="406"/>
        <v>-14.963357904921185</v>
      </c>
      <c r="BM419" s="43">
        <f t="shared" si="407"/>
        <v>29.46205315473831</v>
      </c>
    </row>
    <row r="420" spans="14:65" x14ac:dyDescent="0.25">
      <c r="N420" s="9">
        <v>2</v>
      </c>
      <c r="O420" s="34">
        <f t="shared" ref="O420:O483" si="408">10^(5+(N420/100))</f>
        <v>104712.85480508996</v>
      </c>
      <c r="P420" s="33" t="str">
        <f t="shared" si="360"/>
        <v>66,7780509511648</v>
      </c>
      <c r="Q420" s="4" t="str">
        <f t="shared" si="361"/>
        <v>1+2564,2239395384i</v>
      </c>
      <c r="R420" s="4">
        <f t="shared" si="373"/>
        <v>2564.2241345291618</v>
      </c>
      <c r="S420" s="4">
        <f t="shared" si="374"/>
        <v>1.5704063452749968</v>
      </c>
      <c r="T420" s="4" t="str">
        <f t="shared" si="362"/>
        <v>1+0,657930270784171i</v>
      </c>
      <c r="U420" s="4">
        <f t="shared" si="375"/>
        <v>1.1970264162557702</v>
      </c>
      <c r="V420" s="4">
        <f t="shared" si="376"/>
        <v>0.58192991764455904</v>
      </c>
      <c r="W420" t="str">
        <f t="shared" si="363"/>
        <v>1-1,43124302376702i</v>
      </c>
      <c r="X420" s="4">
        <f t="shared" si="377"/>
        <v>1.7459829876266728</v>
      </c>
      <c r="Y420" s="4">
        <f t="shared" si="378"/>
        <v>-0.96094783913456594</v>
      </c>
      <c r="Z420" t="str">
        <f t="shared" si="364"/>
        <v>0,989035218038568+0,281311307367998i</v>
      </c>
      <c r="AA420" s="4">
        <f t="shared" si="379"/>
        <v>1.0282639321563749</v>
      </c>
      <c r="AB420" s="4">
        <f t="shared" si="380"/>
        <v>0.27711191712068861</v>
      </c>
      <c r="AC420" s="47" t="str">
        <f t="shared" si="381"/>
        <v>-0,0322749610142828-0,0419536094327227i</v>
      </c>
      <c r="AD420" s="20">
        <f t="shared" si="382"/>
        <v>-25.525662089802992</v>
      </c>
      <c r="AE420" s="43">
        <f t="shared" si="383"/>
        <v>-127.57112626981421</v>
      </c>
      <c r="AF420" t="str">
        <f t="shared" si="365"/>
        <v>223,849857273222</v>
      </c>
      <c r="AG420" t="str">
        <f t="shared" si="366"/>
        <v>1+2597,16832151998i</v>
      </c>
      <c r="AH420">
        <f t="shared" si="384"/>
        <v>2597.168514037337</v>
      </c>
      <c r="AI420">
        <f t="shared" si="385"/>
        <v>1.5704112920852489</v>
      </c>
      <c r="AJ420" t="str">
        <f t="shared" si="367"/>
        <v>1+0,657930270784171i</v>
      </c>
      <c r="AK420">
        <f t="shared" si="386"/>
        <v>1.1970264162557702</v>
      </c>
      <c r="AL420">
        <f t="shared" si="387"/>
        <v>0.58192991764455904</v>
      </c>
      <c r="AM420" t="str">
        <f t="shared" si="368"/>
        <v>1-0,432448309713569i</v>
      </c>
      <c r="AN420">
        <f t="shared" si="388"/>
        <v>1.0895005922780046</v>
      </c>
      <c r="AO420">
        <f t="shared" si="389"/>
        <v>-0.40816247967641217</v>
      </c>
      <c r="AP420" s="41" t="str">
        <f t="shared" si="390"/>
        <v>0,0194769086376912-0,110705311609833i</v>
      </c>
      <c r="AQ420">
        <f t="shared" si="391"/>
        <v>-18.984242041750399</v>
      </c>
      <c r="AR420" s="43">
        <f t="shared" si="392"/>
        <v>-80.021798323794926</v>
      </c>
      <c r="AS420" t="str">
        <f t="shared" si="369"/>
        <v>-0,0000166666666666667</v>
      </c>
      <c r="AT420" t="str">
        <f t="shared" si="370"/>
        <v>0,000659904061596523i</v>
      </c>
      <c r="AU420">
        <f t="shared" si="393"/>
        <v>6.5990406159652302E-4</v>
      </c>
      <c r="AV420">
        <f t="shared" si="394"/>
        <v>1.5707963267948966</v>
      </c>
      <c r="AW420" t="str">
        <f t="shared" si="371"/>
        <v>1+0,432935173197959i</v>
      </c>
      <c r="AX420">
        <f t="shared" si="395"/>
        <v>1.0896939314284295</v>
      </c>
      <c r="AY420">
        <f t="shared" si="396"/>
        <v>0.40857256593046243</v>
      </c>
      <c r="AZ420" t="str">
        <f t="shared" si="372"/>
        <v>1+144,744659572517i</v>
      </c>
      <c r="BA420">
        <f t="shared" si="397"/>
        <v>144.74811389017765</v>
      </c>
      <c r="BB420">
        <f t="shared" si="398"/>
        <v>1.5638877189520795</v>
      </c>
      <c r="BC420" s="41" t="str">
        <f t="shared" si="399"/>
        <v>-3,06944955126084+1,3541288696215i</v>
      </c>
      <c r="BD420">
        <f t="shared" si="400"/>
        <v>10.513526587996662</v>
      </c>
      <c r="BE420" s="43">
        <f t="shared" si="401"/>
        <v>156.19468227564965</v>
      </c>
      <c r="BF420" s="41" t="str">
        <f t="shared" si="402"/>
        <v>0,155876958319926+0,0850700311716945i</v>
      </c>
      <c r="BG420" s="20">
        <f t="shared" si="403"/>
        <v>-15.012135501806338</v>
      </c>
      <c r="BH420" s="43">
        <f t="shared" si="404"/>
        <v>28.623556005835447</v>
      </c>
      <c r="BI420" s="41" t="str">
        <f t="shared" si="357"/>
        <v>0,0901258699934094+0,366178613320271i</v>
      </c>
      <c r="BJ420" s="20">
        <f t="shared" si="405"/>
        <v>-8.4707154537537459</v>
      </c>
      <c r="BK420" s="43">
        <f t="shared" si="358"/>
        <v>76.172883951854715</v>
      </c>
      <c r="BL420">
        <f t="shared" si="406"/>
        <v>-15.012135501806338</v>
      </c>
      <c r="BM420" s="43">
        <f t="shared" si="407"/>
        <v>28.623556005835447</v>
      </c>
    </row>
    <row r="421" spans="14:65" x14ac:dyDescent="0.25">
      <c r="N421" s="9">
        <v>3</v>
      </c>
      <c r="O421" s="34">
        <f t="shared" si="408"/>
        <v>107151.93052376082</v>
      </c>
      <c r="P421" s="33" t="str">
        <f t="shared" si="360"/>
        <v>66,7780509511648</v>
      </c>
      <c r="Q421" s="4" t="str">
        <f t="shared" si="361"/>
        <v>1+2623,9523879682i</v>
      </c>
      <c r="R421" s="4">
        <f t="shared" si="373"/>
        <v>2623.9525785204314</v>
      </c>
      <c r="S421" s="4">
        <f t="shared" si="374"/>
        <v>1.570415222337296</v>
      </c>
      <c r="T421" s="4" t="str">
        <f t="shared" si="362"/>
        <v>1+0,673255435502822i</v>
      </c>
      <c r="U421" s="4">
        <f t="shared" si="375"/>
        <v>1.2055176819251117</v>
      </c>
      <c r="V421" s="4">
        <f t="shared" si="376"/>
        <v>0.59255019835063549</v>
      </c>
      <c r="W421" t="str">
        <f t="shared" si="363"/>
        <v>1-1,46458095647151i</v>
      </c>
      <c r="X421" s="4">
        <f t="shared" si="377"/>
        <v>1.7734140458615419</v>
      </c>
      <c r="Y421" s="4">
        <f t="shared" si="378"/>
        <v>-0.97171489348412809</v>
      </c>
      <c r="Z421" t="str">
        <f t="shared" si="364"/>
        <v>0,988518463785031+0,28786388947901i</v>
      </c>
      <c r="AA421" s="4">
        <f t="shared" si="379"/>
        <v>1.0295797065355852</v>
      </c>
      <c r="AB421" s="4">
        <f t="shared" si="380"/>
        <v>0.2833707947527212</v>
      </c>
      <c r="AC421" s="47" t="str">
        <f t="shared" si="381"/>
        <v>-0,0324898453938556-0,041677010831032i</v>
      </c>
      <c r="AD421" s="20">
        <f t="shared" si="382"/>
        <v>-25.539969760481441</v>
      </c>
      <c r="AE421" s="43">
        <f t="shared" si="383"/>
        <v>-127.93865167113835</v>
      </c>
      <c r="AF421" t="str">
        <f t="shared" si="365"/>
        <v>223,849857273222</v>
      </c>
      <c r="AG421" t="str">
        <f t="shared" si="366"/>
        <v>1+2657,66414318496i</v>
      </c>
      <c r="AH421">
        <f t="shared" si="384"/>
        <v>2657.6643313200871</v>
      </c>
      <c r="AI421">
        <f t="shared" si="385"/>
        <v>1.570420056544432</v>
      </c>
      <c r="AJ421" t="str">
        <f t="shared" si="367"/>
        <v>1+0,673255435502822i</v>
      </c>
      <c r="AK421">
        <f t="shared" si="386"/>
        <v>1.2055176819251117</v>
      </c>
      <c r="AL421">
        <f t="shared" si="387"/>
        <v>0.59255019835063549</v>
      </c>
      <c r="AM421" t="str">
        <f t="shared" si="368"/>
        <v>1-0,442521324853553i</v>
      </c>
      <c r="AN421">
        <f t="shared" si="388"/>
        <v>1.0935378927820214</v>
      </c>
      <c r="AO421">
        <f t="shared" si="389"/>
        <v>-0.4166172799657068</v>
      </c>
      <c r="AP421" s="41" t="str">
        <f t="shared" si="390"/>
        <v>0,0194754151459088-0,109314770020476i</v>
      </c>
      <c r="AQ421">
        <f t="shared" si="391"/>
        <v>-19.090717691066363</v>
      </c>
      <c r="AR421" s="43">
        <f t="shared" si="392"/>
        <v>-79.898227601816089</v>
      </c>
      <c r="AS421" t="str">
        <f t="shared" si="369"/>
        <v>-0,0000166666666666667</v>
      </c>
      <c r="AT421" t="str">
        <f t="shared" si="370"/>
        <v>0,00067527520180933i</v>
      </c>
      <c r="AU421">
        <f t="shared" si="393"/>
        <v>6.7527520180933002E-4</v>
      </c>
      <c r="AV421">
        <f t="shared" si="394"/>
        <v>1.5707963267948966</v>
      </c>
      <c r="AW421" t="str">
        <f t="shared" si="371"/>
        <v>1+0,443019528845326i</v>
      </c>
      <c r="AX421">
        <f t="shared" si="395"/>
        <v>1.0937395955794664</v>
      </c>
      <c r="AY421">
        <f t="shared" si="396"/>
        <v>0.41703382258549265</v>
      </c>
      <c r="AZ421" t="str">
        <f t="shared" si="372"/>
        <v>1+148,116195810621i</v>
      </c>
      <c r="BA421">
        <f t="shared" si="397"/>
        <v>148.11957150022488</v>
      </c>
      <c r="BB421">
        <f t="shared" si="398"/>
        <v>1.564044973231639</v>
      </c>
      <c r="BC421" s="41" t="str">
        <f t="shared" si="399"/>
        <v>-3,04678420113806+1,37446619658459i</v>
      </c>
      <c r="BD421">
        <f t="shared" si="400"/>
        <v>10.481329209949923</v>
      </c>
      <c r="BE421" s="43">
        <f t="shared" si="401"/>
        <v>155.71889798646851</v>
      </c>
      <c r="BF421" s="41" t="str">
        <f t="shared" si="402"/>
        <v>0,156273190205361+0,0823246639245341i</v>
      </c>
      <c r="BG421" s="20">
        <f t="shared" si="403"/>
        <v>-15.058640550531504</v>
      </c>
      <c r="BH421" s="43">
        <f t="shared" si="404"/>
        <v>27.780246315330118</v>
      </c>
      <c r="BI421" s="41" t="str">
        <f t="shared" si="357"/>
        <v>0,090912069003403+0,35982681403193i</v>
      </c>
      <c r="BJ421" s="20">
        <f t="shared" si="405"/>
        <v>-8.6093884811164365</v>
      </c>
      <c r="BK421" s="43">
        <f t="shared" si="358"/>
        <v>75.820670384652416</v>
      </c>
      <c r="BL421">
        <f t="shared" si="406"/>
        <v>-15.058640550531504</v>
      </c>
      <c r="BM421" s="43">
        <f t="shared" si="407"/>
        <v>27.780246315330118</v>
      </c>
    </row>
    <row r="422" spans="14:65" x14ac:dyDescent="0.25">
      <c r="N422" s="9">
        <v>4</v>
      </c>
      <c r="O422" s="34">
        <f t="shared" si="408"/>
        <v>109647.81961431868</v>
      </c>
      <c r="P422" s="33" t="str">
        <f t="shared" si="360"/>
        <v>66,7780509511648</v>
      </c>
      <c r="Q422" s="4" t="str">
        <f t="shared" si="361"/>
        <v>1+2685,07209068621i</v>
      </c>
      <c r="R422" s="4">
        <f t="shared" si="373"/>
        <v>2685.0722769009431</v>
      </c>
      <c r="S422" s="4">
        <f t="shared" si="374"/>
        <v>1.5704238973330455</v>
      </c>
      <c r="T422" s="4" t="str">
        <f t="shared" si="362"/>
        <v>1+0,688937569164965i</v>
      </c>
      <c r="U422" s="4">
        <f t="shared" si="375"/>
        <v>1.21434549210961</v>
      </c>
      <c r="V422" s="4">
        <f t="shared" si="376"/>
        <v>0.60326286542206364</v>
      </c>
      <c r="W422" t="str">
        <f t="shared" si="363"/>
        <v>1-1,49869542938514i</v>
      </c>
      <c r="X422" s="4">
        <f t="shared" si="377"/>
        <v>1.801690314693374</v>
      </c>
      <c r="Y422" s="4">
        <f t="shared" si="378"/>
        <v>-0.98239207508970317</v>
      </c>
      <c r="Z422" t="str">
        <f t="shared" si="364"/>
        <v>0,987977355653826+0,294569100834553i</v>
      </c>
      <c r="AA422" s="4">
        <f t="shared" si="379"/>
        <v>1.0309559692107146</v>
      </c>
      <c r="AB422" s="4">
        <f t="shared" si="380"/>
        <v>0.28976207867062215</v>
      </c>
      <c r="AC422" s="47" t="str">
        <f t="shared" si="381"/>
        <v>-0,0327136262562862-0,0414177171233534i</v>
      </c>
      <c r="AD422" s="20">
        <f t="shared" si="382"/>
        <v>-25.550799000428292</v>
      </c>
      <c r="AE422" s="43">
        <f t="shared" si="383"/>
        <v>-128.30330913852023</v>
      </c>
      <c r="AF422" t="str">
        <f t="shared" si="365"/>
        <v>223,849857273222</v>
      </c>
      <c r="AG422" t="str">
        <f t="shared" si="366"/>
        <v>1+2719,56909355701i</v>
      </c>
      <c r="AH422">
        <f t="shared" si="384"/>
        <v>2719.5692774096592</v>
      </c>
      <c r="AI422">
        <f t="shared" si="385"/>
        <v>1.5704286215002232</v>
      </c>
      <c r="AJ422" t="str">
        <f t="shared" si="367"/>
        <v>1+0,688937569164965i</v>
      </c>
      <c r="AK422">
        <f t="shared" si="386"/>
        <v>1.21434549210961</v>
      </c>
      <c r="AL422">
        <f t="shared" si="387"/>
        <v>0.60326286542206364</v>
      </c>
      <c r="AM422" t="str">
        <f t="shared" si="368"/>
        <v>1-0,452828970657436i</v>
      </c>
      <c r="AN422">
        <f t="shared" si="388"/>
        <v>1.0977495509753912</v>
      </c>
      <c r="AO422">
        <f t="shared" si="389"/>
        <v>-0.42520400821895987</v>
      </c>
      <c r="AP422" s="41" t="str">
        <f t="shared" si="390"/>
        <v>0,0194739888723107-0,107982188518537i</v>
      </c>
      <c r="AQ422">
        <f t="shared" si="391"/>
        <v>-19.193955429052259</v>
      </c>
      <c r="AR422" s="43">
        <f t="shared" si="392"/>
        <v>-79.776911015850146</v>
      </c>
      <c r="AS422" t="str">
        <f t="shared" si="369"/>
        <v>-0,0000166666666666667</v>
      </c>
      <c r="AT422" t="str">
        <f t="shared" si="370"/>
        <v>0,00069100438187246i</v>
      </c>
      <c r="AU422">
        <f t="shared" si="393"/>
        <v>6.9100438187246003E-4</v>
      </c>
      <c r="AV422">
        <f t="shared" si="394"/>
        <v>1.5707963267948966</v>
      </c>
      <c r="AW422" t="str">
        <f t="shared" si="371"/>
        <v>1+0,453338779310944i</v>
      </c>
      <c r="AX422">
        <f t="shared" si="395"/>
        <v>1.0979599486443652</v>
      </c>
      <c r="AY422">
        <f t="shared" si="396"/>
        <v>0.42562698589770898</v>
      </c>
      <c r="AZ422" t="str">
        <f t="shared" si="372"/>
        <v>1+151,566265216292i</v>
      </c>
      <c r="BA422">
        <f t="shared" si="397"/>
        <v>151.56956406751115</v>
      </c>
      <c r="BB422">
        <f t="shared" si="398"/>
        <v>1.5641986482894348</v>
      </c>
      <c r="BC422" s="41" t="str">
        <f t="shared" si="399"/>
        <v>-3,02340667773969+1,39474697307859i</v>
      </c>
      <c r="BD422">
        <f t="shared" si="400"/>
        <v>10.447869030955552</v>
      </c>
      <c r="BE422" s="43">
        <f t="shared" si="401"/>
        <v>155.23535092823988</v>
      </c>
      <c r="BF422" s="41" t="str">
        <f t="shared" si="402"/>
        <v>0,156673831665959+0,0795953713281007i</v>
      </c>
      <c r="BG422" s="20">
        <f t="shared" si="403"/>
        <v>-15.102929969472726</v>
      </c>
      <c r="BH422" s="43">
        <f t="shared" si="404"/>
        <v>26.932041789719563</v>
      </c>
      <c r="BI422" s="41" t="str">
        <f t="shared" si="357"/>
        <v>0,0917300425838585+0,353635356877312i</v>
      </c>
      <c r="BJ422" s="20">
        <f t="shared" si="405"/>
        <v>-8.7460863980967147</v>
      </c>
      <c r="BK422" s="43">
        <f t="shared" si="358"/>
        <v>75.458439912389721</v>
      </c>
      <c r="BL422">
        <f t="shared" si="406"/>
        <v>-15.102929969472726</v>
      </c>
      <c r="BM422" s="43">
        <f t="shared" si="407"/>
        <v>26.932041789719563</v>
      </c>
    </row>
    <row r="423" spans="14:65" x14ac:dyDescent="0.25">
      <c r="N423" s="9">
        <v>5</v>
      </c>
      <c r="O423" s="34">
        <f t="shared" si="408"/>
        <v>112201.84543019651</v>
      </c>
      <c r="P423" s="33" t="str">
        <f t="shared" si="360"/>
        <v>66,7780509511648</v>
      </c>
      <c r="Q423" s="4" t="str">
        <f t="shared" si="361"/>
        <v>1+2747,61545416783i</v>
      </c>
      <c r="R423" s="4">
        <f t="shared" si="373"/>
        <v>2747.6156361437988</v>
      </c>
      <c r="S423" s="4">
        <f t="shared" si="374"/>
        <v>1.5704323748618378</v>
      </c>
      <c r="T423" s="4" t="str">
        <f t="shared" si="362"/>
        <v>1+0,704984986645446i</v>
      </c>
      <c r="U423" s="4">
        <f t="shared" si="375"/>
        <v>1.2235210792607865</v>
      </c>
      <c r="V423" s="4">
        <f t="shared" si="376"/>
        <v>0.61406376366012105</v>
      </c>
      <c r="W423" t="str">
        <f t="shared" si="363"/>
        <v>1-1,53360453045301i</v>
      </c>
      <c r="X423" s="4">
        <f t="shared" si="377"/>
        <v>1.8308311926078813</v>
      </c>
      <c r="Y423" s="4">
        <f t="shared" si="378"/>
        <v>-0.99297530731396566</v>
      </c>
      <c r="Z423" t="str">
        <f t="shared" si="364"/>
        <v>0,987410745882058+0,301430496626441i</v>
      </c>
      <c r="AA423" s="4">
        <f t="shared" si="379"/>
        <v>1.0323954307240151</v>
      </c>
      <c r="AB423" s="4">
        <f t="shared" si="380"/>
        <v>0.29628796873068236</v>
      </c>
      <c r="AC423" s="47" t="str">
        <f t="shared" si="381"/>
        <v>-0,032946620119782-0,0411752878829254i</v>
      </c>
      <c r="AD423" s="20">
        <f t="shared" si="382"/>
        <v>-25.558171095276965</v>
      </c>
      <c r="AE423" s="43">
        <f t="shared" si="383"/>
        <v>-128.66522947921464</v>
      </c>
      <c r="AF423" t="str">
        <f t="shared" si="365"/>
        <v>223,849857273222</v>
      </c>
      <c r="AG423" t="str">
        <f t="shared" si="366"/>
        <v>1+2782,91599546021i</v>
      </c>
      <c r="AH423">
        <f t="shared" si="384"/>
        <v>2782.9161751278625</v>
      </c>
      <c r="AI423">
        <f t="shared" si="385"/>
        <v>1.5704369914938705</v>
      </c>
      <c r="AJ423" t="str">
        <f t="shared" si="367"/>
        <v>1+0,704984986645446i</v>
      </c>
      <c r="AK423">
        <f t="shared" si="386"/>
        <v>1.2235210792607865</v>
      </c>
      <c r="AL423">
        <f t="shared" si="387"/>
        <v>0.61406376366012105</v>
      </c>
      <c r="AM423" t="str">
        <f t="shared" si="368"/>
        <v>1-0,463376712375461i</v>
      </c>
      <c r="AN423">
        <f t="shared" si="388"/>
        <v>1.1021424488567215</v>
      </c>
      <c r="AO423">
        <f t="shared" si="389"/>
        <v>-0.43392215126507883</v>
      </c>
      <c r="AP423" s="41" t="str">
        <f t="shared" si="390"/>
        <v>0,019472626791582-0,106706860555044i</v>
      </c>
      <c r="AQ423">
        <f t="shared" si="391"/>
        <v>-19.293882355930513</v>
      </c>
      <c r="AR423" s="43">
        <f t="shared" si="392"/>
        <v>-79.658057498903702</v>
      </c>
      <c r="AS423" t="str">
        <f t="shared" si="369"/>
        <v>-0,0000166666666666667</v>
      </c>
      <c r="AT423" t="str">
        <f t="shared" si="370"/>
        <v>0,000707099941605382i</v>
      </c>
      <c r="AU423">
        <f t="shared" si="393"/>
        <v>7.0709994160538198E-4</v>
      </c>
      <c r="AV423">
        <f t="shared" si="394"/>
        <v>1.5707963267948966</v>
      </c>
      <c r="AW423" t="str">
        <f t="shared" si="371"/>
        <v>1+0,463898395998i</v>
      </c>
      <c r="AX423">
        <f t="shared" si="395"/>
        <v>1.1023618833257602</v>
      </c>
      <c r="AY423">
        <f t="shared" si="396"/>
        <v>0.43435153471263882</v>
      </c>
      <c r="AZ423" t="str">
        <f t="shared" si="372"/>
        <v>1+155,096697061998i</v>
      </c>
      <c r="BA423">
        <f t="shared" si="397"/>
        <v>155.09992082377468</v>
      </c>
      <c r="BB423">
        <f t="shared" si="398"/>
        <v>1.5643488255769658</v>
      </c>
      <c r="BC423" s="41" t="str">
        <f t="shared" si="399"/>
        <v>-2,99930884455879+1,41494501612123i</v>
      </c>
      <c r="BD423">
        <f t="shared" si="400"/>
        <v>10.413106724975844</v>
      </c>
      <c r="BE423" s="43">
        <f t="shared" si="401"/>
        <v>154.74407562774286</v>
      </c>
      <c r="BF423" s="41" t="str">
        <f t="shared" si="402"/>
        <v>0,157077857500883+0,0768797491879875i</v>
      </c>
      <c r="BG423" s="20">
        <f t="shared" si="403"/>
        <v>-15.145064370301117</v>
      </c>
      <c r="BH423" s="43">
        <f t="shared" si="404"/>
        <v>26.078846148528211</v>
      </c>
      <c r="BI423" s="41" t="str">
        <f t="shared" si="357"/>
        <v>0,0925799187655182+0,347599526867383i</v>
      </c>
      <c r="BJ423" s="20">
        <f t="shared" si="405"/>
        <v>-8.8807756309546644</v>
      </c>
      <c r="BK423" s="43">
        <f t="shared" si="358"/>
        <v>75.086018128839214</v>
      </c>
      <c r="BL423">
        <f t="shared" si="406"/>
        <v>-15.145064370301117</v>
      </c>
      <c r="BM423" s="43">
        <f t="shared" si="407"/>
        <v>26.078846148528211</v>
      </c>
    </row>
    <row r="424" spans="14:65" x14ac:dyDescent="0.25">
      <c r="N424" s="9">
        <v>6</v>
      </c>
      <c r="O424" s="34">
        <f t="shared" si="408"/>
        <v>114815.36214968823</v>
      </c>
      <c r="P424" s="33" t="str">
        <f t="shared" si="360"/>
        <v>66,7780509511648</v>
      </c>
      <c r="Q424" s="4" t="str">
        <f t="shared" si="361"/>
        <v>1+2811,61563973224i</v>
      </c>
      <c r="R424" s="4">
        <f t="shared" si="373"/>
        <v>2811.6158175659302</v>
      </c>
      <c r="S424" s="4">
        <f t="shared" si="374"/>
        <v>1.570440659418566</v>
      </c>
      <c r="T424" s="4" t="str">
        <f t="shared" si="362"/>
        <v>1+0,721406196497424i</v>
      </c>
      <c r="U424" s="4">
        <f t="shared" si="375"/>
        <v>1.2330559193908766</v>
      </c>
      <c r="V424" s="4">
        <f t="shared" si="376"/>
        <v>0.6249485397235055</v>
      </c>
      <c r="W424" t="str">
        <f t="shared" si="363"/>
        <v>1-1,56932676894258i</v>
      </c>
      <c r="X424" s="4">
        <f t="shared" si="377"/>
        <v>1.8608563909447065</v>
      </c>
      <c r="Y424" s="4">
        <f t="shared" si="378"/>
        <v>-1.003460718408127</v>
      </c>
      <c r="Z424" t="str">
        <f t="shared" si="364"/>
        <v>0,986817432614436+0,308451714857544i</v>
      </c>
      <c r="AA424" s="4">
        <f t="shared" si="379"/>
        <v>1.0339009167760256</v>
      </c>
      <c r="AB424" s="4">
        <f t="shared" si="380"/>
        <v>0.30295066102641183</v>
      </c>
      <c r="AC424" s="47" t="str">
        <f t="shared" si="381"/>
        <v>-0,0331891496009206-0,0409492743514528i</v>
      </c>
      <c r="AD424" s="20">
        <f t="shared" si="382"/>
        <v>-25.562110568318218</v>
      </c>
      <c r="AE424" s="43">
        <f t="shared" si="383"/>
        <v>-129.0245663708682</v>
      </c>
      <c r="AF424" t="str">
        <f t="shared" si="365"/>
        <v>223,849857273222</v>
      </c>
      <c r="AG424" t="str">
        <f t="shared" si="366"/>
        <v>1+2847,73843626044i</v>
      </c>
      <c r="AH424">
        <f t="shared" si="384"/>
        <v>2847.7386118383574</v>
      </c>
      <c r="AI424">
        <f t="shared" si="385"/>
        <v>1.5704451709632501</v>
      </c>
      <c r="AJ424" t="str">
        <f t="shared" si="367"/>
        <v>1+0,721406196497424i</v>
      </c>
      <c r="AK424">
        <f t="shared" si="386"/>
        <v>1.2330559193908766</v>
      </c>
      <c r="AL424">
        <f t="shared" si="387"/>
        <v>0.6249485397235055</v>
      </c>
      <c r="AM424" t="str">
        <f t="shared" si="368"/>
        <v>1-0,474170142559903i</v>
      </c>
      <c r="AN424">
        <f t="shared" si="388"/>
        <v>1.1067236891362173</v>
      </c>
      <c r="AO424">
        <f t="shared" si="389"/>
        <v>-0.44277102949829911</v>
      </c>
      <c r="AP424" s="41" t="str">
        <f t="shared" si="390"/>
        <v>0,019471326014569-0,10548810993738i</v>
      </c>
      <c r="AQ424">
        <f t="shared" si="391"/>
        <v>-19.390426471150565</v>
      </c>
      <c r="AR424" s="43">
        <f t="shared" si="392"/>
        <v>-79.541877794789528</v>
      </c>
      <c r="AS424" t="str">
        <f t="shared" si="369"/>
        <v>-0,0000166666666666667</v>
      </c>
      <c r="AT424" t="str">
        <f t="shared" si="370"/>
        <v>0,000723570415086917i</v>
      </c>
      <c r="AU424">
        <f t="shared" si="393"/>
        <v>7.2357041508691697E-4</v>
      </c>
      <c r="AV424">
        <f t="shared" si="394"/>
        <v>1.5707963267948966</v>
      </c>
      <c r="AW424" t="str">
        <f t="shared" si="371"/>
        <v>1+0,474703977755035i</v>
      </c>
      <c r="AX424">
        <f t="shared" si="395"/>
        <v>1.1069525132075235</v>
      </c>
      <c r="AY424">
        <f t="shared" si="396"/>
        <v>0.44320678112800227</v>
      </c>
      <c r="AZ424" t="str">
        <f t="shared" si="372"/>
        <v>1+158,709363229433i</v>
      </c>
      <c r="BA424">
        <f t="shared" si="397"/>
        <v>158.71251361090623</v>
      </c>
      <c r="BB424">
        <f t="shared" si="398"/>
        <v>1.5644955846931066</v>
      </c>
      <c r="BC424" s="41" t="str">
        <f t="shared" si="399"/>
        <v>-2,97448363010751+1,43503313597006i</v>
      </c>
      <c r="BD424">
        <f t="shared" si="400"/>
        <v>10.377002549156236</v>
      </c>
      <c r="BE424" s="43">
        <f t="shared" si="401"/>
        <v>154.24511605955411</v>
      </c>
      <c r="BF424" s="41" t="str">
        <f t="shared" si="402"/>
        <v>0,157484147773391+0,0741754167911891i</v>
      </c>
      <c r="BG424" s="20">
        <f t="shared" si="403"/>
        <v>-15.185108019161987</v>
      </c>
      <c r="BH424" s="43">
        <f t="shared" si="404"/>
        <v>25.220549688685942</v>
      </c>
      <c r="BI424" s="41" t="str">
        <f t="shared" si="357"/>
        <v>0,0934617927241709+0,341714654211901i</v>
      </c>
      <c r="BJ424" s="20">
        <f t="shared" si="405"/>
        <v>-9.0134239219943169</v>
      </c>
      <c r="BK424" s="43">
        <f t="shared" si="358"/>
        <v>74.703238264764622</v>
      </c>
      <c r="BL424">
        <f t="shared" si="406"/>
        <v>-15.185108019161987</v>
      </c>
      <c r="BM424" s="43">
        <f t="shared" si="407"/>
        <v>25.220549688685942</v>
      </c>
    </row>
    <row r="425" spans="14:65" x14ac:dyDescent="0.25">
      <c r="N425" s="9">
        <v>7</v>
      </c>
      <c r="O425" s="34">
        <f t="shared" si="408"/>
        <v>117489.75549395311</v>
      </c>
      <c r="P425" s="33" t="str">
        <f t="shared" si="360"/>
        <v>66,7780509511648</v>
      </c>
      <c r="Q425" s="4" t="str">
        <f t="shared" si="361"/>
        <v>1+2877,10658112497i</v>
      </c>
      <c r="R425" s="4">
        <f t="shared" si="373"/>
        <v>2877.1067549106715</v>
      </c>
      <c r="S425" s="4">
        <f t="shared" si="374"/>
        <v>1.5704487553958071</v>
      </c>
      <c r="T425" s="4" t="str">
        <f t="shared" si="362"/>
        <v>1+0,738209905463728i</v>
      </c>
      <c r="U425" s="4">
        <f t="shared" si="375"/>
        <v>1.2429617309172338</v>
      </c>
      <c r="V425" s="4">
        <f t="shared" si="376"/>
        <v>0.63591264816819815</v>
      </c>
      <c r="W425" t="str">
        <f t="shared" si="363"/>
        <v>1-1,60588108525754i</v>
      </c>
      <c r="X425" s="4">
        <f t="shared" si="377"/>
        <v>1.8917859445476211</v>
      </c>
      <c r="Y425" s="4">
        <f t="shared" si="378"/>
        <v>-1.0138446451975407</v>
      </c>
      <c r="Z425" t="str">
        <f t="shared" si="364"/>
        <v>0,986196157353971+0,315636478270706i</v>
      </c>
      <c r="AA425" s="4">
        <f t="shared" si="379"/>
        <v>1.0354753725680161</v>
      </c>
      <c r="AB425" s="4">
        <f t="shared" si="380"/>
        <v>0.30975234476851382</v>
      </c>
      <c r="AC425" s="47" t="str">
        <f t="shared" si="381"/>
        <v>-0,0334415430430082-0,0407392184275512i</v>
      </c>
      <c r="AD425" s="20">
        <f t="shared" si="382"/>
        <v>-25.562645195076179</v>
      </c>
      <c r="AE425" s="43">
        <f t="shared" si="383"/>
        <v>-129.38149604800185</v>
      </c>
      <c r="AF425" t="str">
        <f t="shared" si="365"/>
        <v>223,849857273222</v>
      </c>
      <c r="AG425" t="str">
        <f t="shared" si="366"/>
        <v>1+2914,07078567387i</v>
      </c>
      <c r="AH425">
        <f t="shared" si="384"/>
        <v>2914.0709572551464</v>
      </c>
      <c r="AI425">
        <f t="shared" si="385"/>
        <v>1.5704531642452213</v>
      </c>
      <c r="AJ425" t="str">
        <f t="shared" si="367"/>
        <v>1+0,738209905463728i</v>
      </c>
      <c r="AK425">
        <f t="shared" si="386"/>
        <v>1.2429617309172338</v>
      </c>
      <c r="AL425">
        <f t="shared" si="387"/>
        <v>0.63591264816819815</v>
      </c>
      <c r="AM425" t="str">
        <f t="shared" si="368"/>
        <v>1-0,485214984030316i</v>
      </c>
      <c r="AN425">
        <f t="shared" si="388"/>
        <v>1.1115005986177156</v>
      </c>
      <c r="AO425">
        <f t="shared" si="389"/>
        <v>-0.45174979057308212</v>
      </c>
      <c r="AP425" s="41" t="str">
        <f t="shared" si="390"/>
        <v>0,0194700837821514-0,104325290470778i</v>
      </c>
      <c r="AQ425">
        <f t="shared" si="391"/>
        <v>-19.483516846306664</v>
      </c>
      <c r="AR425" s="43">
        <f t="shared" si="392"/>
        <v>-79.428583750947723</v>
      </c>
      <c r="AS425" t="str">
        <f t="shared" si="369"/>
        <v>-0,0000166666666666667</v>
      </c>
      <c r="AT425" t="str">
        <f t="shared" si="370"/>
        <v>0,00074042453518012i</v>
      </c>
      <c r="AU425">
        <f t="shared" si="393"/>
        <v>7.4042453518012E-4</v>
      </c>
      <c r="AV425">
        <f t="shared" si="394"/>
        <v>1.5707963267948966</v>
      </c>
      <c r="AW425" t="str">
        <f t="shared" si="371"/>
        <v>1+0,485761253844527i</v>
      </c>
      <c r="AX425">
        <f t="shared" si="395"/>
        <v>1.1117391761274795</v>
      </c>
      <c r="AY425">
        <f t="shared" si="396"/>
        <v>0.45219186419958995</v>
      </c>
      <c r="AZ425" t="str">
        <f t="shared" si="372"/>
        <v>1+162,40617920202i</v>
      </c>
      <c r="BA425">
        <f t="shared" si="397"/>
        <v>162.40925787343107</v>
      </c>
      <c r="BB425">
        <f t="shared" si="398"/>
        <v>1.5646390034261812</v>
      </c>
      <c r="BC425" s="41" t="str">
        <f t="shared" si="399"/>
        <v>-2,94892511814161+1,45498317172779i</v>
      </c>
      <c r="BD425">
        <f t="shared" si="400"/>
        <v>10.339516404701374</v>
      </c>
      <c r="BE425" s="43">
        <f t="shared" si="401"/>
        <v>153.738526009086</v>
      </c>
      <c r="BF425" s="41" t="str">
        <f t="shared" si="402"/>
        <v>0,15789148351037+0,0714800221502758i</v>
      </c>
      <c r="BG425" s="20">
        <f t="shared" si="403"/>
        <v>-15.223128790374819</v>
      </c>
      <c r="BH425" s="43">
        <f t="shared" si="404"/>
        <v>24.357029961084205</v>
      </c>
      <c r="BI425" s="41" t="str">
        <f t="shared" si="357"/>
        <v>0,0943757229030877+0,335976113781857i</v>
      </c>
      <c r="BJ425" s="20">
        <f t="shared" si="405"/>
        <v>-9.1440004416052947</v>
      </c>
      <c r="BK425" s="43">
        <f t="shared" si="358"/>
        <v>74.309942258138264</v>
      </c>
      <c r="BL425">
        <f t="shared" si="406"/>
        <v>-15.223128790374819</v>
      </c>
      <c r="BM425" s="43">
        <f t="shared" si="407"/>
        <v>24.357029961084205</v>
      </c>
    </row>
    <row r="426" spans="14:65" x14ac:dyDescent="0.25">
      <c r="N426" s="9">
        <v>8</v>
      </c>
      <c r="O426" s="34">
        <f t="shared" si="408"/>
        <v>120226.44346174144</v>
      </c>
      <c r="P426" s="33" t="str">
        <f t="shared" si="360"/>
        <v>66,7780509511648</v>
      </c>
      <c r="Q426" s="4" t="str">
        <f t="shared" si="361"/>
        <v>1+2944,12300251002i</v>
      </c>
      <c r="R426" s="4">
        <f t="shared" si="373"/>
        <v>2944.123172339876</v>
      </c>
      <c r="S426" s="4">
        <f t="shared" si="374"/>
        <v>1.5704566670861511</v>
      </c>
      <c r="T426" s="4" t="str">
        <f t="shared" si="362"/>
        <v>1+0,755405023093271i</v>
      </c>
      <c r="U426" s="4">
        <f t="shared" si="375"/>
        <v>1.2532504733350573</v>
      </c>
      <c r="V426" s="4">
        <f t="shared" si="376"/>
        <v>0.64695135848051188</v>
      </c>
      <c r="W426" t="str">
        <f t="shared" si="363"/>
        <v>1-1,64328686098025i</v>
      </c>
      <c r="X426" s="4">
        <f t="shared" si="377"/>
        <v>1.9236402229809824</v>
      </c>
      <c r="Y426" s="4">
        <f t="shared" si="378"/>
        <v>-1.0241236358093415</v>
      </c>
      <c r="Z426" t="str">
        <f t="shared" si="364"/>
        <v>0,985545602292541+0,32298859632259i</v>
      </c>
      <c r="AA426" s="4">
        <f t="shared" si="379"/>
        <v>1.0371218672618008</v>
      </c>
      <c r="AB426" s="4">
        <f t="shared" si="380"/>
        <v>0.31669519896884524</v>
      </c>
      <c r="AC426" s="47" t="str">
        <f t="shared" si="381"/>
        <v>-0,0337041340853514-0,0405446516397819i</v>
      </c>
      <c r="AD426" s="20">
        <f t="shared" si="382"/>
        <v>-25.559806015168274</v>
      </c>
      <c r="AE426" s="43">
        <f t="shared" si="383"/>
        <v>-129.73621686546863</v>
      </c>
      <c r="AF426" t="str">
        <f t="shared" si="365"/>
        <v>223,849857273222</v>
      </c>
      <c r="AG426" t="str">
        <f t="shared" si="366"/>
        <v>1+2981,94821399014i</v>
      </c>
      <c r="AH426">
        <f t="shared" si="384"/>
        <v>2981.9483816657503</v>
      </c>
      <c r="AI426">
        <f t="shared" si="385"/>
        <v>1.5704609755779233</v>
      </c>
      <c r="AJ426" t="str">
        <f t="shared" si="367"/>
        <v>1+0,755405023093271i</v>
      </c>
      <c r="AK426">
        <f t="shared" si="386"/>
        <v>1.2532504733350573</v>
      </c>
      <c r="AL426">
        <f t="shared" si="387"/>
        <v>0.64695135848051188</v>
      </c>
      <c r="AM426" t="str">
        <f t="shared" si="368"/>
        <v>1-0,49651709290784i</v>
      </c>
      <c r="AN426">
        <f t="shared" si="388"/>
        <v>1.11648073138306</v>
      </c>
      <c r="AO426">
        <f t="shared" si="389"/>
        <v>-0.46085740334700287</v>
      </c>
      <c r="AP426" s="41" t="str">
        <f t="shared" si="390"/>
        <v>0,0194688974593897-0,103217785615709i</v>
      </c>
      <c r="AQ426">
        <f t="shared" si="391"/>
        <v>-19.573083800728199</v>
      </c>
      <c r="AR426" s="43">
        <f t="shared" si="392"/>
        <v>-79.318387568565839</v>
      </c>
      <c r="AS426" t="str">
        <f t="shared" si="369"/>
        <v>-0,0000166666666666667</v>
      </c>
      <c r="AT426" t="str">
        <f t="shared" si="370"/>
        <v>0,000757671238162551i</v>
      </c>
      <c r="AU426">
        <f t="shared" si="393"/>
        <v>7.57671238162551E-4</v>
      </c>
      <c r="AV426">
        <f t="shared" si="394"/>
        <v>1.5707963267948966</v>
      </c>
      <c r="AW426" t="str">
        <f t="shared" si="371"/>
        <v>1+0,497076086980617i</v>
      </c>
      <c r="AX426">
        <f t="shared" si="395"/>
        <v>1.1167294373517527</v>
      </c>
      <c r="AY426">
        <f t="shared" si="396"/>
        <v>0.46130574389754464</v>
      </c>
      <c r="AZ426" t="str">
        <f t="shared" si="372"/>
        <v>1+166,189105080519i</v>
      </c>
      <c r="BA426">
        <f t="shared" si="397"/>
        <v>166.19211367409642</v>
      </c>
      <c r="BB426">
        <f t="shared" si="398"/>
        <v>1.5647791577950869</v>
      </c>
      <c r="BC426" s="41" t="str">
        <f t="shared" si="399"/>
        <v>-2,92262863819102+1,47476603476266i</v>
      </c>
      <c r="BD426">
        <f t="shared" si="400"/>
        <v>10.30060790271386</v>
      </c>
      <c r="BE426" s="43">
        <f t="shared" si="401"/>
        <v>153.22436942122181</v>
      </c>
      <c r="BF426" s="41" t="str">
        <f t="shared" si="402"/>
        <v>0,158298542632913+0,0687912478277424i</v>
      </c>
      <c r="BG426" s="20">
        <f t="shared" si="403"/>
        <v>-15.259198112454399</v>
      </c>
      <c r="BH426" s="43">
        <f t="shared" si="404"/>
        <v>23.488152555753125</v>
      </c>
      <c r="BI426" s="41" t="str">
        <f t="shared" si="357"/>
        <v>0,0953217271406448+0,330379324918517i</v>
      </c>
      <c r="BJ426" s="20">
        <f t="shared" si="405"/>
        <v>-9.272475898014342</v>
      </c>
      <c r="BK426" s="43">
        <f t="shared" si="358"/>
        <v>73.905981852655955</v>
      </c>
      <c r="BL426">
        <f t="shared" si="406"/>
        <v>-15.259198112454399</v>
      </c>
      <c r="BM426" s="43">
        <f t="shared" si="407"/>
        <v>23.488152555753125</v>
      </c>
    </row>
    <row r="427" spans="14:65" x14ac:dyDescent="0.25">
      <c r="N427" s="9">
        <v>9</v>
      </c>
      <c r="O427" s="34">
        <f t="shared" si="408"/>
        <v>123026.87708123829</v>
      </c>
      <c r="P427" s="33" t="str">
        <f t="shared" si="360"/>
        <v>66,7780509511648</v>
      </c>
      <c r="Q427" s="4" t="str">
        <f t="shared" si="361"/>
        <v>1+3012,70043688108i</v>
      </c>
      <c r="R427" s="4">
        <f t="shared" si="373"/>
        <v>3012.7006028451369</v>
      </c>
      <c r="S427" s="4">
        <f t="shared" si="374"/>
        <v>1.5704643986844768</v>
      </c>
      <c r="T427" s="4" t="str">
        <f t="shared" si="362"/>
        <v>1+0,773000666465025i</v>
      </c>
      <c r="U427" s="4">
        <f t="shared" si="375"/>
        <v>1.2639343457456058</v>
      </c>
      <c r="V427" s="4">
        <f t="shared" si="376"/>
        <v>0.65805976309554814</v>
      </c>
      <c r="W427" t="str">
        <f t="shared" si="363"/>
        <v>1-1,68156392914813i</v>
      </c>
      <c r="X427" s="4">
        <f t="shared" si="377"/>
        <v>1.9564399422962355</v>
      </c>
      <c r="Y427" s="4">
        <f t="shared" si="378"/>
        <v>-1.0342944514686074</v>
      </c>
      <c r="Z427" t="str">
        <f t="shared" si="364"/>
        <v>0,984864387515638+0,330511967203504i</v>
      </c>
      <c r="AA427" s="4">
        <f t="shared" si="379"/>
        <v>1.0388435985562423</v>
      </c>
      <c r="AB427" s="4">
        <f t="shared" si="380"/>
        <v>0.32378138892388542</v>
      </c>
      <c r="AC427" s="47" t="str">
        <f t="shared" si="381"/>
        <v>-0,0339772611693008-0,0403650941067794i</v>
      </c>
      <c r="AD427" s="20">
        <f t="shared" si="382"/>
        <v>-25.553627341219681</v>
      </c>
      <c r="AE427" s="43">
        <f t="shared" si="383"/>
        <v>-130.08894874058979</v>
      </c>
      <c r="AF427" t="str">
        <f t="shared" si="365"/>
        <v>223,849857273222</v>
      </c>
      <c r="AG427" t="str">
        <f t="shared" si="366"/>
        <v>1+3051,40671072022i</v>
      </c>
      <c r="AH427">
        <f t="shared" si="384"/>
        <v>3051.4068745790678</v>
      </c>
      <c r="AI427">
        <f t="shared" si="385"/>
        <v>1.5704686091030244</v>
      </c>
      <c r="AJ427" t="str">
        <f t="shared" si="367"/>
        <v>1+0,773000666465025i</v>
      </c>
      <c r="AK427">
        <f t="shared" si="386"/>
        <v>1.2639343457456058</v>
      </c>
      <c r="AL427">
        <f t="shared" si="387"/>
        <v>0.65805976309554814</v>
      </c>
      <c r="AM427" t="str">
        <f t="shared" si="368"/>
        <v>1-0,508082461720205i</v>
      </c>
      <c r="AN427">
        <f t="shared" si="388"/>
        <v>1.121671871764494</v>
      </c>
      <c r="AO427">
        <f t="shared" si="389"/>
        <v>-0.47009265212193369</v>
      </c>
      <c r="AP427" s="41" t="str">
        <f t="shared" si="390"/>
        <v>0,0194677645299358-0,102165008161003i</v>
      </c>
      <c r="AQ427">
        <f t="shared" si="391"/>
        <v>-19.659059078970355</v>
      </c>
      <c r="AR427" s="43">
        <f t="shared" si="392"/>
        <v>-79.211501013328686</v>
      </c>
      <c r="AS427" t="str">
        <f t="shared" si="369"/>
        <v>-0,0000166666666666667</v>
      </c>
      <c r="AT427" t="str">
        <f t="shared" si="370"/>
        <v>0,000775319668464421i</v>
      </c>
      <c r="AU427">
        <f t="shared" si="393"/>
        <v>7.7531966846442098E-4</v>
      </c>
      <c r="AV427">
        <f t="shared" si="394"/>
        <v>1.5707963267948966</v>
      </c>
      <c r="AW427" t="str">
        <f t="shared" si="371"/>
        <v>1+0,508654476437604i</v>
      </c>
      <c r="AX427">
        <f t="shared" si="395"/>
        <v>1.1219310925364414</v>
      </c>
      <c r="AY427">
        <f t="shared" si="396"/>
        <v>0.47054719536343925</v>
      </c>
      <c r="AZ427" t="str">
        <f t="shared" si="372"/>
        <v>1+170,060146622305i</v>
      </c>
      <c r="BA427">
        <f t="shared" si="397"/>
        <v>170.06308673312935</v>
      </c>
      <c r="BB427">
        <f t="shared" si="398"/>
        <v>1.5649161220894878</v>
      </c>
      <c r="BC427" s="41" t="str">
        <f t="shared" si="399"/>
        <v>-2,89559085573296+1,49435176026225i</v>
      </c>
      <c r="BD427">
        <f t="shared" si="400"/>
        <v>10.260236434996795</v>
      </c>
      <c r="BE427" s="43">
        <f t="shared" si="401"/>
        <v>152.70272073166424</v>
      </c>
      <c r="BF427" s="41" t="str">
        <f t="shared" si="402"/>
        <v>0,158703896176295+0,066106817349156i</v>
      </c>
      <c r="BG427" s="20">
        <f t="shared" si="403"/>
        <v>-15.293390906222895</v>
      </c>
      <c r="BH427" s="43">
        <f t="shared" si="404"/>
        <v>22.613771991074501</v>
      </c>
      <c r="BI427" s="41" t="str">
        <f t="shared" si="357"/>
        <v>0,0962997788281574+0,324919751600564i</v>
      </c>
      <c r="BJ427" s="20">
        <f t="shared" si="405"/>
        <v>-9.3988226439735598</v>
      </c>
      <c r="BK427" s="43">
        <f t="shared" si="358"/>
        <v>73.491219718335572</v>
      </c>
      <c r="BL427">
        <f t="shared" si="406"/>
        <v>-15.293390906222895</v>
      </c>
      <c r="BM427" s="43">
        <f t="shared" si="407"/>
        <v>22.613771991074501</v>
      </c>
    </row>
    <row r="428" spans="14:65" x14ac:dyDescent="0.25">
      <c r="N428" s="9">
        <v>10</v>
      </c>
      <c r="O428" s="34">
        <f t="shared" si="408"/>
        <v>125892.54117941685</v>
      </c>
      <c r="P428" s="33" t="str">
        <f t="shared" si="360"/>
        <v>66,7780509511648</v>
      </c>
      <c r="Q428" s="4" t="str">
        <f t="shared" si="361"/>
        <v>1+3082,87524490158i</v>
      </c>
      <c r="R428" s="4">
        <f t="shared" si="373"/>
        <v>3082.8754070878335</v>
      </c>
      <c r="S428" s="4">
        <f t="shared" si="374"/>
        <v>1.5704719542901768</v>
      </c>
      <c r="T428" s="4" t="str">
        <f t="shared" si="362"/>
        <v>1+0,791006165022013i</v>
      </c>
      <c r="U428" s="4">
        <f t="shared" si="375"/>
        <v>1.2750257852697851</v>
      </c>
      <c r="V428" s="4">
        <f t="shared" si="376"/>
        <v>0.66923278638420458</v>
      </c>
      <c r="W428" t="str">
        <f t="shared" si="363"/>
        <v>1-1,72073258476937i</v>
      </c>
      <c r="X428" s="4">
        <f t="shared" si="377"/>
        <v>1.9902061773311519</v>
      </c>
      <c r="Y428" s="4">
        <f t="shared" si="378"/>
        <v>-1.0443540673956482</v>
      </c>
      <c r="Z428" t="str">
        <f t="shared" si="364"/>
        <v>0,984151068075389+0,338210579904272i</v>
      </c>
      <c r="AA428" s="4">
        <f t="shared" si="379"/>
        <v>1.0406438973794603</v>
      </c>
      <c r="AB428" s="4">
        <f t="shared" si="380"/>
        <v>0.33101306249382739</v>
      </c>
      <c r="AC428" s="47" t="str">
        <f t="shared" si="381"/>
        <v>-0,0342612669768629-0,0402000534874011i</v>
      </c>
      <c r="AD428" s="20">
        <f t="shared" si="382"/>
        <v>-25.544146764549605</v>
      </c>
      <c r="AE428" s="43">
        <f t="shared" si="383"/>
        <v>-130.43993247658244</v>
      </c>
      <c r="AF428" t="str">
        <f t="shared" si="365"/>
        <v>223,849857273222</v>
      </c>
      <c r="AG428" t="str">
        <f t="shared" si="366"/>
        <v>1+3122,48310367847i</v>
      </c>
      <c r="AH428">
        <f t="shared" si="384"/>
        <v>3122.4832638074349</v>
      </c>
      <c r="AI428">
        <f t="shared" si="385"/>
        <v>1.5704760688679174</v>
      </c>
      <c r="AJ428" t="str">
        <f t="shared" si="367"/>
        <v>1+0,791006165022013i</v>
      </c>
      <c r="AK428">
        <f t="shared" si="386"/>
        <v>1.2750257852697851</v>
      </c>
      <c r="AL428">
        <f t="shared" si="387"/>
        <v>0.66923278638420458</v>
      </c>
      <c r="AM428" t="str">
        <f t="shared" si="368"/>
        <v>1-0,51991722257904i</v>
      </c>
      <c r="AN428">
        <f t="shared" si="388"/>
        <v>1.12708203709149</v>
      </c>
      <c r="AO428">
        <f t="shared" si="389"/>
        <v>-0.47945413123563829</v>
      </c>
      <c r="AP428" s="41" t="str">
        <f t="shared" si="390"/>
        <v>0,0194666825906962-0,101166399912507i</v>
      </c>
      <c r="AQ428">
        <f t="shared" si="391"/>
        <v>-19.741376029393418</v>
      </c>
      <c r="AR428" s="43">
        <f t="shared" si="392"/>
        <v>-79.108134590746928</v>
      </c>
      <c r="AS428" t="str">
        <f t="shared" si="369"/>
        <v>-0,0000166666666666667</v>
      </c>
      <c r="AT428" t="str">
        <f t="shared" si="370"/>
        <v>0,000793379183517079i</v>
      </c>
      <c r="AU428">
        <f t="shared" si="393"/>
        <v>7.9337918351707901E-4</v>
      </c>
      <c r="AV428">
        <f t="shared" si="394"/>
        <v>1.5707963267948966</v>
      </c>
      <c r="AW428" t="str">
        <f t="shared" si="371"/>
        <v>1+0,520502561230836i</v>
      </c>
      <c r="AX428">
        <f t="shared" si="395"/>
        <v>1.1273521704630991</v>
      </c>
      <c r="AY428">
        <f t="shared" si="396"/>
        <v>0.47991480352036353</v>
      </c>
      <c r="AZ428" t="str">
        <f t="shared" si="372"/>
        <v>1+174,021356304843i</v>
      </c>
      <c r="BA428">
        <f t="shared" si="397"/>
        <v>174.02422949169213</v>
      </c>
      <c r="BB428">
        <f t="shared" si="398"/>
        <v>1.5650499689090995</v>
      </c>
      <c r="BC428" s="41" t="str">
        <f t="shared" si="399"/>
        <v>-2,86780986128316+1,51370956718544i</v>
      </c>
      <c r="BD428">
        <f t="shared" si="400"/>
        <v>10.218361249778852</v>
      </c>
      <c r="BE428" s="43">
        <f t="shared" si="401"/>
        <v>152.17366517800519</v>
      </c>
      <c r="BF428" s="41" t="str">
        <f t="shared" si="402"/>
        <v>0,159106004861548+0,0634245022085074i</v>
      </c>
      <c r="BG428" s="20">
        <f t="shared" si="403"/>
        <v>-15.325785514770754</v>
      </c>
      <c r="BH428" s="43">
        <f t="shared" si="404"/>
        <v>21.733732701422749</v>
      </c>
      <c r="BI428" s="41" t="str">
        <f t="shared" si="357"/>
        <v>0,0973098031252023+0,319592902978503i</v>
      </c>
      <c r="BJ428" s="20">
        <f t="shared" si="405"/>
        <v>-9.5230147796145541</v>
      </c>
      <c r="BK428" s="43">
        <f t="shared" si="358"/>
        <v>73.065530587258309</v>
      </c>
      <c r="BL428">
        <f t="shared" si="406"/>
        <v>-15.325785514770754</v>
      </c>
      <c r="BM428" s="43">
        <f t="shared" si="407"/>
        <v>21.733732701422749</v>
      </c>
    </row>
    <row r="429" spans="14:65" x14ac:dyDescent="0.25">
      <c r="N429" s="9">
        <v>11</v>
      </c>
      <c r="O429" s="34">
        <f t="shared" si="408"/>
        <v>128824.95516931375</v>
      </c>
      <c r="P429" s="33" t="str">
        <f t="shared" si="360"/>
        <v>66,7780509511648</v>
      </c>
      <c r="Q429" s="4" t="str">
        <f t="shared" si="361"/>
        <v>1+3154,6846341836i</v>
      </c>
      <c r="R429" s="4">
        <f t="shared" si="373"/>
        <v>3154.6847926780442</v>
      </c>
      <c r="S429" s="4">
        <f t="shared" si="374"/>
        <v>1.5704793379093294</v>
      </c>
      <c r="T429" s="4" t="str">
        <f t="shared" si="362"/>
        <v>1+0,809431065517901i</v>
      </c>
      <c r="U429" s="4">
        <f t="shared" si="375"/>
        <v>1.2865374653796307</v>
      </c>
      <c r="V429" s="4">
        <f t="shared" si="376"/>
        <v>0.68046519458269783</v>
      </c>
      <c r="W429" t="str">
        <f t="shared" si="363"/>
        <v>1-1,76081359558365i</v>
      </c>
      <c r="X429" s="4">
        <f t="shared" si="377"/>
        <v>2.0249603745239613</v>
      </c>
      <c r="Y429" s="4">
        <f t="shared" si="378"/>
        <v>-1.0542996728424994</v>
      </c>
      <c r="Z429" t="str">
        <f t="shared" si="364"/>
        <v>0,983404130925624+0,346088516331252i</v>
      </c>
      <c r="AA429" s="4">
        <f t="shared" si="379"/>
        <v>1.0425262326953451</v>
      </c>
      <c r="AB429" s="4">
        <f t="shared" si="380"/>
        <v>0.33839234617415132</v>
      </c>
      <c r="AC429" s="47" t="str">
        <f t="shared" si="381"/>
        <v>-0,0345564977976537-0,0400490239243025i</v>
      </c>
      <c r="AD429" s="20">
        <f t="shared" si="382"/>
        <v>-25.531405157295922</v>
      </c>
      <c r="AE429" s="43">
        <f t="shared" si="383"/>
        <v>-130.78942897077488</v>
      </c>
      <c r="AF429" t="str">
        <f t="shared" si="365"/>
        <v>223,849857273222</v>
      </c>
      <c r="AG429" t="str">
        <f t="shared" si="366"/>
        <v>1+3195,21507850924i</v>
      </c>
      <c r="AH429">
        <f t="shared" si="384"/>
        <v>3195.2152349932248</v>
      </c>
      <c r="AI429">
        <f t="shared" si="385"/>
        <v>1.5704833588278648</v>
      </c>
      <c r="AJ429" t="str">
        <f t="shared" si="367"/>
        <v>1+0,809431065517901i</v>
      </c>
      <c r="AK429">
        <f t="shared" si="386"/>
        <v>1.2865374653796307</v>
      </c>
      <c r="AL429">
        <f t="shared" si="387"/>
        <v>0.68046519458269783</v>
      </c>
      <c r="AM429" t="str">
        <f t="shared" si="368"/>
        <v>1-0,532027650431206i</v>
      </c>
      <c r="AN429">
        <f t="shared" si="388"/>
        <v>1.1327194801994664</v>
      </c>
      <c r="AO429">
        <f t="shared" si="389"/>
        <v>-0.48894024005745068</v>
      </c>
      <c r="AP429" s="41" t="str">
        <f t="shared" si="390"/>
        <v>0,019465649346734-0,100221431397143i</v>
      </c>
      <c r="AQ429">
        <f t="shared" si="391"/>
        <v>-19.819969782977363</v>
      </c>
      <c r="AR429" s="43">
        <f t="shared" si="392"/>
        <v>-79.008496690634701</v>
      </c>
      <c r="AS429" t="str">
        <f t="shared" si="369"/>
        <v>-0,0000166666666666667</v>
      </c>
      <c r="AT429" t="str">
        <f t="shared" si="370"/>
        <v>0,000811859358714455i</v>
      </c>
      <c r="AU429">
        <f t="shared" si="393"/>
        <v>8.1185935871445501E-4</v>
      </c>
      <c r="AV429">
        <f t="shared" si="394"/>
        <v>1.5707963267948966</v>
      </c>
      <c r="AW429" t="str">
        <f t="shared" si="371"/>
        <v>1+0,532626623371699i</v>
      </c>
      <c r="AX429">
        <f t="shared" si="395"/>
        <v>1.1330009355355086</v>
      </c>
      <c r="AY429">
        <f t="shared" si="396"/>
        <v>0.48940695808974055</v>
      </c>
      <c r="AZ429" t="str">
        <f t="shared" si="372"/>
        <v>1+178,074834413938i</v>
      </c>
      <c r="BA429">
        <f t="shared" si="397"/>
        <v>178.0776422001129</v>
      </c>
      <c r="BB429">
        <f t="shared" si="398"/>
        <v>1.5651807692020832</v>
      </c>
      <c r="BC429" s="41" t="str">
        <f t="shared" si="399"/>
        <v>-2,83928525762581+1,53280792681522i</v>
      </c>
      <c r="BD429">
        <f t="shared" si="400"/>
        <v>10.174941532282434</v>
      </c>
      <c r="BE429" s="43">
        <f t="shared" si="401"/>
        <v>151.63729908744111</v>
      </c>
      <c r="BF429" s="41" t="str">
        <f t="shared" si="402"/>
        <v>0,15950321608444+0,0607421294633592i</v>
      </c>
      <c r="BG429" s="20">
        <f t="shared" si="403"/>
        <v>-15.356463625013493</v>
      </c>
      <c r="BH429" s="43">
        <f t="shared" si="404"/>
        <v>20.847870116666243</v>
      </c>
      <c r="BI429" s="41" t="str">
        <f t="shared" si="357"/>
        <v>0,0983516732620132+0,314394334283344i</v>
      </c>
      <c r="BJ429" s="20">
        <f t="shared" si="405"/>
        <v>-9.6450282506949279</v>
      </c>
      <c r="BK429" s="43">
        <f t="shared" si="358"/>
        <v>72.628802396806407</v>
      </c>
      <c r="BL429">
        <f t="shared" si="406"/>
        <v>-15.356463625013493</v>
      </c>
      <c r="BM429" s="43">
        <f t="shared" si="407"/>
        <v>20.847870116666243</v>
      </c>
    </row>
    <row r="430" spans="14:65" x14ac:dyDescent="0.25">
      <c r="N430" s="9">
        <v>12</v>
      </c>
      <c r="O430" s="34">
        <f t="shared" si="408"/>
        <v>131825.67385564081</v>
      </c>
      <c r="P430" s="33" t="str">
        <f t="shared" si="360"/>
        <v>66,7780509511648</v>
      </c>
      <c r="Q430" s="4" t="str">
        <f t="shared" si="361"/>
        <v>1+3228,16667901585i</v>
      </c>
      <c r="R430" s="4">
        <f t="shared" si="373"/>
        <v>3228.1668339025205</v>
      </c>
      <c r="S430" s="4">
        <f t="shared" si="374"/>
        <v>1.570486553456824</v>
      </c>
      <c r="T430" s="4" t="str">
        <f t="shared" si="362"/>
        <v>1+0,82828513707881i</v>
      </c>
      <c r="U430" s="4">
        <f t="shared" si="375"/>
        <v>1.2984822941825827</v>
      </c>
      <c r="V430" s="4">
        <f t="shared" si="376"/>
        <v>0.69175160662923607</v>
      </c>
      <c r="W430" t="str">
        <f t="shared" si="363"/>
        <v>1-1,80182821307342i</v>
      </c>
      <c r="X430" s="4">
        <f t="shared" si="377"/>
        <v>2.0607243652238778</v>
      </c>
      <c r="Y430" s="4">
        <f t="shared" si="378"/>
        <v>-1.0641286703113082</v>
      </c>
      <c r="Z430" t="str">
        <f t="shared" si="364"/>
        <v>0,982621991712506+0,354149953470613i</v>
      </c>
      <c r="AA430" s="4">
        <f t="shared" si="379"/>
        <v>1.0444942164226134</v>
      </c>
      <c r="AB430" s="4">
        <f t="shared" si="380"/>
        <v>0.3459213409573505</v>
      </c>
      <c r="AC430" s="47" t="str">
        <f t="shared" si="381"/>
        <v>-0,0348633028199694-0,0399114849848541i</v>
      </c>
      <c r="AD430" s="20">
        <f t="shared" si="382"/>
        <v>-25.51544667060023</v>
      </c>
      <c r="AE430" s="43">
        <f t="shared" si="383"/>
        <v>-131.13771831194182</v>
      </c>
      <c r="AF430" t="str">
        <f t="shared" si="365"/>
        <v>223,849857273222</v>
      </c>
      <c r="AG430" t="str">
        <f t="shared" si="366"/>
        <v>1+3269,6411986683i</v>
      </c>
      <c r="AH430">
        <f t="shared" si="384"/>
        <v>3269.6413515902746</v>
      </c>
      <c r="AI430">
        <f t="shared" si="385"/>
        <v>1.5704904828480968</v>
      </c>
      <c r="AJ430" t="str">
        <f t="shared" si="367"/>
        <v>1+0,82828513707881i</v>
      </c>
      <c r="AK430">
        <f t="shared" si="386"/>
        <v>1.2984822941825827</v>
      </c>
      <c r="AL430">
        <f t="shared" si="387"/>
        <v>0.69175160662923607</v>
      </c>
      <c r="AM430" t="str">
        <f t="shared" si="368"/>
        <v>1-0,544420166385846i</v>
      </c>
      <c r="AN430">
        <f t="shared" si="388"/>
        <v>1.1385926916889957</v>
      </c>
      <c r="AO430">
        <f t="shared" si="389"/>
        <v>-0.49854917844274371</v>
      </c>
      <c r="AP430" s="41" t="str">
        <f t="shared" si="390"/>
        <v>0,0194646626064018-0,099329601582176i</v>
      </c>
      <c r="AQ430">
        <f t="shared" si="391"/>
        <v>-19.89477743149234</v>
      </c>
      <c r="AR430" s="43">
        <f t="shared" si="392"/>
        <v>-78.912792705893366</v>
      </c>
      <c r="AS430" t="str">
        <f t="shared" si="369"/>
        <v>-0,0000166666666666667</v>
      </c>
      <c r="AT430" t="str">
        <f t="shared" si="370"/>
        <v>0,000830769992490047i</v>
      </c>
      <c r="AU430">
        <f t="shared" si="393"/>
        <v>8.3076999249004704E-4</v>
      </c>
      <c r="AV430">
        <f t="shared" si="394"/>
        <v>1.5707963267948966</v>
      </c>
      <c r="AW430" t="str">
        <f t="shared" si="371"/>
        <v>1+0,545033091198419i</v>
      </c>
      <c r="AX430">
        <f t="shared" si="395"/>
        <v>1.1388858900264347</v>
      </c>
      <c r="AY430">
        <f t="shared" si="396"/>
        <v>0.49902184906963615</v>
      </c>
      <c r="AZ430" t="str">
        <f t="shared" si="372"/>
        <v>1+182,222730157338i</v>
      </c>
      <c r="BA430">
        <f t="shared" si="397"/>
        <v>182.22547403147021</v>
      </c>
      <c r="BB430">
        <f t="shared" si="398"/>
        <v>1.5653085923025725</v>
      </c>
      <c r="BC430" s="41" t="str">
        <f t="shared" si="399"/>
        <v>-2,81001824435119+1,55161464004344i</v>
      </c>
      <c r="BD430">
        <f t="shared" si="400"/>
        <v>10.129936490010776</v>
      </c>
      <c r="BE430" s="43">
        <f t="shared" si="401"/>
        <v>151.09373013799694</v>
      </c>
      <c r="BF430" s="41" t="str">
        <f t="shared" si="402"/>
        <v>0,159893761390828+0,0580575899108563i</v>
      </c>
      <c r="BG430" s="20">
        <f t="shared" si="403"/>
        <v>-15.385510180589449</v>
      </c>
      <c r="BH430" s="43">
        <f t="shared" si="404"/>
        <v>19.956011826055104</v>
      </c>
      <c r="BI430" s="41" t="str">
        <f t="shared" si="357"/>
        <v>0,0994252069604569+0,309319648113649i</v>
      </c>
      <c r="BJ430" s="20">
        <f t="shared" si="405"/>
        <v>-9.7648409414815536</v>
      </c>
      <c r="BK430" s="43">
        <f t="shared" si="358"/>
        <v>72.180937432103619</v>
      </c>
      <c r="BL430">
        <f t="shared" si="406"/>
        <v>-15.385510180589449</v>
      </c>
      <c r="BM430" s="43">
        <f t="shared" si="407"/>
        <v>19.956011826055104</v>
      </c>
    </row>
    <row r="431" spans="14:65" x14ac:dyDescent="0.25">
      <c r="N431" s="9">
        <v>13</v>
      </c>
      <c r="O431" s="34">
        <f t="shared" si="408"/>
        <v>134896.28825916545</v>
      </c>
      <c r="P431" s="33" t="str">
        <f t="shared" si="360"/>
        <v>66,7780509511648</v>
      </c>
      <c r="Q431" s="4" t="str">
        <f t="shared" si="361"/>
        <v>1+3303,36034055115i</v>
      </c>
      <c r="R431" s="4">
        <f t="shared" si="373"/>
        <v>3303.360491912169</v>
      </c>
      <c r="S431" s="4">
        <f t="shared" si="374"/>
        <v>1.5704936047584366</v>
      </c>
      <c r="T431" s="4" t="str">
        <f t="shared" si="362"/>
        <v>1+0,84757837638305i</v>
      </c>
      <c r="U431" s="4">
        <f t="shared" si="375"/>
        <v>1.3108734126955688</v>
      </c>
      <c r="V431" s="4">
        <f t="shared" si="376"/>
        <v>0.70308650586322563</v>
      </c>
      <c r="W431" t="str">
        <f t="shared" si="363"/>
        <v>1-1,84379818373179i</v>
      </c>
      <c r="X431" s="4">
        <f t="shared" si="377"/>
        <v>2.0975203794796959</v>
      </c>
      <c r="Y431" s="4">
        <f t="shared" si="378"/>
        <v>-1.0738386740013106</v>
      </c>
      <c r="Z431" t="str">
        <f t="shared" si="364"/>
        <v>0,9818029914139+0,362399165603033i</v>
      </c>
      <c r="AA431" s="4">
        <f t="shared" si="379"/>
        <v>1.0465516084642252</v>
      </c>
      <c r="AB431" s="4">
        <f t="shared" si="380"/>
        <v>0.35360211798346181</v>
      </c>
      <c r="AC431" s="47" t="str">
        <f t="shared" si="381"/>
        <v>-0,0351820333418142-0,0397869006038393i</v>
      </c>
      <c r="AD431" s="20">
        <f t="shared" si="382"/>
        <v>-25.496318728438759</v>
      </c>
      <c r="AE431" s="43">
        <f t="shared" si="383"/>
        <v>-131.48509877192149</v>
      </c>
      <c r="AF431" t="str">
        <f t="shared" si="365"/>
        <v>223,849857273222</v>
      </c>
      <c r="AG431" t="str">
        <f t="shared" si="366"/>
        <v>1+3345,80092586972i</v>
      </c>
      <c r="AH431">
        <f t="shared" si="384"/>
        <v>3345.8010753107656</v>
      </c>
      <c r="AI431">
        <f t="shared" si="385"/>
        <v>1.5704974447058604</v>
      </c>
      <c r="AJ431" t="str">
        <f t="shared" si="367"/>
        <v>1+0,84757837638305i</v>
      </c>
      <c r="AK431">
        <f t="shared" si="386"/>
        <v>1.3108734126955688</v>
      </c>
      <c r="AL431">
        <f t="shared" si="387"/>
        <v>0.70308650586322563</v>
      </c>
      <c r="AM431" t="str">
        <f t="shared" si="368"/>
        <v>1-0,557101341118959i</v>
      </c>
      <c r="AN431">
        <f t="shared" si="388"/>
        <v>1.144710401925545</v>
      </c>
      <c r="AO431">
        <f t="shared" si="389"/>
        <v>-0.5082789427015505</v>
      </c>
      <c r="AP431" s="41" t="str">
        <f t="shared" si="390"/>
        <v>0,0194637202766919-0,0984904376095781i</v>
      </c>
      <c r="AQ431">
        <f t="shared" si="391"/>
        <v>-19.965738204115727</v>
      </c>
      <c r="AR431" s="43">
        <f t="shared" si="392"/>
        <v>-78.821224131333977</v>
      </c>
      <c r="AS431" t="str">
        <f t="shared" si="369"/>
        <v>-0,0000166666666666667</v>
      </c>
      <c r="AT431" t="str">
        <f t="shared" si="370"/>
        <v>0,0008501211115122i</v>
      </c>
      <c r="AU431">
        <f t="shared" si="393"/>
        <v>8.5012111151219999E-4</v>
      </c>
      <c r="AV431">
        <f t="shared" si="394"/>
        <v>1.5707963267948966</v>
      </c>
      <c r="AW431" t="str">
        <f t="shared" si="371"/>
        <v>1+0,557728542784459i</v>
      </c>
      <c r="AX431">
        <f t="shared" si="395"/>
        <v>1.1450157760644506</v>
      </c>
      <c r="AY431">
        <f t="shared" si="396"/>
        <v>0.50875746272991706</v>
      </c>
      <c r="AZ431" t="str">
        <f t="shared" si="372"/>
        <v>1+186,467242804271i</v>
      </c>
      <c r="BA431">
        <f t="shared" si="397"/>
        <v>186.4699242211112</v>
      </c>
      <c r="BB431">
        <f t="shared" si="398"/>
        <v>1.5654335059673503</v>
      </c>
      <c r="BC431" s="41" t="str">
        <f t="shared" si="399"/>
        <v>-2,78001169882366+1,57009692343743i</v>
      </c>
      <c r="BD431">
        <f t="shared" si="400"/>
        <v>10.08330544257975</v>
      </c>
      <c r="BE431" s="43">
        <f t="shared" si="401"/>
        <v>150.54307759008822</v>
      </c>
      <c r="BF431" s="41" t="str">
        <f t="shared" si="402"/>
        <v>0,160275754509846+0,0553688468283518i</v>
      </c>
      <c r="BG431" s="20">
        <f t="shared" si="403"/>
        <v>-15.413013285859032</v>
      </c>
      <c r="BH431" s="43">
        <f t="shared" si="404"/>
        <v>19.057978818166767</v>
      </c>
      <c r="BI431" s="41" t="str">
        <f t="shared" si="357"/>
        <v>0,10053016300697+0,30436449610197i</v>
      </c>
      <c r="BJ431" s="20">
        <f t="shared" si="405"/>
        <v>-9.8824327615359646</v>
      </c>
      <c r="BK431" s="43">
        <f t="shared" si="358"/>
        <v>71.721853458754268</v>
      </c>
      <c r="BL431">
        <f t="shared" si="406"/>
        <v>-15.413013285859032</v>
      </c>
      <c r="BM431" s="43">
        <f t="shared" si="407"/>
        <v>19.057978818166767</v>
      </c>
    </row>
    <row r="432" spans="14:65" x14ac:dyDescent="0.25">
      <c r="N432" s="9">
        <v>14</v>
      </c>
      <c r="O432" s="34">
        <f t="shared" si="408"/>
        <v>138038.42646028858</v>
      </c>
      <c r="P432" s="33" t="str">
        <f t="shared" si="360"/>
        <v>66,7780509511648</v>
      </c>
      <c r="Q432" s="4" t="str">
        <f t="shared" si="361"/>
        <v>1+3380,30548746416i</v>
      </c>
      <c r="R432" s="4">
        <f t="shared" si="373"/>
        <v>3380.3056353797815</v>
      </c>
      <c r="S432" s="4">
        <f t="shared" si="374"/>
        <v>1.5705004955528576</v>
      </c>
      <c r="T432" s="4" t="str">
        <f t="shared" si="362"/>
        <v>1+0,867321012961475i</v>
      </c>
      <c r="U432" s="4">
        <f t="shared" si="375"/>
        <v>1.3237241931476962</v>
      </c>
      <c r="V432" s="4">
        <f t="shared" si="376"/>
        <v>0.71446425253329238</v>
      </c>
      <c r="W432" t="str">
        <f t="shared" si="363"/>
        <v>1-1,88674576059272i</v>
      </c>
      <c r="X432" s="4">
        <f t="shared" si="377"/>
        <v>2.1353710602877904</v>
      </c>
      <c r="Y432" s="4">
        <f t="shared" si="378"/>
        <v>-1.0834275075341386</v>
      </c>
      <c r="Z432" t="str">
        <f t="shared" si="364"/>
        <v>0,980945392820368+0,370840526569977i</v>
      </c>
      <c r="AA432" s="4">
        <f t="shared" si="379"/>
        <v>1.0487023218445757</v>
      </c>
      <c r="AB432" s="4">
        <f t="shared" si="380"/>
        <v>0.36143671397909533</v>
      </c>
      <c r="AC432" s="47" t="str">
        <f t="shared" si="381"/>
        <v>-0,0355130418978074-0,039674718032942i</v>
      </c>
      <c r="AD432" s="20">
        <f t="shared" si="382"/>
        <v>-25.474072016657384</v>
      </c>
      <c r="AE432" s="43">
        <f t="shared" si="383"/>
        <v>-131.83188569741995</v>
      </c>
      <c r="AF432" t="str">
        <f t="shared" si="365"/>
        <v>223,849857273222</v>
      </c>
      <c r="AG432" t="str">
        <f t="shared" si="366"/>
        <v>1+3423,73464100894i</v>
      </c>
      <c r="AH432">
        <f t="shared" si="384"/>
        <v>3423.7347870482922</v>
      </c>
      <c r="AI432">
        <f t="shared" si="385"/>
        <v>1.5705042480924221</v>
      </c>
      <c r="AJ432" t="str">
        <f t="shared" si="367"/>
        <v>1+0,867321012961475i</v>
      </c>
      <c r="AK432">
        <f t="shared" si="386"/>
        <v>1.3237241931476962</v>
      </c>
      <c r="AL432">
        <f t="shared" si="387"/>
        <v>0.71446425253329238</v>
      </c>
      <c r="AM432" t="str">
        <f t="shared" si="368"/>
        <v>1-0,570077898357241i</v>
      </c>
      <c r="AN432">
        <f t="shared" si="388"/>
        <v>1.1510815827713554</v>
      </c>
      <c r="AO432">
        <f t="shared" si="389"/>
        <v>-0.51812732213668966</v>
      </c>
      <c r="AP432" s="41" t="str">
        <f t="shared" si="390"/>
        <v>0,0194628203587981-0,0977034945453174i</v>
      </c>
      <c r="AQ432">
        <f t="shared" si="391"/>
        <v>-20.032793641574955</v>
      </c>
      <c r="AR432" s="43">
        <f t="shared" si="392"/>
        <v>-78.733987648783398</v>
      </c>
      <c r="AS432" t="str">
        <f t="shared" si="369"/>
        <v>-0,0000166666666666667</v>
      </c>
      <c r="AT432" t="str">
        <f t="shared" si="370"/>
        <v>0,00086992297600036i</v>
      </c>
      <c r="AU432">
        <f t="shared" si="393"/>
        <v>8.6992297600036004E-4</v>
      </c>
      <c r="AV432">
        <f t="shared" si="394"/>
        <v>1.5707963267948966</v>
      </c>
      <c r="AW432" t="str">
        <f t="shared" si="371"/>
        <v>1+0,570719709426294i</v>
      </c>
      <c r="AX432">
        <f t="shared" si="395"/>
        <v>1.1513995773525512</v>
      </c>
      <c r="AY432">
        <f t="shared" si="396"/>
        <v>0.51861157817963077</v>
      </c>
      <c r="AZ432" t="str">
        <f t="shared" si="372"/>
        <v>1+190,810622851524i</v>
      </c>
      <c r="BA432">
        <f t="shared" si="397"/>
        <v>190.81324323271309</v>
      </c>
      <c r="BB432">
        <f t="shared" si="398"/>
        <v>1.5655555764116933</v>
      </c>
      <c r="BC432" s="41" t="str">
        <f t="shared" si="399"/>
        <v>-2,74927025266679+1,58822150404997i</v>
      </c>
      <c r="BD432">
        <f t="shared" si="400"/>
        <v>10.035007915876818</v>
      </c>
      <c r="BE432" s="43">
        <f t="shared" si="401"/>
        <v>149.98547248524926</v>
      </c>
      <c r="BF432" s="41" t="str">
        <f t="shared" si="402"/>
        <v>0,160647190018389+0,0526739452545848i</v>
      </c>
      <c r="BG432" s="20">
        <f t="shared" si="403"/>
        <v>-15.439064100780557</v>
      </c>
      <c r="BH432" s="43">
        <f t="shared" si="404"/>
        <v>18.15358678782928</v>
      </c>
      <c r="BI432" s="41" t="str">
        <f t="shared" si="357"/>
        <v>0,101666238012261+0,299524580958338i</v>
      </c>
      <c r="BJ432" s="20">
        <f t="shared" si="405"/>
        <v>-9.9977857256981277</v>
      </c>
      <c r="BK432" s="43">
        <f t="shared" si="358"/>
        <v>71.251484836465849</v>
      </c>
      <c r="BL432">
        <f t="shared" si="406"/>
        <v>-15.439064100780557</v>
      </c>
      <c r="BM432" s="43">
        <f t="shared" si="407"/>
        <v>18.15358678782928</v>
      </c>
    </row>
    <row r="433" spans="14:65" x14ac:dyDescent="0.25">
      <c r="N433" s="9">
        <v>15</v>
      </c>
      <c r="O433" s="34">
        <f t="shared" si="408"/>
        <v>141253.75446227577</v>
      </c>
      <c r="P433" s="33" t="str">
        <f t="shared" si="360"/>
        <v>66,7780509511648</v>
      </c>
      <c r="Q433" s="4" t="str">
        <f t="shared" si="361"/>
        <v>1+3459,04291709026i</v>
      </c>
      <c r="R433" s="4">
        <f t="shared" si="373"/>
        <v>3459.0430616389117</v>
      </c>
      <c r="S433" s="4">
        <f t="shared" si="374"/>
        <v>1.5705072294936748</v>
      </c>
      <c r="T433" s="4" t="str">
        <f t="shared" si="362"/>
        <v>1+0,887523514621324i</v>
      </c>
      <c r="U433" s="4">
        <f t="shared" si="375"/>
        <v>1.3370482373518868</v>
      </c>
      <c r="V433" s="4">
        <f t="shared" si="376"/>
        <v>0.72587909705173514</v>
      </c>
      <c r="W433" t="str">
        <f t="shared" si="363"/>
        <v>1-1,93069371502996i</v>
      </c>
      <c r="X433" s="4">
        <f t="shared" si="377"/>
        <v>2.1742994782817262</v>
      </c>
      <c r="Y433" s="4">
        <f t="shared" si="378"/>
        <v>-1.0928932010097785</v>
      </c>
      <c r="Z433" t="str">
        <f t="shared" si="364"/>
        <v>0,980047376850311+0,379478512092762i</v>
      </c>
      <c r="AA433" s="4">
        <f t="shared" si="379"/>
        <v>1.0509504279514386</v>
      </c>
      <c r="AB433" s="4">
        <f t="shared" si="380"/>
        <v>0.36942712648589376</v>
      </c>
      <c r="AC433" s="47" t="str">
        <f t="shared" si="381"/>
        <v>-0,0358566812980652-0,039574366802627i</v>
      </c>
      <c r="AD433" s="20">
        <f t="shared" si="382"/>
        <v>-25.448760466747199</v>
      </c>
      <c r="AE433" s="43">
        <f t="shared" si="383"/>
        <v>-132.17841030863022</v>
      </c>
      <c r="AF433" t="str">
        <f t="shared" si="365"/>
        <v>223,849857273222</v>
      </c>
      <c r="AG433" t="str">
        <f t="shared" si="366"/>
        <v>1+3503,48366557332i</v>
      </c>
      <c r="AH433">
        <f t="shared" si="384"/>
        <v>3503.4838082884112</v>
      </c>
      <c r="AI433">
        <f t="shared" si="385"/>
        <v>1.5705108966150245</v>
      </c>
      <c r="AJ433" t="str">
        <f t="shared" si="367"/>
        <v>1+0,887523514621324i</v>
      </c>
      <c r="AK433">
        <f t="shared" si="386"/>
        <v>1.3370482373518868</v>
      </c>
      <c r="AL433">
        <f t="shared" si="387"/>
        <v>0.72587909705173514</v>
      </c>
      <c r="AM433" t="str">
        <f t="shared" si="368"/>
        <v>1-0,583356718443105i</v>
      </c>
      <c r="AN433">
        <f t="shared" si="388"/>
        <v>1.1577154490429451</v>
      </c>
      <c r="AO433">
        <f t="shared" si="389"/>
        <v>-0.52809189620632468</v>
      </c>
      <c r="AP433" s="41" t="str">
        <f t="shared" si="390"/>
        <v>0,0194619609438747-0,0969683551434564i</v>
      </c>
      <c r="AQ433">
        <f t="shared" si="391"/>
        <v>-20.09588776688194</v>
      </c>
      <c r="AR433" s="43">
        <f t="shared" si="392"/>
        <v>-78.6512742051993</v>
      </c>
      <c r="AS433" t="str">
        <f t="shared" si="369"/>
        <v>-0,0000166666666666667</v>
      </c>
      <c r="AT433" t="str">
        <f t="shared" si="370"/>
        <v>0,000890186085165188i</v>
      </c>
      <c r="AU433">
        <f t="shared" si="393"/>
        <v>8.90186085165188E-4</v>
      </c>
      <c r="AV433">
        <f t="shared" si="394"/>
        <v>1.5707963267948966</v>
      </c>
      <c r="AW433" t="str">
        <f t="shared" si="371"/>
        <v>1+0,584013479212436i</v>
      </c>
      <c r="AX433">
        <f t="shared" si="395"/>
        <v>1.15804652061211</v>
      </c>
      <c r="AY433">
        <f t="shared" si="396"/>
        <v>0.52858176456145922</v>
      </c>
      <c r="AZ433" t="str">
        <f t="shared" si="372"/>
        <v>1+195,255173216691i</v>
      </c>
      <c r="BA433">
        <f t="shared" si="397"/>
        <v>195.25773395151344</v>
      </c>
      <c r="BB433">
        <f t="shared" si="398"/>
        <v>1.5656748683444066</v>
      </c>
      <c r="BC433" s="41" t="str">
        <f t="shared" si="399"/>
        <v>-2,71780036282174+1,6059547228359i</v>
      </c>
      <c r="BD433">
        <f t="shared" si="400"/>
        <v>9.9850037402726475</v>
      </c>
      <c r="BE433" s="43">
        <f t="shared" si="401"/>
        <v>149.42105780888588</v>
      </c>
      <c r="BF433" s="41" t="str">
        <f t="shared" si="402"/>
        <v>0,161005942711384+0,0499710217787708i</v>
      </c>
      <c r="BG433" s="20">
        <f t="shared" si="403"/>
        <v>-15.463756726474562</v>
      </c>
      <c r="BH433" s="43">
        <f t="shared" si="404"/>
        <v>17.242647500255636</v>
      </c>
      <c r="BI433" s="41" t="str">
        <f t="shared" si="357"/>
        <v>0,102833063393777+0,294795658884577i</v>
      </c>
      <c r="BJ433" s="20">
        <f t="shared" si="405"/>
        <v>-10.110884026609288</v>
      </c>
      <c r="BK433" s="43">
        <f t="shared" si="358"/>
        <v>70.769783603686676</v>
      </c>
      <c r="BL433">
        <f t="shared" si="406"/>
        <v>-15.463756726474562</v>
      </c>
      <c r="BM433" s="43">
        <f t="shared" si="407"/>
        <v>17.242647500255636</v>
      </c>
    </row>
    <row r="434" spans="14:65" x14ac:dyDescent="0.25">
      <c r="N434" s="9">
        <v>16</v>
      </c>
      <c r="O434" s="34">
        <f t="shared" si="408"/>
        <v>144543.97707459307</v>
      </c>
      <c r="P434" s="33" t="str">
        <f t="shared" si="360"/>
        <v>66,7780509511648</v>
      </c>
      <c r="Q434" s="4" t="str">
        <f t="shared" si="361"/>
        <v>1+3539,61437705684i</v>
      </c>
      <c r="R434" s="4">
        <f t="shared" si="373"/>
        <v>3539.6145183151625</v>
      </c>
      <c r="S434" s="4">
        <f t="shared" si="374"/>
        <v>1.5705138101513105</v>
      </c>
      <c r="T434" s="4" t="str">
        <f t="shared" si="362"/>
        <v>1+0,908196592996386i</v>
      </c>
      <c r="U434" s="4">
        <f t="shared" si="375"/>
        <v>1.3508593751868634</v>
      </c>
      <c r="V434" s="4">
        <f t="shared" si="376"/>
        <v>0.73732519392473661</v>
      </c>
      <c r="W434" t="str">
        <f t="shared" si="363"/>
        <v>1-1,97566534883065i</v>
      </c>
      <c r="X434" s="4">
        <f t="shared" si="377"/>
        <v>2.2143291468456385</v>
      </c>
      <c r="Y434" s="4">
        <f t="shared" si="378"/>
        <v>-1.1022339874470584</v>
      </c>
      <c r="Z434" t="str">
        <f t="shared" si="364"/>
        <v>0,97910703869146+0,388317702145651i</v>
      </c>
      <c r="AA434" s="4">
        <f t="shared" si="379"/>
        <v>1.0533001618792426</v>
      </c>
      <c r="AB434" s="4">
        <f t="shared" si="380"/>
        <v>0.37757530888069646</v>
      </c>
      <c r="AC434" s="47" t="str">
        <f t="shared" si="381"/>
        <v>-0,0362133035753488-0,0394852577026212i</v>
      </c>
      <c r="AD434" s="20">
        <f t="shared" si="382"/>
        <v>-25.420441233890678</v>
      </c>
      <c r="AE434" s="43">
        <f t="shared" si="383"/>
        <v>-132.52501841193254</v>
      </c>
      <c r="AF434" t="str">
        <f t="shared" si="365"/>
        <v>223,849857273222</v>
      </c>
      <c r="AG434" t="str">
        <f t="shared" si="366"/>
        <v>1+3585,09028355127i</v>
      </c>
      <c r="AH434">
        <f t="shared" si="384"/>
        <v>3585.0904230177698</v>
      </c>
      <c r="AI434">
        <f t="shared" si="385"/>
        <v>1.5705173937988006</v>
      </c>
      <c r="AJ434" t="str">
        <f t="shared" si="367"/>
        <v>1+0,908196592996386i</v>
      </c>
      <c r="AK434">
        <f t="shared" si="386"/>
        <v>1.3508593751868634</v>
      </c>
      <c r="AL434">
        <f t="shared" si="387"/>
        <v>0.73732519392473661</v>
      </c>
      <c r="AM434" t="str">
        <f t="shared" si="368"/>
        <v>1-0,596944841982726i</v>
      </c>
      <c r="AN434">
        <f t="shared" si="388"/>
        <v>1.1646214596897062</v>
      </c>
      <c r="AO434">
        <f t="shared" si="389"/>
        <v>-0.53817003236464611</v>
      </c>
      <c r="AP434" s="41" t="str">
        <f t="shared" si="390"/>
        <v>0,0194611402089884-0,0962846296249338i</v>
      </c>
      <c r="AQ434">
        <f t="shared" si="391"/>
        <v>-20.154967251725012</v>
      </c>
      <c r="AR434" s="43">
        <f t="shared" si="392"/>
        <v>-78.573268090917509</v>
      </c>
      <c r="AS434" t="str">
        <f t="shared" si="369"/>
        <v>-0,0000166666666666667</v>
      </c>
      <c r="AT434" t="str">
        <f t="shared" si="370"/>
        <v>0,000910921182775375i</v>
      </c>
      <c r="AU434">
        <f t="shared" si="393"/>
        <v>9.10921182775375E-4</v>
      </c>
      <c r="AV434">
        <f t="shared" si="394"/>
        <v>1.5707963267948966</v>
      </c>
      <c r="AW434" t="str">
        <f t="shared" si="371"/>
        <v>1+0,597616900675588i</v>
      </c>
      <c r="AX434">
        <f t="shared" si="395"/>
        <v>1.1649660767477719</v>
      </c>
      <c r="AY434">
        <f t="shared" si="396"/>
        <v>0.53866537892688882</v>
      </c>
      <c r="AZ434" t="str">
        <f t="shared" si="372"/>
        <v>1+199,803250459205i</v>
      </c>
      <c r="BA434">
        <f t="shared" si="397"/>
        <v>199.80575290532502</v>
      </c>
      <c r="BB434">
        <f t="shared" si="398"/>
        <v>1.5657914450020636</v>
      </c>
      <c r="BC434" s="41" t="str">
        <f t="shared" si="399"/>
        <v>-2,68561037621819+1,62326264643442i</v>
      </c>
      <c r="BD434">
        <f t="shared" si="400"/>
        <v>9.9332531525628269</v>
      </c>
      <c r="BE434" s="43">
        <f t="shared" si="401"/>
        <v>148.84998861398284</v>
      </c>
      <c r="BF434" s="41" t="str">
        <f t="shared" si="402"/>
        <v>0,161349767752598+0,047258314795955i</v>
      </c>
      <c r="BG434" s="20">
        <f t="shared" si="403"/>
        <v>-15.487188081327846</v>
      </c>
      <c r="BH434" s="43">
        <f t="shared" si="404"/>
        <v>16.324970202050302</v>
      </c>
      <c r="BI434" s="41" t="str">
        <f t="shared" ref="BI434:BI497" si="409">IMPRODUCT(AP434,BC434)</f>
        <v>0,104030202617632+0,290173542349321i</v>
      </c>
      <c r="BJ434" s="20">
        <f t="shared" si="405"/>
        <v>-10.221714099162192</v>
      </c>
      <c r="BK434" s="43">
        <f t="shared" ref="BK434:BK497" si="410">(180/PI())*IMARGUMENT(BI434)</f>
        <v>70.276720523065265</v>
      </c>
      <c r="BL434">
        <f t="shared" si="406"/>
        <v>-15.487188081327846</v>
      </c>
      <c r="BM434" s="43">
        <f t="shared" si="407"/>
        <v>16.324970202050302</v>
      </c>
    </row>
    <row r="435" spans="14:65" x14ac:dyDescent="0.25">
      <c r="N435" s="9">
        <v>17</v>
      </c>
      <c r="O435" s="34">
        <f t="shared" si="408"/>
        <v>147910.83881682079</v>
      </c>
      <c r="P435" s="33" t="str">
        <f t="shared" si="360"/>
        <v>66,7780509511648</v>
      </c>
      <c r="Q435" s="4" t="str">
        <f t="shared" si="361"/>
        <v>1+3622,06258741846i</v>
      </c>
      <c r="R435" s="4">
        <f t="shared" si="373"/>
        <v>3622.0627254613514</v>
      </c>
      <c r="S435" s="4">
        <f t="shared" si="374"/>
        <v>1.5705202410149144</v>
      </c>
      <c r="T435" s="4" t="str">
        <f t="shared" si="362"/>
        <v>1+0,929351209226456i</v>
      </c>
      <c r="U435" s="4">
        <f t="shared" si="375"/>
        <v>1.3651716632316524</v>
      </c>
      <c r="V435" s="4">
        <f t="shared" si="376"/>
        <v>0.74879661628008987</v>
      </c>
      <c r="W435" t="str">
        <f t="shared" si="363"/>
        <v>1-2,02168450655031i</v>
      </c>
      <c r="X435" s="4">
        <f t="shared" si="377"/>
        <v>2.255484037634842</v>
      </c>
      <c r="Y435" s="4">
        <f t="shared" si="378"/>
        <v>-1.1114482986637491</v>
      </c>
      <c r="Z435" t="str">
        <f t="shared" si="364"/>
        <v>0,978122383760505+0,397362783384209i</v>
      </c>
      <c r="AA435" s="4">
        <f t="shared" si="379"/>
        <v>1.0557559278697792</v>
      </c>
      <c r="AB435" s="4">
        <f t="shared" si="380"/>
        <v>0.38588316519115073</v>
      </c>
      <c r="AC435" s="47" t="str">
        <f t="shared" si="381"/>
        <v>-0,0365832588370663-0,0394067817878454i</v>
      </c>
      <c r="AD435" s="20">
        <f t="shared" si="382"/>
        <v>-25.389174668806032</v>
      </c>
      <c r="AE435" s="43">
        <f t="shared" si="383"/>
        <v>-132.87206903452841</v>
      </c>
      <c r="AF435" t="str">
        <f t="shared" si="365"/>
        <v>223,849857273222</v>
      </c>
      <c r="AG435" t="str">
        <f t="shared" si="366"/>
        <v>1+3668,59776385183i</v>
      </c>
      <c r="AH435">
        <f t="shared" si="384"/>
        <v>3668.5979001436845</v>
      </c>
      <c r="AI435">
        <f t="shared" si="385"/>
        <v>1.5705237430886407</v>
      </c>
      <c r="AJ435" t="str">
        <f t="shared" si="367"/>
        <v>1+0,929351209226456i</v>
      </c>
      <c r="AK435">
        <f t="shared" si="386"/>
        <v>1.3651716632316524</v>
      </c>
      <c r="AL435">
        <f t="shared" si="387"/>
        <v>0.74879661628008987</v>
      </c>
      <c r="AM435" t="str">
        <f t="shared" si="368"/>
        <v>1-0,610849473579065i</v>
      </c>
      <c r="AN435">
        <f t="shared" si="388"/>
        <v>1.1718093186913223</v>
      </c>
      <c r="AO435">
        <f t="shared" si="389"/>
        <v>-0.54835888463258109</v>
      </c>
      <c r="AP435" s="41" t="str">
        <f t="shared" si="390"/>
        <v>0,0194603564132512-0,0956519554709039i</v>
      </c>
      <c r="AQ435">
        <f t="shared" si="391"/>
        <v>-20.209981577591346</v>
      </c>
      <c r="AR435" s="43">
        <f t="shared" si="392"/>
        <v>-78.500146025489485</v>
      </c>
      <c r="AS435" t="str">
        <f t="shared" si="369"/>
        <v>-0,0000166666666666667</v>
      </c>
      <c r="AT435" t="str">
        <f t="shared" si="370"/>
        <v>0,000932139262854136i</v>
      </c>
      <c r="AU435">
        <f t="shared" si="393"/>
        <v>9.3213926285413604E-4</v>
      </c>
      <c r="AV435">
        <f t="shared" si="394"/>
        <v>1.5707963267948966</v>
      </c>
      <c r="AW435" t="str">
        <f t="shared" si="371"/>
        <v>1+0,611537186529871i</v>
      </c>
      <c r="AX435">
        <f t="shared" si="395"/>
        <v>1.1721679617311123</v>
      </c>
      <c r="AY435">
        <f t="shared" si="396"/>
        <v>0.54885956484388143</v>
      </c>
      <c r="AZ435" t="str">
        <f t="shared" si="372"/>
        <v>1+204,45726602982i</v>
      </c>
      <c r="BA435">
        <f t="shared" si="397"/>
        <v>204.45971151400119</v>
      </c>
      <c r="BB435">
        <f t="shared" si="398"/>
        <v>1.5659053681824693</v>
      </c>
      <c r="BC435" s="41" t="str">
        <f t="shared" si="399"/>
        <v>-2,65271058708969+1,64011118696557i</v>
      </c>
      <c r="BD435">
        <f t="shared" si="400"/>
        <v>9.8797169012617569</v>
      </c>
      <c r="BE435" s="43">
        <f t="shared" si="401"/>
        <v>148.27243210279349</v>
      </c>
      <c r="BF435" s="41" t="str">
        <f t="shared" si="402"/>
        <v>0,161676301679885+0,0445341751774212i</v>
      </c>
      <c r="BG435" s="20">
        <f t="shared" si="403"/>
        <v>-15.509457767544252</v>
      </c>
      <c r="BH435" s="43">
        <f t="shared" si="404"/>
        <v>15.400363068265035</v>
      </c>
      <c r="BI435" s="41" t="str">
        <f t="shared" si="409"/>
        <v>0,105257148736992+0,285654103209209i</v>
      </c>
      <c r="BJ435" s="20">
        <f t="shared" si="405"/>
        <v>-10.330264676329584</v>
      </c>
      <c r="BK435" s="43">
        <f t="shared" si="410"/>
        <v>69.772286077303974</v>
      </c>
      <c r="BL435">
        <f t="shared" si="406"/>
        <v>-15.509457767544252</v>
      </c>
      <c r="BM435" s="43">
        <f t="shared" si="407"/>
        <v>15.400363068265035</v>
      </c>
    </row>
    <row r="436" spans="14:65" x14ac:dyDescent="0.25">
      <c r="N436" s="9">
        <v>18</v>
      </c>
      <c r="O436" s="34">
        <f t="shared" si="408"/>
        <v>151356.12484362084</v>
      </c>
      <c r="P436" s="33" t="str">
        <f t="shared" si="360"/>
        <v>66,7780509511648</v>
      </c>
      <c r="Q436" s="4" t="str">
        <f t="shared" si="361"/>
        <v>1+3706,43126330761i</v>
      </c>
      <c r="R436" s="4">
        <f t="shared" si="373"/>
        <v>3706.4313982082617</v>
      </c>
      <c r="S436" s="4">
        <f t="shared" si="374"/>
        <v>1.5705265254942127</v>
      </c>
      <c r="T436" s="4" t="str">
        <f t="shared" si="362"/>
        <v>1+0,950998579769078i</v>
      </c>
      <c r="U436" s="4">
        <f t="shared" si="375"/>
        <v>1.379999383595081</v>
      </c>
      <c r="V436" s="4">
        <f t="shared" si="376"/>
        <v>0.76028737090733967</v>
      </c>
      <c r="W436" t="str">
        <f t="shared" si="363"/>
        <v>1-2,06877558815551i</v>
      </c>
      <c r="X436" s="4">
        <f t="shared" si="377"/>
        <v>2.2977885964875395</v>
      </c>
      <c r="Y436" s="4">
        <f t="shared" si="378"/>
        <v>-1.1205347606516434</v>
      </c>
      <c r="Z436" t="str">
        <f t="shared" si="364"/>
        <v>0,977091323472322+0,406618551630237i</v>
      </c>
      <c r="AA436" s="4">
        <f t="shared" si="379"/>
        <v>1.0583223048461019</v>
      </c>
      <c r="AB436" s="4">
        <f t="shared" si="380"/>
        <v>0.39435254471217734</v>
      </c>
      <c r="AC436" s="47" t="str">
        <f t="shared" si="381"/>
        <v>-0,036966894019058-0,0393383094172834i</v>
      </c>
      <c r="AD436" s="20">
        <f t="shared" si="382"/>
        <v>-25.355024282930646</v>
      </c>
      <c r="AE436" s="43">
        <f t="shared" si="383"/>
        <v>-133.21993298936857</v>
      </c>
      <c r="AF436" t="str">
        <f t="shared" si="365"/>
        <v>223,849857273222</v>
      </c>
      <c r="AG436" t="str">
        <f t="shared" si="366"/>
        <v>1+3754,05038324642i</v>
      </c>
      <c r="AH436">
        <f t="shared" si="384"/>
        <v>3754.0505164358924</v>
      </c>
      <c r="AI436">
        <f t="shared" si="385"/>
        <v>1.5705299478510204</v>
      </c>
      <c r="AJ436" t="str">
        <f t="shared" si="367"/>
        <v>1+0,950998579769078i</v>
      </c>
      <c r="AK436">
        <f t="shared" si="386"/>
        <v>1.379999383595081</v>
      </c>
      <c r="AL436">
        <f t="shared" si="387"/>
        <v>0.76028737090733967</v>
      </c>
      <c r="AM436" t="str">
        <f t="shared" si="368"/>
        <v>1-0,625077985651845i</v>
      </c>
      <c r="AN436">
        <f t="shared" si="388"/>
        <v>1.1792889756741425</v>
      </c>
      <c r="AO436">
        <f t="shared" si="389"/>
        <v>-0.55865539294786482</v>
      </c>
      <c r="AP436" s="41" t="str">
        <f t="shared" si="390"/>
        <v>0,0194596078941281-0,095069997230531i</v>
      </c>
      <c r="AQ436">
        <f t="shared" si="391"/>
        <v>-20.260883190706146</v>
      </c>
      <c r="AR436" s="43">
        <f t="shared" si="392"/>
        <v>-78.432076258812032</v>
      </c>
      <c r="AS436" t="str">
        <f t="shared" si="369"/>
        <v>-0,0000166666666666667</v>
      </c>
      <c r="AT436" t="str">
        <f t="shared" si="370"/>
        <v>0,000953851575508385i</v>
      </c>
      <c r="AU436">
        <f t="shared" si="393"/>
        <v>9.5385157550838501E-4</v>
      </c>
      <c r="AV436">
        <f t="shared" si="394"/>
        <v>1.5707963267948966</v>
      </c>
      <c r="AW436" t="str">
        <f t="shared" si="371"/>
        <v>1+0,625781717495106i</v>
      </c>
      <c r="AX436">
        <f t="shared" si="395"/>
        <v>1.1796621372033285</v>
      </c>
      <c r="AY436">
        <f t="shared" si="396"/>
        <v>0.55916125178624587</v>
      </c>
      <c r="AZ436" t="str">
        <f t="shared" si="372"/>
        <v>1+209,219687549197i</v>
      </c>
      <c r="BA436">
        <f t="shared" si="397"/>
        <v>209.22207736800536</v>
      </c>
      <c r="BB436">
        <f t="shared" si="398"/>
        <v>1.5660166982773669</v>
      </c>
      <c r="BC436" s="41" t="str">
        <f t="shared" si="399"/>
        <v>-2,61911328597292+1,6564662293733i</v>
      </c>
      <c r="BD436">
        <f t="shared" si="400"/>
        <v>9.824356354819038</v>
      </c>
      <c r="BE436" s="43">
        <f t="shared" si="401"/>
        <v>147.68856766370138</v>
      </c>
      <c r="BF436" s="41" t="str">
        <f t="shared" si="402"/>
        <v>0,161983064336835+0,0417970772951292i</v>
      </c>
      <c r="BG436" s="20">
        <f t="shared" si="403"/>
        <v>-15.530667928111626</v>
      </c>
      <c r="BH436" s="43">
        <f t="shared" si="404"/>
        <v>14.468634674332803</v>
      </c>
      <c r="BI436" s="41" t="str">
        <f t="shared" si="409"/>
        <v>0,106513322263653+0,281233276157362i</v>
      </c>
      <c r="BJ436" s="20">
        <f t="shared" si="405"/>
        <v>-10.436526835887104</v>
      </c>
      <c r="BK436" s="43">
        <f t="shared" si="410"/>
        <v>69.256491404889402</v>
      </c>
      <c r="BL436">
        <f t="shared" si="406"/>
        <v>-15.530667928111626</v>
      </c>
      <c r="BM436" s="43">
        <f t="shared" si="407"/>
        <v>14.468634674332803</v>
      </c>
    </row>
    <row r="437" spans="14:65" x14ac:dyDescent="0.25">
      <c r="N437" s="9">
        <v>19</v>
      </c>
      <c r="O437" s="34">
        <f t="shared" si="408"/>
        <v>154881.66189124843</v>
      </c>
      <c r="P437" s="33" t="str">
        <f t="shared" si="360"/>
        <v>66,7780509511648</v>
      </c>
      <c r="Q437" s="4" t="str">
        <f t="shared" si="361"/>
        <v>1+3792,76513811299i</v>
      </c>
      <c r="R437" s="4">
        <f t="shared" si="373"/>
        <v>3792.7652699429273</v>
      </c>
      <c r="S437" s="4">
        <f t="shared" si="374"/>
        <v>1.5705326669213182</v>
      </c>
      <c r="T437" s="4" t="str">
        <f t="shared" si="362"/>
        <v>1+0,973150182346649i</v>
      </c>
      <c r="U437" s="4">
        <f t="shared" si="375"/>
        <v>1.3953570429826612</v>
      </c>
      <c r="V437" s="4">
        <f t="shared" si="376"/>
        <v>0.7717914137192905</v>
      </c>
      <c r="W437" t="str">
        <f t="shared" si="363"/>
        <v>1-2,11696356196103i</v>
      </c>
      <c r="X437" s="4">
        <f t="shared" si="377"/>
        <v>2.3412677597128293</v>
      </c>
      <c r="Y437" s="4">
        <f t="shared" si="378"/>
        <v>-1.12949218850191</v>
      </c>
      <c r="Z437" t="str">
        <f t="shared" si="364"/>
        <v>0,976011670809805+0,416089914414572i</v>
      </c>
      <c r="AA437" s="4">
        <f t="shared" si="379"/>
        <v>1.0610040520348982</v>
      </c>
      <c r="AB437" s="4">
        <f t="shared" si="380"/>
        <v>0.40298523643044476</v>
      </c>
      <c r="AC437" s="47" t="str">
        <f t="shared" si="381"/>
        <v>-0,0373645515385381-0,0392791893339401i</v>
      </c>
      <c r="AD437" s="20">
        <f t="shared" si="382"/>
        <v>-25.318056706502144</v>
      </c>
      <c r="AE437" s="43">
        <f t="shared" si="383"/>
        <v>-133.56899137916682</v>
      </c>
      <c r="AF437" t="str">
        <f t="shared" si="365"/>
        <v>223,849857273222</v>
      </c>
      <c r="AG437" t="str">
        <f t="shared" si="366"/>
        <v>1+3841,49344984495i</v>
      </c>
      <c r="AH437">
        <f t="shared" si="384"/>
        <v>3841.4935800026601</v>
      </c>
      <c r="AI437">
        <f t="shared" si="385"/>
        <v>1.5705360113757847</v>
      </c>
      <c r="AJ437" t="str">
        <f t="shared" si="367"/>
        <v>1+0,973150182346649i</v>
      </c>
      <c r="AK437">
        <f t="shared" si="386"/>
        <v>1.3953570429826612</v>
      </c>
      <c r="AL437">
        <f t="shared" si="387"/>
        <v>0.7717914137192905</v>
      </c>
      <c r="AM437" t="str">
        <f t="shared" si="368"/>
        <v>1-0,639637922346504i</v>
      </c>
      <c r="AN437">
        <f t="shared" si="388"/>
        <v>1.1870706262492356</v>
      </c>
      <c r="AO437">
        <f t="shared" si="389"/>
        <v>-0.56905628334052583</v>
      </c>
      <c r="AP437" s="41" t="str">
        <f t="shared" si="390"/>
        <v>0,0194588930639105-0,0945384463431368i</v>
      </c>
      <c r="AQ437">
        <f t="shared" si="391"/>
        <v>-20.307627649897633</v>
      </c>
      <c r="AR437" s="43">
        <f t="shared" si="392"/>
        <v>-78.369217695404984</v>
      </c>
      <c r="AS437" t="str">
        <f t="shared" si="369"/>
        <v>-0,0000166666666666667</v>
      </c>
      <c r="AT437" t="str">
        <f t="shared" si="370"/>
        <v>0,000976069632893689i</v>
      </c>
      <c r="AU437">
        <f t="shared" si="393"/>
        <v>9.7606963289368904E-4</v>
      </c>
      <c r="AV437">
        <f t="shared" si="394"/>
        <v>1.5707963267948966</v>
      </c>
      <c r="AW437" t="str">
        <f t="shared" si="371"/>
        <v>1+0,640358046210158i</v>
      </c>
      <c r="AX437">
        <f t="shared" si="395"/>
        <v>1.1874588107998065</v>
      </c>
      <c r="AY437">
        <f t="shared" si="396"/>
        <v>0.5695671553505629</v>
      </c>
      <c r="AZ437" t="str">
        <f t="shared" si="372"/>
        <v>1+214,093040116263i</v>
      </c>
      <c r="BA437">
        <f t="shared" si="397"/>
        <v>214.0953755367542</v>
      </c>
      <c r="BB437">
        <f t="shared" si="398"/>
        <v>1.566125494304401</v>
      </c>
      <c r="BC437" s="41" t="str">
        <f t="shared" si="399"/>
        <v>-2,58483279945092+1,67229376572935i</v>
      </c>
      <c r="BD437">
        <f t="shared" si="400"/>
        <v>9.7671336122758934</v>
      </c>
      <c r="BE437" s="43">
        <f t="shared" si="401"/>
        <v>147.09858686062273</v>
      </c>
      <c r="BF437" s="41" t="str">
        <f t="shared" si="402"/>
        <v>0,162267461799638+0,0390456303290408i</v>
      </c>
      <c r="BG437" s="20">
        <f t="shared" si="403"/>
        <v>-15.550923094226272</v>
      </c>
      <c r="BH437" s="43">
        <f t="shared" si="404"/>
        <v>13.529595481455916</v>
      </c>
      <c r="BI437" s="41" t="str">
        <f t="shared" si="409"/>
        <v>0,107798069408762+0,276907062475643i</v>
      </c>
      <c r="BJ437" s="20">
        <f t="shared" si="405"/>
        <v>-10.540494037621729</v>
      </c>
      <c r="BK437" s="43">
        <f t="shared" si="410"/>
        <v>68.729369165217861</v>
      </c>
      <c r="BL437">
        <f t="shared" si="406"/>
        <v>-15.550923094226272</v>
      </c>
      <c r="BM437" s="43">
        <f t="shared" si="407"/>
        <v>13.529595481455916</v>
      </c>
    </row>
    <row r="438" spans="14:65" x14ac:dyDescent="0.25">
      <c r="N438" s="9">
        <v>20</v>
      </c>
      <c r="O438" s="34">
        <f t="shared" si="408"/>
        <v>158489.31924611164</v>
      </c>
      <c r="P438" s="33" t="str">
        <f t="shared" si="360"/>
        <v>66,7780509511648</v>
      </c>
      <c r="Q438" s="4" t="str">
        <f t="shared" si="361"/>
        <v>1+3881,10998719776i</v>
      </c>
      <c r="R438" s="4">
        <f t="shared" si="373"/>
        <v>3881.1101160268818</v>
      </c>
      <c r="S438" s="4">
        <f t="shared" si="374"/>
        <v>1.5705386685524945</v>
      </c>
      <c r="T438" s="4" t="str">
        <f t="shared" si="362"/>
        <v>1+0,995817762032063i</v>
      </c>
      <c r="U438" s="4">
        <f t="shared" si="375"/>
        <v>1.4112593720427675</v>
      </c>
      <c r="V438" s="4">
        <f t="shared" si="376"/>
        <v>0.78330266553890648</v>
      </c>
      <c r="W438" t="str">
        <f t="shared" si="363"/>
        <v>1-2,16627397786842i</v>
      </c>
      <c r="X438" s="4">
        <f t="shared" si="377"/>
        <v>2.3859469707413594</v>
      </c>
      <c r="Y438" s="4">
        <f t="shared" si="378"/>
        <v>-1.1383195809353073</v>
      </c>
      <c r="Z438" t="str">
        <f t="shared" si="364"/>
        <v>0,974881135684904+0,42578189357913i</v>
      </c>
      <c r="AA438" s="4">
        <f t="shared" si="379"/>
        <v>1.0638061146722733</v>
      </c>
      <c r="AB438" s="4">
        <f t="shared" si="380"/>
        <v>0.4117829632659834</v>
      </c>
      <c r="AC438" s="47" t="str">
        <f t="shared" si="381"/>
        <v>-0,0377765678440779-0,0392287477946779i</v>
      </c>
      <c r="AD438" s="20">
        <f t="shared" si="382"/>
        <v>-25.278341639128467</v>
      </c>
      <c r="AE438" s="43">
        <f t="shared" si="383"/>
        <v>-133.91963404865191</v>
      </c>
      <c r="AF438" t="str">
        <f t="shared" si="365"/>
        <v>223,849857273222</v>
      </c>
      <c r="AG438" t="str">
        <f t="shared" si="366"/>
        <v>1+3930,97332711875i</v>
      </c>
      <c r="AH438">
        <f t="shared" si="384"/>
        <v>3930.9734543137097</v>
      </c>
      <c r="AI438">
        <f t="shared" si="385"/>
        <v>1.5705419368778932</v>
      </c>
      <c r="AJ438" t="str">
        <f t="shared" si="367"/>
        <v>1+0,995817762032063i</v>
      </c>
      <c r="AK438">
        <f t="shared" si="386"/>
        <v>1.4112593720427675</v>
      </c>
      <c r="AL438">
        <f t="shared" si="387"/>
        <v>0.78330266553890648</v>
      </c>
      <c r="AM438" t="str">
        <f t="shared" si="368"/>
        <v>1-0,654537003534198i</v>
      </c>
      <c r="AN438">
        <f t="shared" si="388"/>
        <v>1.1951647120775974</v>
      </c>
      <c r="AO438">
        <f t="shared" si="389"/>
        <v>-0.57955806897579276</v>
      </c>
      <c r="AP438" s="41" t="str">
        <f t="shared" si="390"/>
        <v>0,019458210406348-0,0940570209746039i</v>
      </c>
      <c r="AQ438">
        <f t="shared" si="391"/>
        <v>-20.350173766527231</v>
      </c>
      <c r="AR438" s="43">
        <f t="shared" si="392"/>
        <v>-78.311719049742976</v>
      </c>
      <c r="AS438" t="str">
        <f t="shared" si="369"/>
        <v>-0,0000166666666666667</v>
      </c>
      <c r="AT438" t="str">
        <f t="shared" si="370"/>
        <v>0,00099880521531816i</v>
      </c>
      <c r="AU438">
        <f t="shared" si="393"/>
        <v>9.9880521531815997E-4</v>
      </c>
      <c r="AV438">
        <f t="shared" si="394"/>
        <v>1.5707963267948966</v>
      </c>
      <c r="AW438" t="str">
        <f t="shared" si="371"/>
        <v>1+0,655273901237449i</v>
      </c>
      <c r="AX438">
        <f t="shared" si="395"/>
        <v>1.1955684362021883</v>
      </c>
      <c r="AY438">
        <f t="shared" si="396"/>
        <v>0.58007377834248097</v>
      </c>
      <c r="AZ438" t="str">
        <f t="shared" si="372"/>
        <v>1+219,079907647054i</v>
      </c>
      <c r="BA438">
        <f t="shared" si="397"/>
        <v>219.08218990744481</v>
      </c>
      <c r="BB438">
        <f t="shared" si="398"/>
        <v>1.5662318139383571</v>
      </c>
      <c r="BC438" s="41" t="str">
        <f t="shared" si="399"/>
        <v>-2,54988551973699+1,68756003579194i</v>
      </c>
      <c r="BD438">
        <f t="shared" si="400"/>
        <v>9.7080116158286103</v>
      </c>
      <c r="BE438" s="43">
        <f t="shared" si="401"/>
        <v>146.50269337255563</v>
      </c>
      <c r="BF438" s="41" t="str">
        <f t="shared" si="402"/>
        <v>0,162526790363436+0,0362785897760148i</v>
      </c>
      <c r="BG438" s="20">
        <f t="shared" si="403"/>
        <v>-15.570330023299853</v>
      </c>
      <c r="BH438" s="43">
        <f t="shared" si="404"/>
        <v>12.583059323903704</v>
      </c>
      <c r="BI438" s="41" t="str">
        <f t="shared" si="409"/>
        <v>0,109110660727243+0,272671534062525i</v>
      </c>
      <c r="BJ438" s="20">
        <f t="shared" si="405"/>
        <v>-10.642162150698615</v>
      </c>
      <c r="BK438" s="43">
        <f t="shared" si="410"/>
        <v>68.190974322812764</v>
      </c>
      <c r="BL438">
        <f t="shared" si="406"/>
        <v>-15.570330023299853</v>
      </c>
      <c r="BM438" s="43">
        <f t="shared" si="407"/>
        <v>12.583059323903704</v>
      </c>
    </row>
    <row r="439" spans="14:65" x14ac:dyDescent="0.25">
      <c r="N439" s="9">
        <v>21</v>
      </c>
      <c r="O439" s="34">
        <f t="shared" si="408"/>
        <v>162181.00973589328</v>
      </c>
      <c r="P439" s="33" t="str">
        <f t="shared" si="360"/>
        <v>66,7780509511648</v>
      </c>
      <c r="Q439" s="4" t="str">
        <f t="shared" si="361"/>
        <v>1+3971,5126521703i</v>
      </c>
      <c r="R439" s="4">
        <f t="shared" si="373"/>
        <v>3971.5127780669131</v>
      </c>
      <c r="S439" s="4">
        <f t="shared" si="374"/>
        <v>1.5705445335698844</v>
      </c>
      <c r="T439" s="4" t="str">
        <f t="shared" si="362"/>
        <v>1+1,01901333747611i</v>
      </c>
      <c r="U439" s="4">
        <f t="shared" si="375"/>
        <v>1.4277213250330751</v>
      </c>
      <c r="V439" s="4">
        <f t="shared" si="376"/>
        <v>0.79481502811175009</v>
      </c>
      <c r="W439" t="str">
        <f t="shared" si="363"/>
        <v>1-2,2167329809129i</v>
      </c>
      <c r="X439" s="4">
        <f t="shared" si="377"/>
        <v>2.4318521971260902</v>
      </c>
      <c r="Y439" s="4">
        <f t="shared" si="378"/>
        <v>-1.1470161144906728</v>
      </c>
      <c r="Z439" t="str">
        <f t="shared" si="364"/>
        <v>0,973697320081046+0,435699627939552i</v>
      </c>
      <c r="AA439" s="4">
        <f t="shared" si="379"/>
        <v>1.0667336297875281</v>
      </c>
      <c r="AB439" s="4">
        <f t="shared" si="380"/>
        <v>0.4207473761420974</v>
      </c>
      <c r="AC439" s="47" t="str">
        <f t="shared" si="381"/>
        <v>-0,0382032718611309-0,0391862877593799i</v>
      </c>
      <c r="AD439" s="20">
        <f t="shared" si="382"/>
        <v>-25.235951792474594</v>
      </c>
      <c r="AE439" s="43">
        <f t="shared" si="383"/>
        <v>-134.27225799447706</v>
      </c>
      <c r="AF439" t="str">
        <f t="shared" si="365"/>
        <v>223,849857273222</v>
      </c>
      <c r="AG439" t="str">
        <f t="shared" si="366"/>
        <v>1+4022,53745848316i</v>
      </c>
      <c r="AH439">
        <f t="shared" si="384"/>
        <v>4022.5375827828084</v>
      </c>
      <c r="AI439">
        <f t="shared" si="385"/>
        <v>1.5705477274991235</v>
      </c>
      <c r="AJ439" t="str">
        <f t="shared" si="367"/>
        <v>1+1,01901333747611i</v>
      </c>
      <c r="AK439">
        <f t="shared" si="386"/>
        <v>1.4277213250330751</v>
      </c>
      <c r="AL439">
        <f t="shared" si="387"/>
        <v>0.79481502811175009</v>
      </c>
      <c r="AM439" t="str">
        <f t="shared" si="368"/>
        <v>1-0,669783128904986i</v>
      </c>
      <c r="AN439">
        <f t="shared" si="388"/>
        <v>1.2035819206708587</v>
      </c>
      <c r="AO439">
        <f t="shared" si="389"/>
        <v>-0.59015705210163794</v>
      </c>
      <c r="AP439" s="41" t="str">
        <f t="shared" si="390"/>
        <v>0,0194575584734332-0,0936254658679473i</v>
      </c>
      <c r="AQ439">
        <f t="shared" si="391"/>
        <v>-20.388483735661605</v>
      </c>
      <c r="AR439" s="43">
        <f t="shared" si="392"/>
        <v>-78.259718040493226</v>
      </c>
      <c r="AS439" t="str">
        <f t="shared" si="369"/>
        <v>-0,0000166666666666667</v>
      </c>
      <c r="AT439" t="str">
        <f t="shared" si="370"/>
        <v>0,00102207037748854i</v>
      </c>
      <c r="AU439">
        <f t="shared" si="393"/>
        <v>1.0220703774885399E-3</v>
      </c>
      <c r="AV439">
        <f t="shared" si="394"/>
        <v>1.5707963267948966</v>
      </c>
      <c r="AW439" t="str">
        <f t="shared" si="371"/>
        <v>1+0,67053719116075i</v>
      </c>
      <c r="AX439">
        <f t="shared" si="395"/>
        <v>1.2040017129264178</v>
      </c>
      <c r="AY439">
        <f t="shared" si="396"/>
        <v>0.59067741276932417</v>
      </c>
      <c r="AZ439" t="str">
        <f t="shared" si="372"/>
        <v>1+224,182934244744i</v>
      </c>
      <c r="BA439">
        <f t="shared" si="397"/>
        <v>224.18516455506864</v>
      </c>
      <c r="BB439">
        <f t="shared" si="398"/>
        <v>1.5663357135416922</v>
      </c>
      <c r="BC439" s="41" t="str">
        <f t="shared" si="399"/>
        <v>-2,51428992324857+1,70223167299392i</v>
      </c>
      <c r="BD439">
        <f t="shared" si="400"/>
        <v>9.6469542647182003</v>
      </c>
      <c r="BE439" s="43">
        <f t="shared" si="401"/>
        <v>145.90110288116222</v>
      </c>
      <c r="BF439" s="41" t="str">
        <f t="shared" si="402"/>
        <v>0,162758241646637+0,0334948690689133i</v>
      </c>
      <c r="BG439" s="20">
        <f t="shared" si="403"/>
        <v>-15.588997527756415</v>
      </c>
      <c r="BH439" s="43">
        <f t="shared" si="404"/>
        <v>11.628844886685187</v>
      </c>
      <c r="BI439" s="41" t="str">
        <f t="shared" si="409"/>
        <v>0,110450290198458+0,268522837703842i</v>
      </c>
      <c r="BJ439" s="20">
        <f t="shared" si="405"/>
        <v>-10.741529470943407</v>
      </c>
      <c r="BK439" s="43">
        <f t="shared" si="410"/>
        <v>67.641384840669019</v>
      </c>
      <c r="BL439">
        <f t="shared" si="406"/>
        <v>-15.588997527756415</v>
      </c>
      <c r="BM439" s="43">
        <f t="shared" si="407"/>
        <v>11.628844886685187</v>
      </c>
    </row>
    <row r="440" spans="14:65" x14ac:dyDescent="0.25">
      <c r="N440" s="9">
        <v>22</v>
      </c>
      <c r="O440" s="34">
        <f t="shared" si="408"/>
        <v>165958.69074375604</v>
      </c>
      <c r="P440" s="33" t="str">
        <f t="shared" si="360"/>
        <v>66,7780509511648</v>
      </c>
      <c r="Q440" s="4" t="str">
        <f t="shared" si="361"/>
        <v>1+4064,02106572024i</v>
      </c>
      <c r="R440" s="4">
        <f t="shared" si="373"/>
        <v>4064.0211887510964</v>
      </c>
      <c r="S440" s="4">
        <f t="shared" si="374"/>
        <v>1.5705502650831962</v>
      </c>
      <c r="T440" s="4" t="str">
        <f t="shared" si="362"/>
        <v>1+1,04274920727993i</v>
      </c>
      <c r="U440" s="4">
        <f t="shared" si="375"/>
        <v>1.4447580798469073</v>
      </c>
      <c r="V440" s="4">
        <f t="shared" si="376"/>
        <v>0.80632240024142177</v>
      </c>
      <c r="W440" t="str">
        <f t="shared" si="363"/>
        <v>1-2,26836732512581i</v>
      </c>
      <c r="X440" s="4">
        <f t="shared" si="377"/>
        <v>2.4790099478821017</v>
      </c>
      <c r="Y440" s="4">
        <f t="shared" si="378"/>
        <v>-1.1555811374235514</v>
      </c>
      <c r="Z440" t="str">
        <f t="shared" si="364"/>
        <v>0,972457712966618+0,445848376009877i</v>
      </c>
      <c r="AA440" s="4">
        <f t="shared" si="379"/>
        <v>1.0697919320591784</v>
      </c>
      <c r="AB440" s="4">
        <f t="shared" si="380"/>
        <v>0.4298800478969943</v>
      </c>
      <c r="AC440" s="47" t="str">
        <f t="shared" si="381"/>
        <v>-0,0386449833323023-0,0391510881494973i</v>
      </c>
      <c r="AD440" s="20">
        <f t="shared" si="382"/>
        <v>-25.190962824742705</v>
      </c>
      <c r="AE440" s="43">
        <f t="shared" si="383"/>
        <v>-134.62726574240409</v>
      </c>
      <c r="AF440" t="str">
        <f t="shared" si="365"/>
        <v>223,849857273222</v>
      </c>
      <c r="AG440" t="str">
        <f t="shared" si="366"/>
        <v>1+4116,23439245267i</v>
      </c>
      <c r="AH440">
        <f t="shared" si="384"/>
        <v>4116.2345139229137</v>
      </c>
      <c r="AI440">
        <f t="shared" si="385"/>
        <v>1.5705533863097385</v>
      </c>
      <c r="AJ440" t="str">
        <f t="shared" si="367"/>
        <v>1+1,04274920727993i</v>
      </c>
      <c r="AK440">
        <f t="shared" si="386"/>
        <v>1.4447580798469073</v>
      </c>
      <c r="AL440">
        <f t="shared" si="387"/>
        <v>0.80632240024142177</v>
      </c>
      <c r="AM440" t="str">
        <f t="shared" si="368"/>
        <v>1-0,685384382156351i</v>
      </c>
      <c r="AN440">
        <f t="shared" si="388"/>
        <v>1.2123331849387953</v>
      </c>
      <c r="AO440">
        <f t="shared" si="389"/>
        <v>-0.60084932693260507</v>
      </c>
      <c r="AP440" s="41" t="str">
        <f t="shared" si="390"/>
        <v>0,0194569358823295-0,0932435522079805i</v>
      </c>
      <c r="AQ440">
        <f t="shared" si="391"/>
        <v>-20.422523257707006</v>
      </c>
      <c r="AR440" s="43">
        <f t="shared" si="392"/>
        <v>-78.213340631350221</v>
      </c>
      <c r="AS440" t="str">
        <f t="shared" si="369"/>
        <v>-0,0000166666666666667</v>
      </c>
      <c r="AT440" t="str">
        <f t="shared" si="370"/>
        <v>0,00104587745490177i</v>
      </c>
      <c r="AU440">
        <f t="shared" si="393"/>
        <v>1.0458774549017701E-3</v>
      </c>
      <c r="AV440">
        <f t="shared" si="394"/>
        <v>1.5707963267948966</v>
      </c>
      <c r="AW440" t="str">
        <f t="shared" si="371"/>
        <v>1+0,686156008778418i</v>
      </c>
      <c r="AX440">
        <f t="shared" si="395"/>
        <v>1.2127695858582241</v>
      </c>
      <c r="AY440">
        <f t="shared" si="396"/>
        <v>0.60137414277037948</v>
      </c>
      <c r="AZ440" t="str">
        <f t="shared" si="372"/>
        <v>1+229,404825601584i</v>
      </c>
      <c r="BA440">
        <f t="shared" si="397"/>
        <v>229.4070051443355</v>
      </c>
      <c r="BB440">
        <f t="shared" si="398"/>
        <v>1.5664372481943736</v>
      </c>
      <c r="BC440" s="41" t="str">
        <f t="shared" si="399"/>
        <v>-2,47806657738891+1,71627585491882i</v>
      </c>
      <c r="BD440">
        <f t="shared" si="400"/>
        <v>9.5839265298196779</v>
      </c>
      <c r="BE440" s="43">
        <f t="shared" si="401"/>
        <v>145.2940429045837</v>
      </c>
      <c r="BF440" s="41" t="str">
        <f t="shared" si="402"/>
        <v>0,16295890886431+0,0306935512047056i</v>
      </c>
      <c r="BG440" s="20">
        <f t="shared" si="403"/>
        <v>-15.607036294923047</v>
      </c>
      <c r="BH440" s="43">
        <f t="shared" si="404"/>
        <v>10.666777162179619</v>
      </c>
      <c r="BI440" s="41" t="str">
        <f t="shared" si="409"/>
        <v>0,11181607477302+0,26445719954916i</v>
      </c>
      <c r="BJ440" s="20">
        <f t="shared" si="405"/>
        <v>-10.838596727887328</v>
      </c>
      <c r="BK440" s="43">
        <f t="shared" si="410"/>
        <v>67.080702273233427</v>
      </c>
      <c r="BL440">
        <f t="shared" si="406"/>
        <v>-15.607036294923047</v>
      </c>
      <c r="BM440" s="43">
        <f t="shared" si="407"/>
        <v>10.666777162179619</v>
      </c>
    </row>
    <row r="441" spans="14:65" x14ac:dyDescent="0.25">
      <c r="N441" s="9">
        <v>23</v>
      </c>
      <c r="O441" s="34">
        <f t="shared" si="408"/>
        <v>169824.36524617471</v>
      </c>
      <c r="P441" s="33" t="str">
        <f t="shared" si="360"/>
        <v>66,7780509511648</v>
      </c>
      <c r="Q441" s="4" t="str">
        <f t="shared" si="361"/>
        <v>1+4158,68427703286i</v>
      </c>
      <c r="R441" s="4">
        <f t="shared" si="373"/>
        <v>4158.6843972631932</v>
      </c>
      <c r="S441" s="4">
        <f t="shared" si="374"/>
        <v>1.5705558661313523</v>
      </c>
      <c r="T441" s="4" t="str">
        <f t="shared" si="362"/>
        <v>1+1,06703795651586i</v>
      </c>
      <c r="U441" s="4">
        <f t="shared" si="375"/>
        <v>1.4623850384373953</v>
      </c>
      <c r="V441" s="4">
        <f t="shared" si="376"/>
        <v>0.81781869394397333</v>
      </c>
      <c r="W441" t="str">
        <f t="shared" si="363"/>
        <v>1-2,32120438771987i</v>
      </c>
      <c r="X441" s="4">
        <f t="shared" si="377"/>
        <v>2.5274472911556387</v>
      </c>
      <c r="Y441" s="4">
        <f t="shared" si="378"/>
        <v>-1.1640141633648993</v>
      </c>
      <c r="Z441" t="str">
        <f t="shared" si="364"/>
        <v>0,971159684968734+0,45623351879066i</v>
      </c>
      <c r="AA441" s="4">
        <f t="shared" si="379"/>
        <v>1.072986559737203</v>
      </c>
      <c r="AB441" s="4">
        <f t="shared" si="380"/>
        <v>0.4391824670528674</v>
      </c>
      <c r="AC441" s="47" t="str">
        <f t="shared" si="381"/>
        <v>-0,0391020110523769-0,0391224031866469i</v>
      </c>
      <c r="AD441" s="20">
        <f t="shared" si="382"/>
        <v>-25.143453266674413</v>
      </c>
      <c r="AE441" s="43">
        <f t="shared" si="383"/>
        <v>-134.98506370148201</v>
      </c>
      <c r="AF441" t="str">
        <f t="shared" si="365"/>
        <v>223,849857273222</v>
      </c>
      <c r="AG441" t="str">
        <f t="shared" si="366"/>
        <v>1+4212,11380838183i</v>
      </c>
      <c r="AH441">
        <f t="shared" si="384"/>
        <v>4212.1139270870726</v>
      </c>
      <c r="AI441">
        <f t="shared" si="385"/>
        <v>1.570558916310113</v>
      </c>
      <c r="AJ441" t="str">
        <f t="shared" si="367"/>
        <v>1+1,06703795651586i</v>
      </c>
      <c r="AK441">
        <f t="shared" si="386"/>
        <v>1.4623850384373953</v>
      </c>
      <c r="AL441">
        <f t="shared" si="387"/>
        <v>0.81781869394397333</v>
      </c>
      <c r="AM441" t="str">
        <f t="shared" si="368"/>
        <v>1-0,701349035279266i</v>
      </c>
      <c r="AN441">
        <f t="shared" si="388"/>
        <v>1.2214296824979967</v>
      </c>
      <c r="AO441">
        <f t="shared" si="389"/>
        <v>-0.61163078349530819</v>
      </c>
      <c r="AP441" s="41" t="str">
        <f t="shared" si="390"/>
        <v>0,019456341312438-0,0929110775000005i</v>
      </c>
      <c r="AQ441">
        <f t="shared" si="391"/>
        <v>-20.452261649778293</v>
      </c>
      <c r="AR441" s="43">
        <f t="shared" si="392"/>
        <v>-78.172700325879902</v>
      </c>
      <c r="AS441" t="str">
        <f t="shared" si="369"/>
        <v>-0,0000166666666666667</v>
      </c>
      <c r="AT441" t="str">
        <f t="shared" si="370"/>
        <v>0,00107023907038541i</v>
      </c>
      <c r="AU441">
        <f t="shared" si="393"/>
        <v>1.0702390703854099E-3</v>
      </c>
      <c r="AV441">
        <f t="shared" si="394"/>
        <v>1.5707963267948966</v>
      </c>
      <c r="AW441" t="str">
        <f t="shared" si="371"/>
        <v>1+0,702138635394285i</v>
      </c>
      <c r="AX441">
        <f t="shared" si="395"/>
        <v>1.2218832445505377</v>
      </c>
      <c r="AY441">
        <f t="shared" si="396"/>
        <v>0.61215984850991834</v>
      </c>
      <c r="AZ441" t="str">
        <f t="shared" si="372"/>
        <v>1+234,748350433489i</v>
      </c>
      <c r="BA441">
        <f t="shared" si="397"/>
        <v>234.75048036424585</v>
      </c>
      <c r="BB441">
        <f t="shared" si="398"/>
        <v>1.5665364717230392</v>
      </c>
      <c r="BC441" s="41" t="str">
        <f t="shared" si="399"/>
        <v>-2,44123813484044+1,72966045721209i</v>
      </c>
      <c r="BD441">
        <f t="shared" si="400"/>
        <v>9.5188945682650399</v>
      </c>
      <c r="BE441" s="43">
        <f t="shared" si="401"/>
        <v>144.68175257605893</v>
      </c>
      <c r="BF441" s="41" t="str">
        <f t="shared" si="402"/>
        <v>0,163125794313066+0,0278739002710791i</v>
      </c>
      <c r="BG441" s="20">
        <f t="shared" si="403"/>
        <v>-15.624558698409384</v>
      </c>
      <c r="BH441" s="43">
        <f t="shared" si="404"/>
        <v>9.696688874576914</v>
      </c>
      <c r="BI441" s="41" t="str">
        <f t="shared" si="409"/>
        <v>0,113207054412324+0,260470929752263i</v>
      </c>
      <c r="BJ441" s="20">
        <f t="shared" si="405"/>
        <v>-10.933367081513239</v>
      </c>
      <c r="BK441" s="43">
        <f t="shared" si="410"/>
        <v>66.509052250178996</v>
      </c>
      <c r="BL441">
        <f t="shared" si="406"/>
        <v>-15.624558698409384</v>
      </c>
      <c r="BM441" s="43">
        <f t="shared" si="407"/>
        <v>9.696688874576914</v>
      </c>
    </row>
    <row r="442" spans="14:65" x14ac:dyDescent="0.25">
      <c r="N442" s="9">
        <v>24</v>
      </c>
      <c r="O442" s="34">
        <f t="shared" si="408"/>
        <v>173780.0828749378</v>
      </c>
      <c r="P442" s="33" t="str">
        <f t="shared" si="360"/>
        <v>66,7780509511648</v>
      </c>
      <c r="Q442" s="4" t="str">
        <f t="shared" si="361"/>
        <v>1+4255,5524777959i</v>
      </c>
      <c r="R442" s="4">
        <f t="shared" si="373"/>
        <v>4255.5525952894559</v>
      </c>
      <c r="S442" s="4">
        <f t="shared" si="374"/>
        <v>1.5705613396841016</v>
      </c>
      <c r="T442" s="4" t="str">
        <f t="shared" si="362"/>
        <v>1+1,09189246340026i</v>
      </c>
      <c r="U442" s="4">
        <f t="shared" si="375"/>
        <v>1.4806178276754229</v>
      </c>
      <c r="V442" s="4">
        <f t="shared" si="376"/>
        <v>0.82929785051711802</v>
      </c>
      <c r="W442" t="str">
        <f t="shared" si="363"/>
        <v>1-2,37527218360509i</v>
      </c>
      <c r="X442" s="4">
        <f t="shared" si="377"/>
        <v>2.5771918722144251</v>
      </c>
      <c r="Y442" s="4">
        <f t="shared" si="378"/>
        <v>-1.1723148647876382</v>
      </c>
      <c r="Z442" t="str">
        <f t="shared" si="364"/>
        <v>0,96980048279598+0,466860562622074i</v>
      </c>
      <c r="AA442" s="4">
        <f t="shared" si="379"/>
        <v>1.0763232606253175</v>
      </c>
      <c r="AB442" s="4">
        <f t="shared" si="380"/>
        <v>0.44865603146072913</v>
      </c>
      <c r="AC442" s="47" t="str">
        <f t="shared" si="381"/>
        <v>-0,0395746509990264-0,0390994618224542i</v>
      </c>
      <c r="AD442" s="20">
        <f t="shared" si="382"/>
        <v>-25.093504438866216</v>
      </c>
      <c r="AE442" s="43">
        <f t="shared" si="383"/>
        <v>-135.34606050497953</v>
      </c>
      <c r="AF442" t="str">
        <f t="shared" si="365"/>
        <v>223,849857273222</v>
      </c>
      <c r="AG442" t="str">
        <f t="shared" si="366"/>
        <v>1+4310,22654280614i</v>
      </c>
      <c r="AH442">
        <f t="shared" si="384"/>
        <v>4310.2266588093216</v>
      </c>
      <c r="AI442">
        <f t="shared" si="385"/>
        <v>1.5705643204323245</v>
      </c>
      <c r="AJ442" t="str">
        <f t="shared" si="367"/>
        <v>1+1,09189246340026i</v>
      </c>
      <c r="AK442">
        <f t="shared" si="386"/>
        <v>1.4806178276754229</v>
      </c>
      <c r="AL442">
        <f t="shared" si="387"/>
        <v>0.82929785051711802</v>
      </c>
      <c r="AM442" t="str">
        <f t="shared" si="368"/>
        <v>1-0,717685552944143i</v>
      </c>
      <c r="AN442">
        <f t="shared" si="388"/>
        <v>1.2308828347591578</v>
      </c>
      <c r="AO442">
        <f t="shared" si="389"/>
        <v>-0.62249711245408801</v>
      </c>
      <c r="AP442" s="41" t="str">
        <f t="shared" si="390"/>
        <v>0,0194557735025969-0,0926278654624248i</v>
      </c>
      <c r="AQ442">
        <f t="shared" si="391"/>
        <v>-20.477671946131778</v>
      </c>
      <c r="AR442" s="43">
        <f t="shared" si="392"/>
        <v>-78.137897523402415</v>
      </c>
      <c r="AS442" t="str">
        <f t="shared" si="369"/>
        <v>-0,0000166666666666667</v>
      </c>
      <c r="AT442" t="str">
        <f t="shared" si="370"/>
        <v>0,00109516814079046i</v>
      </c>
      <c r="AU442">
        <f t="shared" si="393"/>
        <v>1.0951681407904599E-3</v>
      </c>
      <c r="AV442">
        <f t="shared" si="394"/>
        <v>1.5707963267948966</v>
      </c>
      <c r="AW442" t="str">
        <f t="shared" si="371"/>
        <v>1+0,718493545208546i</v>
      </c>
      <c r="AX442">
        <f t="shared" si="395"/>
        <v>1.2313541223004636</v>
      </c>
      <c r="AY442">
        <f t="shared" si="396"/>
        <v>0.6230302110510928</v>
      </c>
      <c r="AZ442" t="str">
        <f t="shared" si="372"/>
        <v>1+240,216341948057i</v>
      </c>
      <c r="BA442">
        <f t="shared" si="397"/>
        <v>240.21842339609563</v>
      </c>
      <c r="BB442">
        <f t="shared" si="398"/>
        <v>1.5666334367294974</v>
      </c>
      <c r="BC442" s="41" t="str">
        <f t="shared" si="399"/>
        <v>-2,40382931477467+1,742354209772i</v>
      </c>
      <c r="BD442">
        <f t="shared" si="400"/>
        <v>9.4518258373969388</v>
      </c>
      <c r="BE442" s="43">
        <f t="shared" si="401"/>
        <v>144.06448236630305</v>
      </c>
      <c r="BF442" s="41" t="str">
        <f t="shared" si="402"/>
        <v>0,163255818099609+0,0250353727523171i</v>
      </c>
      <c r="BG442" s="20">
        <f t="shared" si="403"/>
        <v>-15.64167860146928</v>
      </c>
      <c r="BH442" s="43">
        <f t="shared" si="404"/>
        <v>8.7184218613235078</v>
      </c>
      <c r="BI442" s="41" t="str">
        <f t="shared" si="409"/>
        <v>0,114622192643492+0,256560427230201i</v>
      </c>
      <c r="BJ442" s="20">
        <f t="shared" si="405"/>
        <v>-11.025846108734845</v>
      </c>
      <c r="BK442" s="43">
        <f t="shared" si="410"/>
        <v>65.926584842900581</v>
      </c>
      <c r="BL442">
        <f t="shared" si="406"/>
        <v>-15.64167860146928</v>
      </c>
      <c r="BM442" s="43">
        <f t="shared" si="407"/>
        <v>8.7184218613235078</v>
      </c>
    </row>
    <row r="443" spans="14:65" x14ac:dyDescent="0.25">
      <c r="N443" s="9">
        <v>25</v>
      </c>
      <c r="O443" s="34">
        <f t="shared" si="408"/>
        <v>177827.94100389251</v>
      </c>
      <c r="P443" s="33" t="str">
        <f t="shared" si="360"/>
        <v>66,7780509511648</v>
      </c>
      <c r="Q443" s="4" t="str">
        <f t="shared" si="361"/>
        <v>1+4354,67702881156i</v>
      </c>
      <c r="R443" s="4">
        <f t="shared" si="373"/>
        <v>4354.6771436306362</v>
      </c>
      <c r="S443" s="4">
        <f t="shared" si="374"/>
        <v>1.5705666886435927</v>
      </c>
      <c r="T443" s="4" t="str">
        <f t="shared" si="362"/>
        <v>1+1,11732590612166i</v>
      </c>
      <c r="U443" s="4">
        <f t="shared" si="375"/>
        <v>1.4994723006746704</v>
      </c>
      <c r="V443" s="4">
        <f t="shared" si="376"/>
        <v>0.84075385642093015</v>
      </c>
      <c r="W443" t="str">
        <f t="shared" si="363"/>
        <v>1-2,4305993802425i</v>
      </c>
      <c r="X443" s="4">
        <f t="shared" si="377"/>
        <v>2.6282719317519692</v>
      </c>
      <c r="Y443" s="4">
        <f t="shared" si="378"/>
        <v>-1.1804830663262602</v>
      </c>
      <c r="Z443" t="str">
        <f t="shared" si="364"/>
        <v>0,968377223398316+0,47773514210342i</v>
      </c>
      <c r="AA443" s="4">
        <f t="shared" si="379"/>
        <v>1.0798079981168907</v>
      </c>
      <c r="AB443" s="4">
        <f t="shared" si="380"/>
        <v>0.45830204184176687</v>
      </c>
      <c r="AC443" s="47" t="str">
        <f t="shared" si="381"/>
        <v>-0,040063184361133-0,0390814672713505i</v>
      </c>
      <c r="AD443" s="20">
        <f t="shared" si="382"/>
        <v>-25.041200360252066</v>
      </c>
      <c r="AE443" s="43">
        <f t="shared" si="383"/>
        <v>-135.71066534776583</v>
      </c>
      <c r="AF443" t="str">
        <f t="shared" si="365"/>
        <v>223,849857273222</v>
      </c>
      <c r="AG443" t="str">
        <f t="shared" si="366"/>
        <v>1+4410,62461639604i</v>
      </c>
      <c r="AH443">
        <f t="shared" si="384"/>
        <v>4410.6247297586679</v>
      </c>
      <c r="AI443">
        <f t="shared" si="385"/>
        <v>1.5705696015417097</v>
      </c>
      <c r="AJ443" t="str">
        <f t="shared" si="367"/>
        <v>1+1,11732590612166i</v>
      </c>
      <c r="AK443">
        <f t="shared" si="386"/>
        <v>1.4994723006746704</v>
      </c>
      <c r="AL443">
        <f t="shared" si="387"/>
        <v>0.84075385642093015</v>
      </c>
      <c r="AM443" t="str">
        <f t="shared" si="368"/>
        <v>1-0,734402596988883i</v>
      </c>
      <c r="AN443">
        <f t="shared" si="388"/>
        <v>1.2407043058134424</v>
      </c>
      <c r="AO443">
        <f t="shared" si="389"/>
        <v>-0.63344381092762536</v>
      </c>
      <c r="AP443" s="41" t="str">
        <f t="shared" si="390"/>
        <v>0,0194552312484056-0,0923937659333306i</v>
      </c>
      <c r="AQ443">
        <f t="shared" si="391"/>
        <v>-20.498730987053108</v>
      </c>
      <c r="AR443" s="43">
        <f t="shared" si="392"/>
        <v>-78.109018942451925</v>
      </c>
      <c r="AS443" t="str">
        <f t="shared" si="369"/>
        <v>-0,0000166666666666667</v>
      </c>
      <c r="AT443" t="str">
        <f t="shared" si="370"/>
        <v>0,00112067788384002i</v>
      </c>
      <c r="AU443">
        <f t="shared" si="393"/>
        <v>1.1206778838400201E-3</v>
      </c>
      <c r="AV443">
        <f t="shared" si="394"/>
        <v>1.5707963267948966</v>
      </c>
      <c r="AW443" t="str">
        <f t="shared" si="371"/>
        <v>1+0,735229409810863i</v>
      </c>
      <c r="AX443">
        <f t="shared" si="395"/>
        <v>1.2411938950264096</v>
      </c>
      <c r="AY443">
        <f t="shared" si="396"/>
        <v>0.63398071822111579</v>
      </c>
      <c r="AZ443" t="str">
        <f t="shared" si="372"/>
        <v>1+245,811699346765i</v>
      </c>
      <c r="BA443">
        <f t="shared" si="397"/>
        <v>245.81373341565845</v>
      </c>
      <c r="BB443">
        <f t="shared" si="398"/>
        <v>1.5667281946185807</v>
      </c>
      <c r="BC443" s="41" t="str">
        <f t="shared" si="399"/>
        <v>-2,36586687050184+1,7543268539717i</v>
      </c>
      <c r="BD443">
        <f t="shared" si="400"/>
        <v>9.3826892073226347</v>
      </c>
      <c r="BE443" s="43">
        <f t="shared" si="401"/>
        <v>143.44249374905328</v>
      </c>
      <c r="BF443" s="41" t="str">
        <f t="shared" si="402"/>
        <v>0,163345828133558+0,0221776284875354i</v>
      </c>
      <c r="BG443" s="20">
        <f t="shared" si="403"/>
        <v>-15.658511152929446</v>
      </c>
      <c r="BH443" s="43">
        <f t="shared" si="404"/>
        <v>7.7318284012874603</v>
      </c>
      <c r="BI443" s="41" t="str">
        <f t="shared" si="409"/>
        <v>0,116060377647863+0,252722184491876i</v>
      </c>
      <c r="BJ443" s="20">
        <f t="shared" si="405"/>
        <v>-11.116041779730461</v>
      </c>
      <c r="BK443" s="43">
        <f t="shared" si="410"/>
        <v>65.333474806601316</v>
      </c>
      <c r="BL443">
        <f t="shared" si="406"/>
        <v>-15.658511152929446</v>
      </c>
      <c r="BM443" s="43">
        <f t="shared" si="407"/>
        <v>7.7318284012874603</v>
      </c>
    </row>
    <row r="444" spans="14:65" x14ac:dyDescent="0.25">
      <c r="N444" s="9">
        <v>26</v>
      </c>
      <c r="O444" s="34">
        <f t="shared" si="408"/>
        <v>181970.08586099857</v>
      </c>
      <c r="P444" s="33" t="str">
        <f t="shared" si="360"/>
        <v>66,7780509511648</v>
      </c>
      <c r="Q444" s="4" t="str">
        <f t="shared" si="361"/>
        <v>1+4456,11048722881i</v>
      </c>
      <c r="R444" s="4">
        <f t="shared" si="373"/>
        <v>4456.1105994342843</v>
      </c>
      <c r="S444" s="4">
        <f t="shared" si="374"/>
        <v>1.5705719158459133</v>
      </c>
      <c r="T444" s="4" t="str">
        <f t="shared" si="362"/>
        <v>1+1,14335176982803i</v>
      </c>
      <c r="U444" s="4">
        <f t="shared" si="375"/>
        <v>1.5189645386146737</v>
      </c>
      <c r="V444" s="4">
        <f t="shared" si="376"/>
        <v>0.85218075886915512</v>
      </c>
      <c r="W444" t="str">
        <f t="shared" si="363"/>
        <v>1-2,48721531284408i</v>
      </c>
      <c r="X444" s="4">
        <f t="shared" si="377"/>
        <v>2.6807163245009855</v>
      </c>
      <c r="Y444" s="4">
        <f t="shared" si="378"/>
        <v>-1.1885187379921935</v>
      </c>
      <c r="Z444" t="str">
        <f t="shared" si="364"/>
        <v>0,966886887851741+0,488863023080676i</v>
      </c>
      <c r="AA444" s="4">
        <f t="shared" si="379"/>
        <v>1.0834469572781138</v>
      </c>
      <c r="AB444" s="4">
        <f t="shared" si="380"/>
        <v>0.46812169524883929</v>
      </c>
      <c r="AC444" s="47" t="str">
        <f t="shared" si="381"/>
        <v>-0,0405678754677878-0,0390675966584288i</v>
      </c>
      <c r="AD444" s="20">
        <f t="shared" si="382"/>
        <v>-24.986627647677825</v>
      </c>
      <c r="AE444" s="43">
        <f t="shared" si="383"/>
        <v>-136.07928632972386</v>
      </c>
      <c r="AF444" t="str">
        <f t="shared" si="365"/>
        <v>223,849857273222</v>
      </c>
      <c r="AG444" t="str">
        <f t="shared" si="366"/>
        <v>1+4513,36126153903i</v>
      </c>
      <c r="AH444">
        <f t="shared" si="384"/>
        <v>4513.3613723212093</v>
      </c>
      <c r="AI444">
        <f t="shared" si="385"/>
        <v>1.5705747624383808</v>
      </c>
      <c r="AJ444" t="str">
        <f t="shared" si="367"/>
        <v>1+1,14335176982803i</v>
      </c>
      <c r="AK444">
        <f t="shared" si="386"/>
        <v>1.5189645386146737</v>
      </c>
      <c r="AL444">
        <f t="shared" si="387"/>
        <v>0.85218075886915512</v>
      </c>
      <c r="AM444" t="str">
        <f t="shared" si="368"/>
        <v>1-0,751509031011505i</v>
      </c>
      <c r="AN444">
        <f t="shared" si="388"/>
        <v>1.2509060011415132</v>
      </c>
      <c r="AO444">
        <f t="shared" si="389"/>
        <v>-0.64446618929933353</v>
      </c>
      <c r="AP444" s="41" t="str">
        <f t="shared" si="390"/>
        <v>0,0194547133996708-0,0922086547908406i</v>
      </c>
      <c r="AQ444">
        <f t="shared" si="391"/>
        <v>-20.515419495659586</v>
      </c>
      <c r="AR444" s="43">
        <f t="shared" si="392"/>
        <v>-78.086137117753779</v>
      </c>
      <c r="AS444" t="str">
        <f t="shared" si="369"/>
        <v>-0,0000166666666666667</v>
      </c>
      <c r="AT444" t="str">
        <f t="shared" si="370"/>
        <v>0,00114678182513752i</v>
      </c>
      <c r="AU444">
        <f t="shared" si="393"/>
        <v>1.1467818251375201E-3</v>
      </c>
      <c r="AV444">
        <f t="shared" si="394"/>
        <v>1.5707963267948966</v>
      </c>
      <c r="AW444" t="str">
        <f t="shared" si="371"/>
        <v>1+0,752355102778165i</v>
      </c>
      <c r="AX444">
        <f t="shared" si="395"/>
        <v>1.251414479969104</v>
      </c>
      <c r="AY444">
        <f t="shared" si="396"/>
        <v>0.64500667147013591</v>
      </c>
      <c r="AZ444" t="str">
        <f t="shared" si="372"/>
        <v>1+251,537389362166i</v>
      </c>
      <c r="BA444">
        <f t="shared" si="397"/>
        <v>251.53937713036882</v>
      </c>
      <c r="BB444">
        <f t="shared" si="398"/>
        <v>1.5668207956253657</v>
      </c>
      <c r="BC444" s="41" t="str">
        <f t="shared" si="399"/>
        <v>-2,32737954321434+1,76554929958397i</v>
      </c>
      <c r="BD444">
        <f t="shared" si="400"/>
        <v>9.3114550713123752</v>
      </c>
      <c r="BE444" s="43">
        <f t="shared" si="401"/>
        <v>142.8160588096431</v>
      </c>
      <c r="BF444" s="41" t="str">
        <f t="shared" si="402"/>
        <v>0,163392611392114+0,0193005411476136i</v>
      </c>
      <c r="BG444" s="20">
        <f t="shared" si="403"/>
        <v>-15.675172576365458</v>
      </c>
      <c r="BH444" s="43">
        <f t="shared" si="404"/>
        <v>6.7367724799192397</v>
      </c>
      <c r="BI444" s="41" t="str">
        <f t="shared" si="409"/>
        <v>0,117520423896057+0,248952792483911i</v>
      </c>
      <c r="BJ444" s="20">
        <f t="shared" si="405"/>
        <v>-11.203964424347209</v>
      </c>
      <c r="BK444" s="43">
        <f t="shared" si="410"/>
        <v>64.729921691889317</v>
      </c>
      <c r="BL444">
        <f t="shared" si="406"/>
        <v>-15.675172576365458</v>
      </c>
      <c r="BM444" s="43">
        <f t="shared" si="407"/>
        <v>6.7367724799192397</v>
      </c>
    </row>
    <row r="445" spans="14:65" x14ac:dyDescent="0.25">
      <c r="N445" s="9">
        <v>27</v>
      </c>
      <c r="O445" s="34">
        <f t="shared" si="408"/>
        <v>186208.71366628664</v>
      </c>
      <c r="P445" s="33" t="str">
        <f t="shared" si="360"/>
        <v>66,7780509511648</v>
      </c>
      <c r="Q445" s="4" t="str">
        <f t="shared" si="361"/>
        <v>1+4559,90663441002i</v>
      </c>
      <c r="R445" s="4">
        <f t="shared" si="373"/>
        <v>4559.9067440613871</v>
      </c>
      <c r="S445" s="4">
        <f t="shared" si="374"/>
        <v>1.5705770240625945</v>
      </c>
      <c r="T445" s="4" t="str">
        <f t="shared" si="362"/>
        <v>1+1,16998385377682i</v>
      </c>
      <c r="U445" s="4">
        <f t="shared" si="375"/>
        <v>1.5391108530896855</v>
      </c>
      <c r="V445" s="4">
        <f t="shared" si="376"/>
        <v>0.86357268103357865</v>
      </c>
      <c r="W445" t="str">
        <f t="shared" si="363"/>
        <v>1-2,54514999992673i</v>
      </c>
      <c r="X445" s="4">
        <f t="shared" si="377"/>
        <v>2.7345545381518783</v>
      </c>
      <c r="Y445" s="4">
        <f t="shared" si="378"/>
        <v>-1.1964219883247567</v>
      </c>
      <c r="Z445" t="str">
        <f t="shared" si="364"/>
        <v>0,965326314954747+0,50025010570364i</v>
      </c>
      <c r="AA445" s="4">
        <f t="shared" si="379"/>
        <v>1.0872465509720481</v>
      </c>
      <c r="AB445" s="4">
        <f t="shared" si="380"/>
        <v>0.47811607847442045</v>
      </c>
      <c r="AC445" s="47" t="str">
        <f t="shared" si="381"/>
        <v>-0,041088969622248-0,0390570007948116i</v>
      </c>
      <c r="AD445" s="20">
        <f t="shared" si="382"/>
        <v>-24.929875406561646</v>
      </c>
      <c r="AE445" s="43">
        <f t="shared" si="383"/>
        <v>-136.45232881457096</v>
      </c>
      <c r="AF445" t="str">
        <f t="shared" si="365"/>
        <v>223,849857273222</v>
      </c>
      <c r="AG445" t="str">
        <f t="shared" si="366"/>
        <v>1+4618,49095056431i</v>
      </c>
      <c r="AH445">
        <f t="shared" si="384"/>
        <v>4618.4910588247785</v>
      </c>
      <c r="AI445">
        <f t="shared" si="385"/>
        <v>1.5705798058587128</v>
      </c>
      <c r="AJ445" t="str">
        <f t="shared" si="367"/>
        <v>1+1,16998385377682i</v>
      </c>
      <c r="AK445">
        <f t="shared" si="386"/>
        <v>1.5391108530896855</v>
      </c>
      <c r="AL445">
        <f t="shared" si="387"/>
        <v>0.86357268103357865</v>
      </c>
      <c r="AM445" t="str">
        <f t="shared" si="368"/>
        <v>1-0,769013925069772i</v>
      </c>
      <c r="AN445">
        <f t="shared" si="388"/>
        <v>1.2615000661717053</v>
      </c>
      <c r="AO445">
        <f t="shared" si="389"/>
        <v>-0.65555937901567829</v>
      </c>
      <c r="AP445" s="41" t="str">
        <f t="shared" si="390"/>
        <v>0,0194542188579661-0,0920724338873161i</v>
      </c>
      <c r="AQ445">
        <f t="shared" si="391"/>
        <v>-20.527722142147926</v>
      </c>
      <c r="AR445" s="43">
        <f t="shared" si="392"/>
        <v>-78.069309975974633</v>
      </c>
      <c r="AS445" t="str">
        <f t="shared" si="369"/>
        <v>-0,0000166666666666667</v>
      </c>
      <c r="AT445" t="str">
        <f t="shared" si="370"/>
        <v>0,00117349380533815i</v>
      </c>
      <c r="AU445">
        <f t="shared" si="393"/>
        <v>1.17349380533815E-3</v>
      </c>
      <c r="AV445">
        <f t="shared" si="394"/>
        <v>1.5707963267948966</v>
      </c>
      <c r="AW445" t="str">
        <f t="shared" si="371"/>
        <v>1+0,769879704379562i</v>
      </c>
      <c r="AX445">
        <f t="shared" si="395"/>
        <v>1.2620280342431232</v>
      </c>
      <c r="AY445">
        <f t="shared" si="396"/>
        <v>0.65610319371752734</v>
      </c>
      <c r="AZ445" t="str">
        <f t="shared" si="372"/>
        <v>1+257,3964478309i</v>
      </c>
      <c r="BA445">
        <f t="shared" si="397"/>
        <v>257.39839035231984</v>
      </c>
      <c r="BB445">
        <f t="shared" si="398"/>
        <v>1.5669112888417753</v>
      </c>
      <c r="BC445" s="41" t="str">
        <f t="shared" si="399"/>
        <v>-2,28839800162425+1,77599378001584i</v>
      </c>
      <c r="BD445">
        <f t="shared" si="400"/>
        <v>9.2380954532748767</v>
      </c>
      <c r="BE445" s="43">
        <f t="shared" si="401"/>
        <v>142.1854597969693</v>
      </c>
      <c r="BF445" s="41" t="str">
        <f t="shared" si="402"/>
        <v>0,163392906450011+0,0164042080919114i</v>
      </c>
      <c r="BG445" s="20">
        <f t="shared" si="403"/>
        <v>-15.691779953286765</v>
      </c>
      <c r="BH445" s="43">
        <f t="shared" si="404"/>
        <v>5.7331309823983361</v>
      </c>
      <c r="BI445" s="41" t="str">
        <f t="shared" si="409"/>
        <v>0,119001074337063+0,24524894539923i</v>
      </c>
      <c r="BJ445" s="20">
        <f t="shared" si="405"/>
        <v>-11.289626688873033</v>
      </c>
      <c r="BK445" s="43">
        <f t="shared" si="410"/>
        <v>64.116149820994622</v>
      </c>
      <c r="BL445">
        <f t="shared" si="406"/>
        <v>-15.691779953286765</v>
      </c>
      <c r="BM445" s="43">
        <f t="shared" si="407"/>
        <v>5.7331309823983361</v>
      </c>
    </row>
    <row r="446" spans="14:65" x14ac:dyDescent="0.25">
      <c r="N446" s="9">
        <v>28</v>
      </c>
      <c r="O446" s="34">
        <f t="shared" si="408"/>
        <v>190546.07179632492</v>
      </c>
      <c r="P446" s="33" t="str">
        <f t="shared" si="360"/>
        <v>66,7780509511648</v>
      </c>
      <c r="Q446" s="4" t="str">
        <f t="shared" si="361"/>
        <v>1+4666,12050444633i</v>
      </c>
      <c r="R446" s="4">
        <f t="shared" si="373"/>
        <v>4666.1206116017274</v>
      </c>
      <c r="S446" s="4">
        <f t="shared" si="374"/>
        <v>1.5705820160020791</v>
      </c>
      <c r="T446" s="4" t="str">
        <f t="shared" si="362"/>
        <v>1+1,19723627865146i</v>
      </c>
      <c r="U446" s="4">
        <f t="shared" si="375"/>
        <v>1.559927789007939</v>
      </c>
      <c r="V446" s="4">
        <f t="shared" si="376"/>
        <v>0.8749238367684441</v>
      </c>
      <c r="W446" t="str">
        <f t="shared" si="363"/>
        <v>1-2,60443415922841i</v>
      </c>
      <c r="X446" s="4">
        <f t="shared" si="377"/>
        <v>2.7898167125737481</v>
      </c>
      <c r="Y446" s="4">
        <f t="shared" si="378"/>
        <v>-1.2041930575146682</v>
      </c>
      <c r="Z446" t="str">
        <f t="shared" si="364"/>
        <v>0,963692194522989+0,511902427554246i</v>
      </c>
      <c r="AA446" s="4">
        <f t="shared" si="379"/>
        <v>1.0912134260173234</v>
      </c>
      <c r="AB446" s="4">
        <f t="shared" si="380"/>
        <v>0.48828616143411846</v>
      </c>
      <c r="AC446" s="47" t="str">
        <f t="shared" si="381"/>
        <v>-0,0416266908464572-0,0390488040931897i</v>
      </c>
      <c r="AD446" s="20">
        <f t="shared" si="382"/>
        <v>-24.87103511270913</v>
      </c>
      <c r="AE446" s="43">
        <f t="shared" si="383"/>
        <v>-136.83019381320622</v>
      </c>
      <c r="AF446" t="str">
        <f t="shared" si="365"/>
        <v>223,849857273222</v>
      </c>
      <c r="AG446" t="str">
        <f t="shared" si="366"/>
        <v>1+4726,06942462457i</v>
      </c>
      <c r="AH446">
        <f t="shared" si="384"/>
        <v>4726.0695304207293</v>
      </c>
      <c r="AI446">
        <f t="shared" si="385"/>
        <v>1.5705847344767927</v>
      </c>
      <c r="AJ446" t="str">
        <f t="shared" si="367"/>
        <v>1+1,19723627865146i</v>
      </c>
      <c r="AK446">
        <f t="shared" si="386"/>
        <v>1.559927789007939</v>
      </c>
      <c r="AL446">
        <f t="shared" si="387"/>
        <v>0.8749238367684441</v>
      </c>
      <c r="AM446" t="str">
        <f t="shared" si="368"/>
        <v>1-0,786926560490221i</v>
      </c>
      <c r="AN446">
        <f t="shared" si="388"/>
        <v>1.2724988847165917</v>
      </c>
      <c r="AO446">
        <f t="shared" si="389"/>
        <v>-0.66671834135759733</v>
      </c>
      <c r="AP446" s="41" t="str">
        <f t="shared" si="390"/>
        <v>0,0194537465743026-0,0919850309973201i</v>
      </c>
      <c r="AQ446">
        <f t="shared" si="391"/>
        <v>-20.535627595094073</v>
      </c>
      <c r="AR446" s="43">
        <f t="shared" si="392"/>
        <v>-78.05858049472333</v>
      </c>
      <c r="AS446" t="str">
        <f t="shared" si="369"/>
        <v>-0,0000166666666666667</v>
      </c>
      <c r="AT446" t="str">
        <f t="shared" si="370"/>
        <v>0,00120082798748741i</v>
      </c>
      <c r="AU446">
        <f t="shared" si="393"/>
        <v>1.20082798748741E-3</v>
      </c>
      <c r="AV446">
        <f t="shared" si="394"/>
        <v>1.5707963267948966</v>
      </c>
      <c r="AW446" t="str">
        <f t="shared" si="371"/>
        <v>1+0,787812506390791i</v>
      </c>
      <c r="AX446">
        <f t="shared" si="395"/>
        <v>1.2730469532683153</v>
      </c>
      <c r="AY446">
        <f t="shared" si="396"/>
        <v>0.66726523817032601</v>
      </c>
      <c r="AZ446" t="str">
        <f t="shared" si="372"/>
        <v>1+263,391981303321i</v>
      </c>
      <c r="BA446">
        <f t="shared" si="397"/>
        <v>263.39387960787735</v>
      </c>
      <c r="BB446">
        <f t="shared" si="398"/>
        <v>1.5669997222425796</v>
      </c>
      <c r="BC446" s="41" t="str">
        <f t="shared" si="399"/>
        <v>-2,24895476745002+1,78563400441244i</v>
      </c>
      <c r="BD446">
        <f t="shared" si="400"/>
        <v>9.1625841115312916</v>
      </c>
      <c r="BE446" s="43">
        <f t="shared" si="401"/>
        <v>141.55098861972067</v>
      </c>
      <c r="BF446" s="41" t="str">
        <f t="shared" si="402"/>
        <v>0,163343417252747+0,0134889594620028i</v>
      </c>
      <c r="BG446" s="20">
        <f t="shared" si="403"/>
        <v>-15.708451001177847</v>
      </c>
      <c r="BH446" s="43">
        <f t="shared" si="404"/>
        <v>4.7207948065144691</v>
      </c>
      <c r="BI446" s="41" t="str">
        <f t="shared" si="409"/>
        <v>0,120501003142705+0,241607445391758i</v>
      </c>
      <c r="BJ446" s="20">
        <f t="shared" si="405"/>
        <v>-11.373043483562771</v>
      </c>
      <c r="BK446" s="43">
        <f t="shared" si="410"/>
        <v>63.49240812499734</v>
      </c>
      <c r="BL446">
        <f t="shared" si="406"/>
        <v>-15.708451001177847</v>
      </c>
      <c r="BM446" s="43">
        <f t="shared" si="407"/>
        <v>4.7207948065144691</v>
      </c>
    </row>
    <row r="447" spans="14:65" x14ac:dyDescent="0.25">
      <c r="N447" s="9">
        <v>29</v>
      </c>
      <c r="O447" s="34">
        <f t="shared" si="408"/>
        <v>194984.45997580473</v>
      </c>
      <c r="P447" s="33" t="str">
        <f t="shared" si="360"/>
        <v>66,7780509511648</v>
      </c>
      <c r="Q447" s="4" t="str">
        <f t="shared" si="361"/>
        <v>1+4774,80841333744i</v>
      </c>
      <c r="R447" s="4">
        <f t="shared" si="373"/>
        <v>4774.8085180536818</v>
      </c>
      <c r="S447" s="4">
        <f t="shared" si="374"/>
        <v>1.5705868943111585</v>
      </c>
      <c r="T447" s="4" t="str">
        <f t="shared" si="362"/>
        <v>1+1,22512349404832i</v>
      </c>
      <c r="U447" s="4">
        <f t="shared" si="375"/>
        <v>1.581432128062777</v>
      </c>
      <c r="V447" s="4">
        <f t="shared" si="376"/>
        <v>0.8862285447676076</v>
      </c>
      <c r="W447" t="str">
        <f t="shared" si="363"/>
        <v>1-2,66509922399503i</v>
      </c>
      <c r="X447" s="4">
        <f t="shared" si="377"/>
        <v>2.8465336593370738</v>
      </c>
      <c r="Y447" s="4">
        <f t="shared" si="378"/>
        <v>-1.2118323105342002</v>
      </c>
      <c r="Z447" t="str">
        <f t="shared" si="364"/>
        <v>0,961981060367944+0,523826166847763i</v>
      </c>
      <c r="AA447" s="4">
        <f t="shared" si="379"/>
        <v>1.0953544693755781</v>
      </c>
      <c r="AB447" s="4">
        <f t="shared" si="380"/>
        <v>0.49863279055785009</v>
      </c>
      <c r="AC447" s="47" t="str">
        <f t="shared" si="381"/>
        <v>-0,0421812395431557-0,0390421046362994i</v>
      </c>
      <c r="AD447" s="20">
        <f t="shared" si="382"/>
        <v>-24.810200485423231</v>
      </c>
      <c r="AE447" s="43">
        <f t="shared" si="383"/>
        <v>-137.21327640037634</v>
      </c>
      <c r="AF447" t="str">
        <f t="shared" si="365"/>
        <v>223,849857273222</v>
      </c>
      <c r="AG447" t="str">
        <f t="shared" si="366"/>
        <v>1+4836,15372325063i</v>
      </c>
      <c r="AH447">
        <f t="shared" si="384"/>
        <v>4836.1538266385742</v>
      </c>
      <c r="AI447">
        <f t="shared" si="385"/>
        <v>1.5705895509058383</v>
      </c>
      <c r="AJ447" t="str">
        <f t="shared" si="367"/>
        <v>1+1,22512349404832i</v>
      </c>
      <c r="AK447">
        <f t="shared" si="386"/>
        <v>1.581432128062777</v>
      </c>
      <c r="AL447">
        <f t="shared" si="387"/>
        <v>0.8862285447676076</v>
      </c>
      <c r="AM447" t="str">
        <f t="shared" si="368"/>
        <v>1-0,805256434789235i</v>
      </c>
      <c r="AN447">
        <f t="shared" si="388"/>
        <v>1.2839150773199408</v>
      </c>
      <c r="AO447">
        <f t="shared" si="389"/>
        <v>-0.67793787716110954</v>
      </c>
      <c r="AP447" s="41" t="str">
        <f t="shared" si="390"/>
        <v>0,0194532955469036-0,091946399779327i</v>
      </c>
      <c r="AQ447">
        <f t="shared" si="391"/>
        <v>-20.53912855948986</v>
      </c>
      <c r="AR447" s="43">
        <f t="shared" si="392"/>
        <v>-78.053976448437297</v>
      </c>
      <c r="AS447" t="str">
        <f t="shared" si="369"/>
        <v>-0,0000166666666666667</v>
      </c>
      <c r="AT447" t="str">
        <f t="shared" si="370"/>
        <v>0,00122879886453047i</v>
      </c>
      <c r="AU447">
        <f t="shared" si="393"/>
        <v>1.2287988645304699E-3</v>
      </c>
      <c r="AV447">
        <f t="shared" si="394"/>
        <v>1.5707963267948966</v>
      </c>
      <c r="AW447" t="str">
        <f t="shared" si="371"/>
        <v>1+0,806163017020829i</v>
      </c>
      <c r="AX447">
        <f t="shared" si="395"/>
        <v>1.2844838691132425</v>
      </c>
      <c r="AY447">
        <f t="shared" si="396"/>
        <v>0.67848759808944503</v>
      </c>
      <c r="AZ447" t="str">
        <f t="shared" si="372"/>
        <v>1+269,52716869063i</v>
      </c>
      <c r="BA447">
        <f t="shared" si="397"/>
        <v>269.52902378480002</v>
      </c>
      <c r="BB447">
        <f t="shared" si="398"/>
        <v>1.5670861427108016</v>
      </c>
      <c r="BC447" s="41" t="str">
        <f t="shared" si="399"/>
        <v>-2,20908412687414+1,79444530516245i</v>
      </c>
      <c r="BD447">
        <f t="shared" si="400"/>
        <v>9.08489663811668</v>
      </c>
      <c r="BE447" s="43">
        <f t="shared" si="401"/>
        <v>140.91294628827097</v>
      </c>
      <c r="BF447" s="41" t="str">
        <f t="shared" si="402"/>
        <v>0,16324082809493+0,0105553663676598i</v>
      </c>
      <c r="BG447" s="20">
        <f t="shared" si="403"/>
        <v>-15.725303847306533</v>
      </c>
      <c r="BH447" s="43">
        <f t="shared" si="404"/>
        <v>3.6996698878946348</v>
      </c>
      <c r="BI447" s="41" t="str">
        <f t="shared" si="409"/>
        <v>0,122018819002547+0,238025207139814i</v>
      </c>
      <c r="BJ447" s="20">
        <f t="shared" si="405"/>
        <v>-11.454231921373177</v>
      </c>
      <c r="BK447" s="43">
        <f t="shared" si="410"/>
        <v>62.858969839833684</v>
      </c>
      <c r="BL447">
        <f t="shared" si="406"/>
        <v>-15.725303847306533</v>
      </c>
      <c r="BM447" s="43">
        <f t="shared" si="407"/>
        <v>3.6996698878946348</v>
      </c>
    </row>
    <row r="448" spans="14:65" x14ac:dyDescent="0.25">
      <c r="N448" s="9">
        <v>30</v>
      </c>
      <c r="O448" s="34">
        <f t="shared" si="408"/>
        <v>199526.23149688813</v>
      </c>
      <c r="P448" s="33" t="str">
        <f t="shared" si="360"/>
        <v>66,7780509511648</v>
      </c>
      <c r="Q448" s="4" t="str">
        <f t="shared" si="361"/>
        <v>1+4886,02798885139i</v>
      </c>
      <c r="R448" s="4">
        <f t="shared" si="373"/>
        <v>4886.0280911839991</v>
      </c>
      <c r="S448" s="4">
        <f t="shared" si="374"/>
        <v>1.5705916615763758</v>
      </c>
      <c r="T448" s="4" t="str">
        <f t="shared" si="362"/>
        <v>1+1,25366028613816i</v>
      </c>
      <c r="U448" s="4">
        <f t="shared" si="375"/>
        <v>1.6036408927936494</v>
      </c>
      <c r="V448" s="4">
        <f t="shared" si="376"/>
        <v>0.89748124207361035</v>
      </c>
      <c r="W448" t="str">
        <f t="shared" si="363"/>
        <v>1-2,72717735964699i</v>
      </c>
      <c r="X448" s="4">
        <f t="shared" si="377"/>
        <v>2.9047368815386925</v>
      </c>
      <c r="Y448" s="4">
        <f t="shared" si="378"/>
        <v>-1.2193402303051375</v>
      </c>
      <c r="Z448" t="str">
        <f t="shared" si="364"/>
        <v>0,96018928294465+0,536027645708606i</v>
      </c>
      <c r="AA448" s="4">
        <f t="shared" si="379"/>
        <v>1.0996768143621434</v>
      </c>
      <c r="AB448" s="4">
        <f t="shared" si="380"/>
        <v>0.50915668222359989</v>
      </c>
      <c r="AC448" s="47" t="str">
        <f t="shared" si="381"/>
        <v>-0,0427527900841124-0,0390359744110556i</v>
      </c>
      <c r="AD448" s="20">
        <f t="shared" si="382"/>
        <v>-24.747467352121625</v>
      </c>
      <c r="AE448" s="43">
        <f t="shared" si="383"/>
        <v>-137.6019641730789</v>
      </c>
      <c r="AF448" t="str">
        <f t="shared" si="365"/>
        <v>223,849857273222</v>
      </c>
      <c r="AG448" t="str">
        <f t="shared" si="366"/>
        <v>1+4948,80221459486i</v>
      </c>
      <c r="AH448">
        <f t="shared" si="384"/>
        <v>4948.8023156294084</v>
      </c>
      <c r="AI448">
        <f t="shared" si="385"/>
        <v>1.5705942576995831</v>
      </c>
      <c r="AJ448" t="str">
        <f t="shared" si="367"/>
        <v>1+1,25366028613816i</v>
      </c>
      <c r="AK448">
        <f t="shared" si="386"/>
        <v>1.6036408927936494</v>
      </c>
      <c r="AL448">
        <f t="shared" si="387"/>
        <v>0.89748124207361035</v>
      </c>
      <c r="AM448" t="str">
        <f t="shared" si="368"/>
        <v>1-0,82401326670881i</v>
      </c>
      <c r="AN448">
        <f t="shared" si="388"/>
        <v>1.2957614995484796</v>
      </c>
      <c r="AO448">
        <f t="shared" si="389"/>
        <v>-0.68921263745386807</v>
      </c>
      <c r="AP448" s="41" t="str">
        <f t="shared" si="390"/>
        <v>0,0194528648190798-0,091956519751154i</v>
      </c>
      <c r="AQ448">
        <f t="shared" si="391"/>
        <v>-20.53822180128309</v>
      </c>
      <c r="AR448" s="43">
        <f t="shared" si="392"/>
        <v>-78.055510243878402</v>
      </c>
      <c r="AS448" t="str">
        <f t="shared" si="369"/>
        <v>-0,0000166666666666667</v>
      </c>
      <c r="AT448" t="str">
        <f t="shared" si="370"/>
        <v>0,00125742126699657i</v>
      </c>
      <c r="AU448">
        <f t="shared" si="393"/>
        <v>1.2574212669965699E-3</v>
      </c>
      <c r="AV448">
        <f t="shared" si="394"/>
        <v>1.5707963267948966</v>
      </c>
      <c r="AW448" t="str">
        <f t="shared" si="371"/>
        <v>1+0,824940965953325i</v>
      </c>
      <c r="AX448">
        <f t="shared" si="395"/>
        <v>1.2963516487851607</v>
      </c>
      <c r="AY448">
        <f t="shared" si="396"/>
        <v>0.68976491746996671</v>
      </c>
      <c r="AZ448" t="str">
        <f t="shared" si="372"/>
        <v>1+275,805262950395i</v>
      </c>
      <c r="BA448">
        <f t="shared" si="397"/>
        <v>275.8070758177472</v>
      </c>
      <c r="BB448">
        <f t="shared" si="398"/>
        <v>1.5671705960625517</v>
      </c>
      <c r="BC448" s="41" t="str">
        <f t="shared" si="399"/>
        <v>-2,16882202826352+1,80240477932989i</v>
      </c>
      <c r="BD448">
        <f t="shared" si="400"/>
        <v>9.0050105528444888</v>
      </c>
      <c r="BE448" s="43">
        <f t="shared" si="401"/>
        <v>140.27164230416707</v>
      </c>
      <c r="BF448" s="41" t="str">
        <f t="shared" si="402"/>
        <v>0,163081819748435+0,00760424802013675i</v>
      </c>
      <c r="BG448" s="20">
        <f t="shared" si="403"/>
        <v>-15.742456799277138</v>
      </c>
      <c r="BH448" s="43">
        <f t="shared" si="404"/>
        <v>2.6696781310881832</v>
      </c>
      <c r="BI448" s="41" t="str">
        <f t="shared" si="409"/>
        <v>0,123553068957571+0,23449926220032i</v>
      </c>
      <c r="BJ448" s="20">
        <f t="shared" si="405"/>
        <v>-11.533211248438594</v>
      </c>
      <c r="BK448" s="43">
        <f t="shared" si="410"/>
        <v>62.216132060288608</v>
      </c>
      <c r="BL448">
        <f t="shared" si="406"/>
        <v>-15.742456799277138</v>
      </c>
      <c r="BM448" s="43">
        <f t="shared" si="407"/>
        <v>2.6696781310881832</v>
      </c>
    </row>
    <row r="449" spans="14:65" x14ac:dyDescent="0.25">
      <c r="N449" s="9">
        <v>31</v>
      </c>
      <c r="O449" s="34">
        <f t="shared" si="408"/>
        <v>204173.79446695308</v>
      </c>
      <c r="P449" s="33" t="str">
        <f t="shared" si="360"/>
        <v>66,7780509511648</v>
      </c>
      <c r="Q449" s="4" t="str">
        <f t="shared" si="361"/>
        <v>1+4999,83820107924i</v>
      </c>
      <c r="R449" s="4">
        <f t="shared" si="373"/>
        <v>4999.8383010824764</v>
      </c>
      <c r="S449" s="4">
        <f t="shared" si="374"/>
        <v>1.5705963203253972</v>
      </c>
      <c r="T449" s="4" t="str">
        <f t="shared" si="362"/>
        <v>1+1,28286178550586i</v>
      </c>
      <c r="U449" s="4">
        <f t="shared" si="375"/>
        <v>1.6265713512512396</v>
      </c>
      <c r="V449" s="4">
        <f t="shared" si="376"/>
        <v>0.90867649686505725</v>
      </c>
      <c r="W449" t="str">
        <f t="shared" si="363"/>
        <v>1-2,79070148083349i</v>
      </c>
      <c r="X449" s="4">
        <f t="shared" si="377"/>
        <v>2.9644585939301353</v>
      </c>
      <c r="Y449" s="4">
        <f t="shared" si="378"/>
        <v>-1.2267174109326706</v>
      </c>
      <c r="Z449" t="str">
        <f t="shared" si="364"/>
        <v>0,958313061652967+0,548513333522366i</v>
      </c>
      <c r="AA449" s="4">
        <f t="shared" si="379"/>
        <v>1.1041878468750241</v>
      </c>
      <c r="AB449" s="4">
        <f t="shared" si="380"/>
        <v>0.51985841627136942</v>
      </c>
      <c r="AC449" s="47" t="str">
        <f t="shared" si="381"/>
        <v>-0,0433414883345732-0,039029459720857i</v>
      </c>
      <c r="AD449" s="20">
        <f t="shared" si="382"/>
        <v>-24.682933504745343</v>
      </c>
      <c r="AE449" s="43">
        <f t="shared" si="383"/>
        <v>-137.99663575868394</v>
      </c>
      <c r="AF449" t="str">
        <f t="shared" si="365"/>
        <v>223,849857273222</v>
      </c>
      <c r="AG449" t="str">
        <f t="shared" si="366"/>
        <v>1+5064,07462637838i</v>
      </c>
      <c r="AH449">
        <f t="shared" si="384"/>
        <v>5064.0747251131006</v>
      </c>
      <c r="AI449">
        <f t="shared" si="385"/>
        <v>1.5705988573536303</v>
      </c>
      <c r="AJ449" t="str">
        <f t="shared" si="367"/>
        <v>1+1,28286178550586i</v>
      </c>
      <c r="AK449">
        <f t="shared" si="386"/>
        <v>1.6265713512512396</v>
      </c>
      <c r="AL449">
        <f t="shared" si="387"/>
        <v>0.90867649686505725</v>
      </c>
      <c r="AM449" t="str">
        <f t="shared" si="368"/>
        <v>1-0,843207001369495i</v>
      </c>
      <c r="AN449">
        <f t="shared" si="388"/>
        <v>1.3080512402648972</v>
      </c>
      <c r="AO449">
        <f t="shared" si="389"/>
        <v>-0.70053713496498105</v>
      </c>
      <c r="AP449" s="41" t="str">
        <f t="shared" si="390"/>
        <v>0,0194524534771998-0,0920153962791051i</v>
      </c>
      <c r="AQ449">
        <f t="shared" si="391"/>
        <v>-20.532908158269727</v>
      </c>
      <c r="AR449" s="43">
        <f t="shared" si="392"/>
        <v>-78.063178847012253</v>
      </c>
      <c r="AS449" t="str">
        <f t="shared" si="369"/>
        <v>-0,0000166666666666667</v>
      </c>
      <c r="AT449" t="str">
        <f t="shared" si="370"/>
        <v>0,00128671037086238i</v>
      </c>
      <c r="AU449">
        <f t="shared" si="393"/>
        <v>1.28671037086238E-3</v>
      </c>
      <c r="AV449">
        <f t="shared" si="394"/>
        <v>1.5707963267948966</v>
      </c>
      <c r="AW449" t="str">
        <f t="shared" si="371"/>
        <v>1+0,844156309505351i</v>
      </c>
      <c r="AX449">
        <f t="shared" si="395"/>
        <v>1.3086633925030891</v>
      </c>
      <c r="AY449">
        <f t="shared" si="396"/>
        <v>0.70109170259239528</v>
      </c>
      <c r="AZ449" t="str">
        <f t="shared" si="372"/>
        <v>1+282,229592811289i</v>
      </c>
      <c r="BA449">
        <f t="shared" si="397"/>
        <v>282.23136441300426</v>
      </c>
      <c r="BB449">
        <f t="shared" si="398"/>
        <v>1.5672531270712931</v>
      </c>
      <c r="BC449" s="41" t="str">
        <f t="shared" si="399"/>
        <v>-2,12820596661939+1,80949142255235i</v>
      </c>
      <c r="BD449">
        <f t="shared" si="400"/>
        <v>8.9229053913912608</v>
      </c>
      <c r="BE449" s="43">
        <f t="shared" si="401"/>
        <v>139.62739399968021</v>
      </c>
      <c r="BF449" s="41" t="str">
        <f t="shared" si="402"/>
        <v>0,162863086667547+0,00463667766979609i</v>
      </c>
      <c r="BG449" s="20">
        <f t="shared" si="403"/>
        <v>-15.760028113354061</v>
      </c>
      <c r="BH449" s="43">
        <f t="shared" si="404"/>
        <v>1.6307582409962482</v>
      </c>
      <c r="BI449" s="41" t="str">
        <f t="shared" si="409"/>
        <v>0,125102242754233+0,231026763096631i</v>
      </c>
      <c r="BJ449" s="20">
        <f t="shared" si="405"/>
        <v>-11.610002766878466</v>
      </c>
      <c r="BK449" s="43">
        <f t="shared" si="410"/>
        <v>61.564215152668048</v>
      </c>
      <c r="BL449">
        <f t="shared" si="406"/>
        <v>-15.760028113354061</v>
      </c>
      <c r="BM449" s="43">
        <f t="shared" si="407"/>
        <v>1.6307582409962482</v>
      </c>
    </row>
    <row r="450" spans="14:65" x14ac:dyDescent="0.25">
      <c r="N450" s="9">
        <v>32</v>
      </c>
      <c r="O450" s="34">
        <f t="shared" si="408"/>
        <v>208929.61308540447</v>
      </c>
      <c r="P450" s="33" t="str">
        <f t="shared" si="360"/>
        <v>66,7780509511648</v>
      </c>
      <c r="Q450" s="4" t="str">
        <f t="shared" si="361"/>
        <v>1+5116,29939370203i</v>
      </c>
      <c r="R450" s="4">
        <f t="shared" si="373"/>
        <v>5116.2994914289138</v>
      </c>
      <c r="S450" s="4">
        <f t="shared" si="374"/>
        <v>1.5706008730283525</v>
      </c>
      <c r="T450" s="4" t="str">
        <f t="shared" si="362"/>
        <v>1+1,31274347517293i</v>
      </c>
      <c r="U450" s="4">
        <f t="shared" si="375"/>
        <v>1.6502410222779886</v>
      </c>
      <c r="V450" s="4">
        <f t="shared" si="376"/>
        <v>0.91980902045696422</v>
      </c>
      <c r="W450" t="str">
        <f t="shared" si="363"/>
        <v>1-2,85570526888445i</v>
      </c>
      <c r="X450" s="4">
        <f t="shared" si="377"/>
        <v>3.0257317433530702</v>
      </c>
      <c r="Y450" s="4">
        <f t="shared" si="378"/>
        <v>-1.2339645510306776</v>
      </c>
      <c r="Z450" t="str">
        <f t="shared" si="364"/>
        <v>0,956348416775983+0,561289850365996i</v>
      </c>
      <c r="AA450" s="4">
        <f t="shared" si="379"/>
        <v>1.108895211638057</v>
      </c>
      <c r="AB450" s="4">
        <f t="shared" si="380"/>
        <v>0.53073842963793827</v>
      </c>
      <c r="AC450" s="47" t="str">
        <f t="shared" si="381"/>
        <v>-0,043947449125674-0,0390215817881877i</v>
      </c>
      <c r="AD450" s="20">
        <f t="shared" si="382"/>
        <v>-24.616698548309142</v>
      </c>
      <c r="AE450" s="43">
        <f t="shared" si="383"/>
        <v>-138.39765938030891</v>
      </c>
      <c r="AF450" t="str">
        <f t="shared" si="365"/>
        <v>223,849857273222</v>
      </c>
      <c r="AG450" t="str">
        <f t="shared" si="366"/>
        <v>1+5182,0320775598i</v>
      </c>
      <c r="AH450">
        <f t="shared" si="384"/>
        <v>5182.0321740470445</v>
      </c>
      <c r="AI450">
        <f t="shared" si="385"/>
        <v>1.5706033523067768</v>
      </c>
      <c r="AJ450" t="str">
        <f t="shared" si="367"/>
        <v>1+1,31274347517293i</v>
      </c>
      <c r="AK450">
        <f t="shared" si="386"/>
        <v>1.6502410222779886</v>
      </c>
      <c r="AL450">
        <f t="shared" si="387"/>
        <v>0.91980902045696422</v>
      </c>
      <c r="AM450" t="str">
        <f t="shared" si="368"/>
        <v>1-0,862847815543477i</v>
      </c>
      <c r="AN450">
        <f t="shared" si="388"/>
        <v>1.3207976199206866</v>
      </c>
      <c r="AO450">
        <f t="shared" si="389"/>
        <v>-0.71190575645656784</v>
      </c>
      <c r="AP450" s="41" t="str">
        <f t="shared" si="390"/>
        <v>0,0194520606487528-0,0921230605808175i</v>
      </c>
      <c r="AQ450">
        <f t="shared" si="391"/>
        <v>-20.523192537271441</v>
      </c>
      <c r="AR450" s="43">
        <f t="shared" si="392"/>
        <v>-78.07696380206022</v>
      </c>
      <c r="AS450" t="str">
        <f t="shared" si="369"/>
        <v>-0,0000166666666666667</v>
      </c>
      <c r="AT450" t="str">
        <f t="shared" si="370"/>
        <v>0,00131668170559845i</v>
      </c>
      <c r="AU450">
        <f t="shared" si="393"/>
        <v>1.31668170559845E-3</v>
      </c>
      <c r="AV450">
        <f t="shared" si="394"/>
        <v>1.5707963267948966</v>
      </c>
      <c r="AW450" t="str">
        <f t="shared" si="371"/>
        <v>1+0,863819235906414i</v>
      </c>
      <c r="AX450">
        <f t="shared" si="395"/>
        <v>1.3214324319926241</v>
      </c>
      <c r="AY450">
        <f t="shared" si="396"/>
        <v>0.71246233439287843</v>
      </c>
      <c r="AZ450" t="str">
        <f t="shared" si="372"/>
        <v>1+288,803564538044i</v>
      </c>
      <c r="BA450">
        <f t="shared" si="397"/>
        <v>288.80529581342535</v>
      </c>
      <c r="BB450">
        <f t="shared" si="398"/>
        <v>1.5673337794915589</v>
      </c>
      <c r="BC450" s="41" t="str">
        <f t="shared" si="399"/>
        <v>-2,08727485539925+1,81568625398547i</v>
      </c>
      <c r="BD450">
        <f t="shared" si="400"/>
        <v>8.8385627866939025</v>
      </c>
      <c r="BE450" s="43">
        <f t="shared" si="401"/>
        <v>138.98052583040391</v>
      </c>
      <c r="BF450" s="41" t="str">
        <f t="shared" si="402"/>
        <v>0,162581355180539+0,00165398720917746i</v>
      </c>
      <c r="BG450" s="20">
        <f t="shared" si="403"/>
        <v>-15.778135761615255</v>
      </c>
      <c r="BH450" s="43">
        <f t="shared" si="404"/>
        <v>0.58286645009497906</v>
      </c>
      <c r="BI450" s="41" t="str">
        <f t="shared" si="409"/>
        <v>0,126664777693818+0,227604987084394i</v>
      </c>
      <c r="BJ450" s="20">
        <f t="shared" si="405"/>
        <v>-11.684629750577546</v>
      </c>
      <c r="BK450" s="43">
        <f t="shared" si="410"/>
        <v>60.903562028343671</v>
      </c>
      <c r="BL450">
        <f t="shared" si="406"/>
        <v>-15.778135761615255</v>
      </c>
      <c r="BM450" s="43">
        <f t="shared" si="407"/>
        <v>0.58286645009497906</v>
      </c>
    </row>
    <row r="451" spans="14:65" x14ac:dyDescent="0.25">
      <c r="N451" s="9">
        <v>33</v>
      </c>
      <c r="O451" s="34">
        <f t="shared" si="408"/>
        <v>213796.20895022334</v>
      </c>
      <c r="P451" s="33" t="str">
        <f t="shared" si="360"/>
        <v>66,7780509511648</v>
      </c>
      <c r="Q451" s="4" t="str">
        <f t="shared" si="361"/>
        <v>1+5235,47331598555i</v>
      </c>
      <c r="R451" s="4">
        <f t="shared" si="373"/>
        <v>5235.4734114878984</v>
      </c>
      <c r="S451" s="4">
        <f t="shared" si="374"/>
        <v>1.5706053220991443</v>
      </c>
      <c r="T451" s="4" t="str">
        <f t="shared" si="362"/>
        <v>1+1,34332119880674i</v>
      </c>
      <c r="U451" s="4">
        <f t="shared" si="375"/>
        <v>1.6746676814113231</v>
      </c>
      <c r="V451" s="4">
        <f t="shared" si="376"/>
        <v>0.93087367845703417</v>
      </c>
      <c r="W451" t="str">
        <f t="shared" si="363"/>
        <v>1-2,92222318966868i</v>
      </c>
      <c r="X451" s="4">
        <f t="shared" si="377"/>
        <v>3.0885900294855251</v>
      </c>
      <c r="Y451" s="4">
        <f t="shared" si="378"/>
        <v>-1.2410824471608839</v>
      </c>
      <c r="Z451" t="str">
        <f t="shared" si="364"/>
        <v>0,954291181038512+0,574363970517835i</v>
      </c>
      <c r="AA451" s="4">
        <f t="shared" si="379"/>
        <v>1.1138068184550185</v>
      </c>
      <c r="AB451" s="4">
        <f t="shared" si="380"/>
        <v>0.54179701015540327</v>
      </c>
      <c r="AC451" s="47" t="str">
        <f t="shared" si="381"/>
        <v>-0,0445707536882202-0,0390113375590727i</v>
      </c>
      <c r="AD451" s="20">
        <f t="shared" si="382"/>
        <v>-24.548863742009502</v>
      </c>
      <c r="AE451" s="43">
        <f t="shared" si="383"/>
        <v>-138.80539148645795</v>
      </c>
      <c r="AF451" t="str">
        <f t="shared" si="365"/>
        <v>223,849857273222</v>
      </c>
      <c r="AG451" t="str">
        <f t="shared" si="366"/>
        <v>1+5302,73711074101i</v>
      </c>
      <c r="AH451">
        <f t="shared" si="384"/>
        <v>5302.7372050319364</v>
      </c>
      <c r="AI451">
        <f t="shared" si="385"/>
        <v>1.5706077449423057</v>
      </c>
      <c r="AJ451" t="str">
        <f t="shared" si="367"/>
        <v>1+1,34332119880674i</v>
      </c>
      <c r="AK451">
        <f t="shared" si="386"/>
        <v>1.6746676814113231</v>
      </c>
      <c r="AL451">
        <f t="shared" si="387"/>
        <v>0.93087367845703417</v>
      </c>
      <c r="AM451" t="str">
        <f t="shared" si="368"/>
        <v>1-0,882946123050395i</v>
      </c>
      <c r="AN451">
        <f t="shared" si="388"/>
        <v>1.3340141889086949</v>
      </c>
      <c r="AO451">
        <f t="shared" si="389"/>
        <v>-0.72331277581642794</v>
      </c>
      <c r="AP451" s="41" t="str">
        <f t="shared" si="390"/>
        <v>0,0194516855004971-0,0922795697418171i</v>
      </c>
      <c r="AQ451">
        <f t="shared" si="391"/>
        <v>-20.509083897615458</v>
      </c>
      <c r="AR451" s="43">
        <f t="shared" si="392"/>
        <v>-78.096831342521227</v>
      </c>
      <c r="AS451" t="str">
        <f t="shared" si="369"/>
        <v>-0,0000166666666666667</v>
      </c>
      <c r="AT451" t="str">
        <f t="shared" si="370"/>
        <v>0,00134735116240316i</v>
      </c>
      <c r="AU451">
        <f t="shared" si="393"/>
        <v>1.34735116240316E-3</v>
      </c>
      <c r="AV451">
        <f t="shared" si="394"/>
        <v>1.5707963267948966</v>
      </c>
      <c r="AW451" t="str">
        <f t="shared" si="371"/>
        <v>1+0,883940170700347i</v>
      </c>
      <c r="AX451">
        <f t="shared" si="395"/>
        <v>1.3346723288424611</v>
      </c>
      <c r="AY451">
        <f t="shared" si="396"/>
        <v>0.72387108159137581</v>
      </c>
      <c r="AZ451" t="str">
        <f t="shared" si="372"/>
        <v>1+295,530663737483i</v>
      </c>
      <c r="BA451">
        <f t="shared" si="397"/>
        <v>295.53235560445364</v>
      </c>
      <c r="BB451">
        <f t="shared" si="398"/>
        <v>1.5674125960821308</v>
      </c>
      <c r="BC451" s="41" t="str">
        <f t="shared" si="399"/>
        <v>-2,0460688865231+1,82097243093317i</v>
      </c>
      <c r="BD451">
        <f t="shared" si="400"/>
        <v>8.7519665429836309</v>
      </c>
      <c r="BE451" s="43">
        <f t="shared" si="401"/>
        <v>138.33136862439369</v>
      </c>
      <c r="BF451" s="41" t="str">
        <f t="shared" si="402"/>
        <v>0,162233402559251-0,00134222969089323i</v>
      </c>
      <c r="BG451" s="20">
        <f t="shared" si="403"/>
        <v>-15.796897199025878</v>
      </c>
      <c r="BH451" s="43">
        <f t="shared" si="404"/>
        <v>-0.47402286206429817</v>
      </c>
      <c r="BI451" s="41" t="str">
        <f t="shared" si="409"/>
        <v>0,128239063945224+0,224231339542058i</v>
      </c>
      <c r="BJ451" s="20">
        <f t="shared" si="405"/>
        <v>-11.757117354631831</v>
      </c>
      <c r="BK451" s="43">
        <f t="shared" si="410"/>
        <v>60.234537281872441</v>
      </c>
      <c r="BL451">
        <f t="shared" si="406"/>
        <v>-15.796897199025878</v>
      </c>
      <c r="BM451" s="43">
        <f t="shared" si="407"/>
        <v>-0.47402286206429817</v>
      </c>
    </row>
    <row r="452" spans="14:65" x14ac:dyDescent="0.25">
      <c r="N452" s="9">
        <v>34</v>
      </c>
      <c r="O452" s="34">
        <f t="shared" si="408"/>
        <v>218776.16239495538</v>
      </c>
      <c r="P452" s="33" t="str">
        <f t="shared" si="360"/>
        <v>66,7780509511648</v>
      </c>
      <c r="Q452" s="4" t="str">
        <f t="shared" si="361"/>
        <v>1+5357,42315552089i</v>
      </c>
      <c r="R452" s="4">
        <f t="shared" si="373"/>
        <v>5357.4232488493399</v>
      </c>
      <c r="S452" s="4">
        <f t="shared" si="374"/>
        <v>1.570609669896728</v>
      </c>
      <c r="T452" s="4" t="str">
        <f t="shared" si="362"/>
        <v>1+1,37461116912112i</v>
      </c>
      <c r="U452" s="4">
        <f t="shared" si="375"/>
        <v>1.6998693674140177</v>
      </c>
      <c r="V452" s="4">
        <f t="shared" si="376"/>
        <v>0.94186550103002109</v>
      </c>
      <c r="W452" t="str">
        <f t="shared" si="363"/>
        <v>1-2,99029051186827i</v>
      </c>
      <c r="X452" s="4">
        <f t="shared" si="377"/>
        <v>3.1530679259047689</v>
      </c>
      <c r="Y452" s="4">
        <f t="shared" si="378"/>
        <v>-1.2480719874058366</v>
      </c>
      <c r="Z452" t="str">
        <f t="shared" si="364"/>
        <v>0,952136990767736+0,587742626049451i</v>
      </c>
      <c r="AA452" s="4">
        <f t="shared" si="379"/>
        <v>1.1189308484726588</v>
      </c>
      <c r="AB452" s="4">
        <f t="shared" si="380"/>
        <v>0.55303429055915643</v>
      </c>
      <c r="AC452" s="47" t="str">
        <f t="shared" si="381"/>
        <v>-0,0452114470629436-0,0389977007201391i</v>
      </c>
      <c r="AD452" s="20">
        <f t="shared" si="382"/>
        <v>-24.479531833366863</v>
      </c>
      <c r="AE452" s="43">
        <f t="shared" si="383"/>
        <v>-139.22017545143373</v>
      </c>
      <c r="AF452" t="str">
        <f t="shared" si="365"/>
        <v>223,849857273222</v>
      </c>
      <c r="AG452" t="str">
        <f t="shared" si="366"/>
        <v>1+5426,25372532837i</v>
      </c>
      <c r="AH452">
        <f t="shared" si="384"/>
        <v>5426.2538174729734</v>
      </c>
      <c r="AI452">
        <f t="shared" si="385"/>
        <v>1.5706120375892498</v>
      </c>
      <c r="AJ452" t="str">
        <f t="shared" si="367"/>
        <v>1+1,37461116912112i</v>
      </c>
      <c r="AK452">
        <f t="shared" si="386"/>
        <v>1.6998693674140177</v>
      </c>
      <c r="AL452">
        <f t="shared" si="387"/>
        <v>0.94186550103002109</v>
      </c>
      <c r="AM452" t="str">
        <f t="shared" si="368"/>
        <v>1-0,90351258027893i</v>
      </c>
      <c r="AN452">
        <f t="shared" si="388"/>
        <v>1.3477147260167079</v>
      </c>
      <c r="AO452">
        <f t="shared" si="389"/>
        <v>-0.7347523678430814</v>
      </c>
      <c r="AP452" s="41" t="str">
        <f t="shared" si="390"/>
        <v>0,019451327236693-0,0924850067457885i</v>
      </c>
      <c r="AQ452">
        <f t="shared" si="391"/>
        <v>-20.490595221018765</v>
      </c>
      <c r="AR452" s="43">
        <f t="shared" si="392"/>
        <v>-78.122732592964027</v>
      </c>
      <c r="AS452" t="str">
        <f t="shared" si="369"/>
        <v>-0,0000166666666666667</v>
      </c>
      <c r="AT452" t="str">
        <f t="shared" si="370"/>
        <v>0,00137873500262848i</v>
      </c>
      <c r="AU452">
        <f t="shared" si="393"/>
        <v>1.37873500262848E-3</v>
      </c>
      <c r="AV452">
        <f t="shared" si="394"/>
        <v>1.5707963267948966</v>
      </c>
      <c r="AW452" t="str">
        <f t="shared" si="371"/>
        <v>1+0,90452978227312i</v>
      </c>
      <c r="AX452">
        <f t="shared" si="395"/>
        <v>1.3483968729639868</v>
      </c>
      <c r="AY452">
        <f t="shared" si="396"/>
        <v>0.73531211450862877</v>
      </c>
      <c r="AZ452" t="str">
        <f t="shared" si="372"/>
        <v>1+302,414457206646i</v>
      </c>
      <c r="BA452">
        <f t="shared" si="397"/>
        <v>302.41611056223564</v>
      </c>
      <c r="BB452">
        <f t="shared" si="398"/>
        <v>1.5674896186286893</v>
      </c>
      <c r="BC452" s="41" t="str">
        <f t="shared" si="399"/>
        <v>-2,00462937954245+1,82533535188984i</v>
      </c>
      <c r="BD452">
        <f t="shared" si="400"/>
        <v>8.6631027018368716</v>
      </c>
      <c r="BE452" s="43">
        <f t="shared" si="401"/>
        <v>137.68025879181002</v>
      </c>
      <c r="BF452" s="41" t="str">
        <f t="shared" si="402"/>
        <v>0,161816076840895-0,00435011603589243i</v>
      </c>
      <c r="BG452" s="20">
        <f t="shared" si="403"/>
        <v>-15.816429131529974</v>
      </c>
      <c r="BH452" s="43">
        <f t="shared" si="404"/>
        <v>-1.5399166596237019</v>
      </c>
      <c r="BI452" s="41" t="str">
        <f t="shared" si="409"/>
        <v>0,129823450283089+0,220903356936103i</v>
      </c>
      <c r="BJ452" s="20">
        <f t="shared" si="405"/>
        <v>-11.827492519181888</v>
      </c>
      <c r="BK452" s="43">
        <f t="shared" si="410"/>
        <v>59.557526198846027</v>
      </c>
      <c r="BL452">
        <f t="shared" si="406"/>
        <v>-15.816429131529974</v>
      </c>
      <c r="BM452" s="43">
        <f t="shared" si="407"/>
        <v>-1.5399166596237019</v>
      </c>
    </row>
    <row r="453" spans="14:65" x14ac:dyDescent="0.25">
      <c r="N453" s="9">
        <v>35</v>
      </c>
      <c r="O453" s="34">
        <f t="shared" si="408"/>
        <v>223872.11385683404</v>
      </c>
      <c r="P453" s="33" t="str">
        <f t="shared" si="360"/>
        <v>66,7780509511648</v>
      </c>
      <c r="Q453" s="4" t="str">
        <f t="shared" si="361"/>
        <v>1+5482,21357172719i</v>
      </c>
      <c r="R453" s="4">
        <f t="shared" si="373"/>
        <v>5482.2136629312245</v>
      </c>
      <c r="S453" s="4">
        <f t="shared" si="374"/>
        <v>1.5706139187263628</v>
      </c>
      <c r="T453" s="4" t="str">
        <f t="shared" si="362"/>
        <v>1+1,4066299764725i</v>
      </c>
      <c r="U453" s="4">
        <f t="shared" si="375"/>
        <v>1.7258643894324452</v>
      </c>
      <c r="V453" s="4">
        <f t="shared" si="376"/>
        <v>0.95277969223132397</v>
      </c>
      <c r="W453" t="str">
        <f t="shared" si="363"/>
        <v>1-3,05994332567844i</v>
      </c>
      <c r="X453" s="4">
        <f t="shared" si="377"/>
        <v>3.2192007014729649</v>
      </c>
      <c r="Y453" s="4">
        <f t="shared" si="378"/>
        <v>-1.2549341450929286</v>
      </c>
      <c r="Z453" t="str">
        <f t="shared" si="364"/>
        <v>0,949881276637272+0,601432910501092i</v>
      </c>
      <c r="AA453" s="4">
        <f t="shared" si="379"/>
        <v>1.1242757604519757</v>
      </c>
      <c r="AB453" s="4">
        <f t="shared" si="380"/>
        <v>0.56445024275297562</v>
      </c>
      <c r="AC453" s="47" t="str">
        <f t="shared" si="381"/>
        <v>-0,0458695355040163-0,0389796229380368i</v>
      </c>
      <c r="AD453" s="20">
        <f t="shared" si="382"/>
        <v>-24.408806885935455</v>
      </c>
      <c r="AE453" s="43">
        <f t="shared" si="383"/>
        <v>-139.64234035245863</v>
      </c>
      <c r="AF453" t="str">
        <f t="shared" si="365"/>
        <v>223,849857273222</v>
      </c>
      <c r="AG453" t="str">
        <f t="shared" si="366"/>
        <v>1+5552,64741146587i</v>
      </c>
      <c r="AH453">
        <f t="shared" si="384"/>
        <v>5552.6475015130063</v>
      </c>
      <c r="AI453">
        <f t="shared" si="385"/>
        <v>1.5706162325236264</v>
      </c>
      <c r="AJ453" t="str">
        <f t="shared" si="367"/>
        <v>1+1,4066299764725i</v>
      </c>
      <c r="AK453">
        <f t="shared" si="386"/>
        <v>1.7258643894324452</v>
      </c>
      <c r="AL453">
        <f t="shared" si="387"/>
        <v>0.95277969223132397</v>
      </c>
      <c r="AM453" t="str">
        <f t="shared" si="368"/>
        <v>1-0,924558091836933i</v>
      </c>
      <c r="AN453">
        <f t="shared" si="388"/>
        <v>1.3619132370239855</v>
      </c>
      <c r="AO453">
        <f t="shared" si="389"/>
        <v>-0.74621862264647287</v>
      </c>
      <c r="AP453" s="41" t="str">
        <f t="shared" si="390"/>
        <v>0,0194509850974152-0,0927394805185757i</v>
      </c>
      <c r="AQ453">
        <f t="shared" si="391"/>
        <v>-20.467743468061848</v>
      </c>
      <c r="AR453" s="43">
        <f t="shared" si="392"/>
        <v>-78.154603859421613</v>
      </c>
      <c r="AS453" t="str">
        <f t="shared" si="369"/>
        <v>-0,0000166666666666667</v>
      </c>
      <c r="AT453" t="str">
        <f t="shared" si="370"/>
        <v>0,00141084986640191i</v>
      </c>
      <c r="AU453">
        <f t="shared" si="393"/>
        <v>1.4108498664019099E-3</v>
      </c>
      <c r="AV453">
        <f t="shared" si="394"/>
        <v>1.5707963267948966</v>
      </c>
      <c r="AW453" t="str">
        <f t="shared" si="371"/>
        <v>1+0,925598987509322i</v>
      </c>
      <c r="AX453">
        <f t="shared" si="395"/>
        <v>1.3626200811958857</v>
      </c>
      <c r="AY453">
        <f t="shared" si="396"/>
        <v>0.74677951949485966</v>
      </c>
      <c r="AZ453" t="str">
        <f t="shared" si="372"/>
        <v>1+309,45859482395i</v>
      </c>
      <c r="BA453">
        <f t="shared" si="397"/>
        <v>309.46021054477046</v>
      </c>
      <c r="BB453">
        <f t="shared" si="398"/>
        <v>1.5675648879659503</v>
      </c>
      <c r="BC453" s="41" t="str">
        <f t="shared" si="399"/>
        <v>-1,96299862110522+1,82876274682672i</v>
      </c>
      <c r="BD453">
        <f t="shared" si="400"/>
        <v>8.5719595996791647</v>
      </c>
      <c r="BE453" s="43">
        <f t="shared" si="401"/>
        <v>137.02753749948357</v>
      </c>
      <c r="BF453" s="41" t="str">
        <f t="shared" si="402"/>
        <v>0,161326317259555-0,00736755166542295i</v>
      </c>
      <c r="BG453" s="20">
        <f t="shared" si="403"/>
        <v>-15.836847286256289</v>
      </c>
      <c r="BH453" s="43">
        <f t="shared" si="404"/>
        <v>-2.6148028529750706</v>
      </c>
      <c r="BI453" s="41" t="str">
        <f t="shared" si="409"/>
        <v>0,131416250207069+0,217618709315213i</v>
      </c>
      <c r="BJ453" s="20">
        <f t="shared" si="405"/>
        <v>-11.89578386838269</v>
      </c>
      <c r="BK453" s="43">
        <f t="shared" si="410"/>
        <v>58.872933640062023</v>
      </c>
      <c r="BL453">
        <f t="shared" si="406"/>
        <v>-15.836847286256289</v>
      </c>
      <c r="BM453" s="43">
        <f t="shared" si="407"/>
        <v>-2.6148028529750706</v>
      </c>
    </row>
    <row r="454" spans="14:65" x14ac:dyDescent="0.25">
      <c r="N454" s="9">
        <v>36</v>
      </c>
      <c r="O454" s="34">
        <f t="shared" si="408"/>
        <v>229086.76527677779</v>
      </c>
      <c r="P454" s="33" t="str">
        <f t="shared" si="360"/>
        <v>66,7780509511648</v>
      </c>
      <c r="Q454" s="4" t="str">
        <f t="shared" si="361"/>
        <v>1+5609,91073013487i</v>
      </c>
      <c r="R454" s="4">
        <f t="shared" si="373"/>
        <v>5609.9108192628473</v>
      </c>
      <c r="S454" s="4">
        <f t="shared" si="374"/>
        <v>1.5706180708408337</v>
      </c>
      <c r="T454" s="4" t="str">
        <f t="shared" si="362"/>
        <v>1+1,43939459765635i</v>
      </c>
      <c r="U454" s="4">
        <f t="shared" si="375"/>
        <v>1.7526713347807927</v>
      </c>
      <c r="V454" s="4">
        <f t="shared" si="376"/>
        <v>0.96361163838045227</v>
      </c>
      <c r="W454" t="str">
        <f t="shared" si="363"/>
        <v>1-3,13121856194301i</v>
      </c>
      <c r="X454" s="4">
        <f t="shared" si="377"/>
        <v>3.2870244420533976</v>
      </c>
      <c r="Y454" s="4">
        <f t="shared" si="378"/>
        <v>-1.2616699726843486</v>
      </c>
      <c r="Z454" t="str">
        <f t="shared" si="364"/>
        <v>0,947519253975022+0,615442082642785i</v>
      </c>
      <c r="AA454" s="4">
        <f t="shared" si="379"/>
        <v>1.1298502970487156</v>
      </c>
      <c r="AB454" s="4">
        <f t="shared" si="380"/>
        <v>0.57604467238102797</v>
      </c>
      <c r="AC454" s="47" t="str">
        <f t="shared" si="381"/>
        <v>-0,0465449838942619-0,0389560353297055i</v>
      </c>
      <c r="AD454" s="20">
        <f t="shared" si="382"/>
        <v>-24.336794101167101</v>
      </c>
      <c r="AE454" s="43">
        <f t="shared" si="383"/>
        <v>-140.07219982890086</v>
      </c>
      <c r="AF454" t="str">
        <f t="shared" si="365"/>
        <v>223,849857273222</v>
      </c>
      <c r="AG454" t="str">
        <f t="shared" si="366"/>
        <v>1+5681,98518475889i</v>
      </c>
      <c r="AH454">
        <f t="shared" si="384"/>
        <v>5681.985272756302</v>
      </c>
      <c r="AI454">
        <f t="shared" si="385"/>
        <v>1.5706203319696448</v>
      </c>
      <c r="AJ454" t="str">
        <f t="shared" si="367"/>
        <v>1+1,43939459765635i</v>
      </c>
      <c r="AK454">
        <f t="shared" si="386"/>
        <v>1.7526713347807927</v>
      </c>
      <c r="AL454">
        <f t="shared" si="387"/>
        <v>0.96361163838045227</v>
      </c>
      <c r="AM454" t="str">
        <f t="shared" si="368"/>
        <v>1-0,946093816333199i</v>
      </c>
      <c r="AN454">
        <f t="shared" si="388"/>
        <v>1.3766239534832732</v>
      </c>
      <c r="AO454">
        <f t="shared" si="389"/>
        <v>-0.75770556058077465</v>
      </c>
      <c r="AP454" s="41" t="str">
        <f t="shared" si="390"/>
        <v>0,0194506583569404-0,0930431259859379i</v>
      </c>
      <c r="AQ454">
        <f t="shared" si="391"/>
        <v>-20.440549521519344</v>
      </c>
      <c r="AR454" s="43">
        <f t="shared" si="392"/>
        <v>-78.192367005283046</v>
      </c>
      <c r="AS454" t="str">
        <f t="shared" si="369"/>
        <v>-0,0000166666666666667</v>
      </c>
      <c r="AT454" t="str">
        <f t="shared" si="370"/>
        <v>0,00144371278144932i</v>
      </c>
      <c r="AU454">
        <f t="shared" si="393"/>
        <v>1.44371278144932E-3</v>
      </c>
      <c r="AV454">
        <f t="shared" si="394"/>
        <v>1.5707963267948966</v>
      </c>
      <c r="AW454" t="str">
        <f t="shared" si="371"/>
        <v>1+0,947158957580449i</v>
      </c>
      <c r="AX454">
        <f t="shared" si="395"/>
        <v>1.377356196096305</v>
      </c>
      <c r="AY454">
        <f t="shared" si="396"/>
        <v>0.75826731388632318</v>
      </c>
      <c r="AZ454" t="str">
        <f t="shared" si="372"/>
        <v>1+316,666811484397i</v>
      </c>
      <c r="BA454">
        <f t="shared" si="397"/>
        <v>316.66839042710694</v>
      </c>
      <c r="BB454">
        <f t="shared" si="398"/>
        <v>1.5676384439992994</v>
      </c>
      <c r="BC454" s="41" t="str">
        <f t="shared" si="399"/>
        <v>-1,92121969599004+1,83124475368267i</v>
      </c>
      <c r="BD454">
        <f t="shared" si="400"/>
        <v>8.4785279162419815</v>
      </c>
      <c r="BE454" s="43">
        <f t="shared" si="401"/>
        <v>136.3735498152073</v>
      </c>
      <c r="BF454" s="41" t="str">
        <f t="shared" si="402"/>
        <v>0,160761175128995-0,0103921552134974i</v>
      </c>
      <c r="BG454" s="20">
        <f t="shared" si="403"/>
        <v>-15.858266184925125</v>
      </c>
      <c r="BH454" s="43">
        <f t="shared" si="404"/>
        <v>-3.6986500136935629</v>
      </c>
      <c r="BI454" s="41" t="str">
        <f t="shared" si="409"/>
        <v>0,133015748392657+0,214375202292488i</v>
      </c>
      <c r="BJ454" s="20">
        <f t="shared" si="405"/>
        <v>-11.962021605277357</v>
      </c>
      <c r="BK454" s="43">
        <f t="shared" si="410"/>
        <v>58.18118280992433</v>
      </c>
      <c r="BL454">
        <f t="shared" si="406"/>
        <v>-15.858266184925125</v>
      </c>
      <c r="BM454" s="43">
        <f t="shared" si="407"/>
        <v>-3.6986500136935629</v>
      </c>
    </row>
    <row r="455" spans="14:65" x14ac:dyDescent="0.25">
      <c r="N455" s="9">
        <v>37</v>
      </c>
      <c r="O455" s="34">
        <f t="shared" si="408"/>
        <v>234422.88153199267</v>
      </c>
      <c r="P455" s="33" t="str">
        <f t="shared" si="360"/>
        <v>66,7780509511648</v>
      </c>
      <c r="Q455" s="4" t="str">
        <f t="shared" si="361"/>
        <v>1+5740,58233746763i</v>
      </c>
      <c r="R455" s="4">
        <f t="shared" si="373"/>
        <v>5740.5824245668064</v>
      </c>
      <c r="S455" s="4">
        <f t="shared" si="374"/>
        <v>1.5706221284416462</v>
      </c>
      <c r="T455" s="4" t="str">
        <f t="shared" si="362"/>
        <v>1+1,47292240490852i</v>
      </c>
      <c r="U455" s="4">
        <f t="shared" si="375"/>
        <v>1.780309077346262</v>
      </c>
      <c r="V455" s="4">
        <f t="shared" si="376"/>
        <v>0.97435691545417047</v>
      </c>
      <c r="W455" t="str">
        <f t="shared" si="363"/>
        <v>1-3,2041540117357i</v>
      </c>
      <c r="X455" s="4">
        <f t="shared" si="377"/>
        <v>3.3565760725659084</v>
      </c>
      <c r="Y455" s="4">
        <f t="shared" si="378"/>
        <v>-1.2682805958454757</v>
      </c>
      <c r="Z455" t="str">
        <f t="shared" si="364"/>
        <v>0,945045912614237+0,629777570323035i</v>
      </c>
      <c r="AA455" s="4">
        <f t="shared" si="379"/>
        <v>1.1356634911059091</v>
      </c>
      <c r="AB455" s="4">
        <f t="shared" si="380"/>
        <v>0.58781721375810125</v>
      </c>
      <c r="AC455" s="47" t="str">
        <f t="shared" si="381"/>
        <v>-0,0472377131920847-0,0389258501704999i</v>
      </c>
      <c r="AD455" s="20">
        <f t="shared" si="382"/>
        <v>-24.263599635061691</v>
      </c>
      <c r="AE455" s="43">
        <f t="shared" si="383"/>
        <v>-140.51005102841307</v>
      </c>
      <c r="AF455" t="str">
        <f t="shared" si="365"/>
        <v>223,849857273222</v>
      </c>
      <c r="AG455" t="str">
        <f t="shared" si="366"/>
        <v>1+5814,33562180684i</v>
      </c>
      <c r="AH455">
        <f t="shared" si="384"/>
        <v>5814.3357078011877</v>
      </c>
      <c r="AI455">
        <f t="shared" si="385"/>
        <v>1.5706243381008849</v>
      </c>
      <c r="AJ455" t="str">
        <f t="shared" si="367"/>
        <v>1+1,47292240490852i</v>
      </c>
      <c r="AK455">
        <f t="shared" si="386"/>
        <v>1.780309077346262</v>
      </c>
      <c r="AL455">
        <f t="shared" si="387"/>
        <v>0.97435691545417047</v>
      </c>
      <c r="AM455" t="str">
        <f t="shared" si="368"/>
        <v>1-0,968131172293918i</v>
      </c>
      <c r="AN455">
        <f t="shared" si="388"/>
        <v>1.3918613317307138</v>
      </c>
      <c r="AO455">
        <f t="shared" si="389"/>
        <v>-0.76920714761947784</v>
      </c>
      <c r="AP455" s="41" t="str">
        <f t="shared" si="390"/>
        <v>0,0194503463222086-0,0933961041450916i</v>
      </c>
      <c r="AQ455">
        <f t="shared" si="391"/>
        <v>-20.409038116895069</v>
      </c>
      <c r="AR455" s="43">
        <f t="shared" si="392"/>
        <v>-78.235929908692626</v>
      </c>
      <c r="AS455" t="str">
        <f t="shared" si="369"/>
        <v>-0,0000166666666666667</v>
      </c>
      <c r="AT455" t="str">
        <f t="shared" si="370"/>
        <v>0,00147734117212324i</v>
      </c>
      <c r="AU455">
        <f t="shared" si="393"/>
        <v>1.47734117212324E-3</v>
      </c>
      <c r="AV455">
        <f t="shared" si="394"/>
        <v>1.5707963267948966</v>
      </c>
      <c r="AW455" t="str">
        <f t="shared" si="371"/>
        <v>1+0,969221123868019i</v>
      </c>
      <c r="AX455">
        <f t="shared" si="395"/>
        <v>1.3926196849649892</v>
      </c>
      <c r="AY455">
        <f t="shared" si="396"/>
        <v>0.76976946139961522</v>
      </c>
      <c r="AZ455" t="str">
        <f t="shared" si="372"/>
        <v>1+324,042929079874i</v>
      </c>
      <c r="BA455">
        <f t="shared" si="397"/>
        <v>324.04447208163305</v>
      </c>
      <c r="BB455">
        <f t="shared" si="398"/>
        <v>1.5677103257259335</v>
      </c>
      <c r="BC455" s="41" t="str">
        <f t="shared" si="399"/>
        <v>-1,87933631110942+1,83277398016685i</v>
      </c>
      <c r="BD455">
        <f t="shared" si="400"/>
        <v>8.3828007135493436</v>
      </c>
      <c r="BE455" s="43">
        <f t="shared" si="401"/>
        <v>135.71864382691919</v>
      </c>
      <c r="BF455" s="41" t="str">
        <f t="shared" si="402"/>
        <v>0,160117835004023-0,0134212879548119i</v>
      </c>
      <c r="BG455" s="20">
        <f t="shared" si="403"/>
        <v>-15.880798921512341</v>
      </c>
      <c r="BH455" s="43">
        <f t="shared" si="404"/>
        <v>-4.7914072014938389</v>
      </c>
      <c r="BI455" s="41" t="str">
        <f t="shared" si="409"/>
        <v>0,134620207419097+0,211170778480606i</v>
      </c>
      <c r="BJ455" s="20">
        <f t="shared" si="405"/>
        <v>-12.026237403345711</v>
      </c>
      <c r="BK455" s="43">
        <f t="shared" si="410"/>
        <v>57.482713918226622</v>
      </c>
      <c r="BL455">
        <f t="shared" si="406"/>
        <v>-15.880798921512341</v>
      </c>
      <c r="BM455" s="43">
        <f t="shared" si="407"/>
        <v>-4.7914072014938389</v>
      </c>
    </row>
    <row r="456" spans="14:65" x14ac:dyDescent="0.25">
      <c r="N456" s="9">
        <v>38</v>
      </c>
      <c r="O456" s="34">
        <f t="shared" si="408"/>
        <v>239883.29190194907</v>
      </c>
      <c r="P456" s="33" t="str">
        <f t="shared" si="360"/>
        <v>66,7780509511648</v>
      </c>
      <c r="Q456" s="4" t="str">
        <f t="shared" si="361"/>
        <v>1+5874,29767754128i</v>
      </c>
      <c r="R456" s="4">
        <f t="shared" si="373"/>
        <v>5874.2977626578377</v>
      </c>
      <c r="S456" s="4">
        <f t="shared" si="374"/>
        <v>1.5706260936801937</v>
      </c>
      <c r="T456" s="4" t="str">
        <f t="shared" si="362"/>
        <v>1+1,5072311751162i</v>
      </c>
      <c r="U456" s="4">
        <f t="shared" si="375"/>
        <v>1.80879678660765</v>
      </c>
      <c r="V456" s="4">
        <f t="shared" si="376"/>
        <v>0.98501129548824573</v>
      </c>
      <c r="W456" t="str">
        <f t="shared" si="363"/>
        <v>1-3,2787883463974i</v>
      </c>
      <c r="X456" s="4">
        <f t="shared" si="377"/>
        <v>3.4278933793908171</v>
      </c>
      <c r="Y456" s="4">
        <f t="shared" si="378"/>
        <v>-1.2747672077020484</v>
      </c>
      <c r="Z456" t="str">
        <f t="shared" si="364"/>
        <v>0,942456006266284+0,64444697440716i</v>
      </c>
      <c r="AA456" s="4">
        <f t="shared" si="379"/>
        <v>1.1417246719634015</v>
      </c>
      <c r="AB456" s="4">
        <f t="shared" si="380"/>
        <v>0.59976732521061626</v>
      </c>
      <c r="AC456" s="47" t="str">
        <f t="shared" si="381"/>
        <v>-0,0479475979316156-0,0388879628454308i</v>
      </c>
      <c r="AD456" s="20">
        <f t="shared" si="382"/>
        <v>-24.189330410282533</v>
      </c>
      <c r="AE456" s="43">
        <f t="shared" si="383"/>
        <v>-140.95617364422679</v>
      </c>
      <c r="AF456" t="str">
        <f t="shared" si="365"/>
        <v>223,849857273222</v>
      </c>
      <c r="AG456" t="str">
        <f t="shared" si="366"/>
        <v>1+5949,76889656329i</v>
      </c>
      <c r="AH456">
        <f t="shared" si="384"/>
        <v>5949.7689806001663</v>
      </c>
      <c r="AI456">
        <f t="shared" si="385"/>
        <v>1.5706282530414504</v>
      </c>
      <c r="AJ456" t="str">
        <f t="shared" si="367"/>
        <v>1+1,5072311751162i</v>
      </c>
      <c r="AK456">
        <f t="shared" si="386"/>
        <v>1.80879678660765</v>
      </c>
      <c r="AL456">
        <f t="shared" si="387"/>
        <v>0.98501129548824573</v>
      </c>
      <c r="AM456" t="str">
        <f t="shared" si="368"/>
        <v>1-0,990681844216916i</v>
      </c>
      <c r="AN456">
        <f t="shared" si="388"/>
        <v>1.4076400521656911</v>
      </c>
      <c r="AO456">
        <f t="shared" si="389"/>
        <v>-0.78071731107778652</v>
      </c>
      <c r="AP456" s="41" t="str">
        <f t="shared" si="390"/>
        <v>0,0194500483313524-0,0937986021500745i</v>
      </c>
      <c r="AQ456">
        <f t="shared" si="391"/>
        <v>-20.373237760586576</v>
      </c>
      <c r="AR456" s="43">
        <f t="shared" si="392"/>
        <v>-78.285186996649841</v>
      </c>
      <c r="AS456" t="str">
        <f t="shared" si="369"/>
        <v>-0,0000166666666666667</v>
      </c>
      <c r="AT456" t="str">
        <f t="shared" si="370"/>
        <v>0,00151175286864155i</v>
      </c>
      <c r="AU456">
        <f t="shared" si="393"/>
        <v>1.5117528686415501E-3</v>
      </c>
      <c r="AV456">
        <f t="shared" si="394"/>
        <v>1.5707963267948966</v>
      </c>
      <c r="AW456" t="str">
        <f t="shared" si="371"/>
        <v>1+0,991797184024618i</v>
      </c>
      <c r="AX456">
        <f t="shared" si="395"/>
        <v>1.4084252391373715</v>
      </c>
      <c r="AY456">
        <f t="shared" si="396"/>
        <v>0.78127988786852454</v>
      </c>
      <c r="AZ456" t="str">
        <f t="shared" si="372"/>
        <v>1+331,590858525564i</v>
      </c>
      <c r="BA456">
        <f t="shared" si="397"/>
        <v>331.59236640447654</v>
      </c>
      <c r="BB456">
        <f t="shared" si="398"/>
        <v>1.5677805712555224</v>
      </c>
      <c r="BC456" s="41" t="str">
        <f t="shared" si="399"/>
        <v>-1,83739261398602+1,83334555014387i</v>
      </c>
      <c r="BD456">
        <f t="shared" si="400"/>
        <v>8.2847734650881524</v>
      </c>
      <c r="BE456" s="43">
        <f t="shared" si="401"/>
        <v>135.06316974222983</v>
      </c>
      <c r="BF456" s="41" t="str">
        <f t="shared" si="402"/>
        <v>0,159393635934753-0,0164520596028576i</v>
      </c>
      <c r="BG456" s="20">
        <f t="shared" si="403"/>
        <v>-15.904556945194358</v>
      </c>
      <c r="BH456" s="43">
        <f t="shared" si="404"/>
        <v>-5.8930039019969325</v>
      </c>
      <c r="BI456" s="41" t="str">
        <f t="shared" si="409"/>
        <v>0,136227874715856+0,208003518351128i</v>
      </c>
      <c r="BJ456" s="20">
        <f t="shared" si="405"/>
        <v>-12.088464295498436</v>
      </c>
      <c r="BK456" s="43">
        <f t="shared" si="410"/>
        <v>56.777982745580047</v>
      </c>
      <c r="BL456">
        <f t="shared" si="406"/>
        <v>-15.904556945194358</v>
      </c>
      <c r="BM456" s="43">
        <f t="shared" si="407"/>
        <v>-5.8930039019969325</v>
      </c>
    </row>
    <row r="457" spans="14:65" x14ac:dyDescent="0.25">
      <c r="N457" s="9">
        <v>39</v>
      </c>
      <c r="O457" s="34">
        <f t="shared" si="408"/>
        <v>245470.89156850305</v>
      </c>
      <c r="P457" s="33" t="str">
        <f t="shared" si="360"/>
        <v>66,7780509511648</v>
      </c>
      <c r="Q457" s="4" t="str">
        <f t="shared" si="361"/>
        <v>1+6011,12764799909i</v>
      </c>
      <c r="R457" s="4">
        <f t="shared" si="373"/>
        <v>6011.1277311781587</v>
      </c>
      <c r="S457" s="4">
        <f t="shared" si="374"/>
        <v>1.5706299686588974</v>
      </c>
      <c r="T457" s="4" t="str">
        <f t="shared" si="362"/>
        <v>1+1,54233909924349i</v>
      </c>
      <c r="U457" s="4">
        <f t="shared" si="375"/>
        <v>1.8381539372574922</v>
      </c>
      <c r="V457" s="4">
        <f t="shared" si="376"/>
        <v>0.9955707519855812</v>
      </c>
      <c r="W457" t="str">
        <f t="shared" si="363"/>
        <v>1-3,35516113804026i</v>
      </c>
      <c r="X457" s="4">
        <f t="shared" si="377"/>
        <v>3.5010150331319076</v>
      </c>
      <c r="Y457" s="4">
        <f t="shared" si="378"/>
        <v>-1.2811310632944495</v>
      </c>
      <c r="Z457" t="str">
        <f t="shared" si="364"/>
        <v>0,939744041392565+0,65945807280738i</v>
      </c>
      <c r="AA457" s="4">
        <f t="shared" si="379"/>
        <v>1.1480434717917498</v>
      </c>
      <c r="AB457" s="4">
        <f t="shared" si="380"/>
        <v>0.61189428488178421</v>
      </c>
      <c r="AC457" s="47" t="str">
        <f t="shared" si="381"/>
        <v>-0,0486744637989226-0,0388412540468057i</v>
      </c>
      <c r="AD457" s="20">
        <f t="shared" si="382"/>
        <v>-24.114093924451893</v>
      </c>
      <c r="AE457" s="43">
        <f t="shared" si="383"/>
        <v>-141.41082904726147</v>
      </c>
      <c r="AF457" t="str">
        <f t="shared" si="365"/>
        <v>223,849857273222</v>
      </c>
      <c r="AG457" t="str">
        <f t="shared" si="366"/>
        <v>1+6088,3568175432i</v>
      </c>
      <c r="AH457">
        <f t="shared" si="384"/>
        <v>6088.3568996671638</v>
      </c>
      <c r="AI457">
        <f t="shared" si="385"/>
        <v>1.5706320788670936</v>
      </c>
      <c r="AJ457" t="str">
        <f t="shared" si="367"/>
        <v>1+1,54233909924349i</v>
      </c>
      <c r="AK457">
        <f t="shared" si="386"/>
        <v>1.8381539372574922</v>
      </c>
      <c r="AL457">
        <f t="shared" si="387"/>
        <v>0.9955707519855812</v>
      </c>
      <c r="AM457" t="str">
        <f t="shared" si="368"/>
        <v>1-1,01375778876694i</v>
      </c>
      <c r="AN457">
        <f t="shared" si="388"/>
        <v>1.4239750188418461</v>
      </c>
      <c r="AO457">
        <f t="shared" si="389"/>
        <v>-0.79222995558326181</v>
      </c>
      <c r="AP457" s="41" t="str">
        <f t="shared" si="390"/>
        <v>0,0194497637522932-0,0942508334109789i</v>
      </c>
      <c r="AQ457">
        <f t="shared" si="391"/>
        <v>-20.333180636178078</v>
      </c>
      <c r="AR457" s="43">
        <f t="shared" si="392"/>
        <v>-78.340019850261299</v>
      </c>
      <c r="AS457" t="str">
        <f t="shared" si="369"/>
        <v>-0,0000166666666666667</v>
      </c>
      <c r="AT457" t="str">
        <f t="shared" si="370"/>
        <v>0,00154696611654122i</v>
      </c>
      <c r="AU457">
        <f t="shared" si="393"/>
        <v>1.5469661165412199E-3</v>
      </c>
      <c r="AV457">
        <f t="shared" si="394"/>
        <v>1.5707963267948966</v>
      </c>
      <c r="AW457" t="str">
        <f t="shared" si="371"/>
        <v>1+1,01489910817617i</v>
      </c>
      <c r="AX457">
        <f t="shared" si="395"/>
        <v>1.4247877735918375</v>
      </c>
      <c r="AY457">
        <f t="shared" si="396"/>
        <v>0.79279249722421519</v>
      </c>
      <c r="AZ457" t="str">
        <f t="shared" si="372"/>
        <v>1+339,314601833568i</v>
      </c>
      <c r="BA457">
        <f t="shared" si="397"/>
        <v>339.31607538911675</v>
      </c>
      <c r="BB457">
        <f t="shared" si="398"/>
        <v>1.5678492178304011</v>
      </c>
      <c r="BC457" s="41" t="str">
        <f t="shared" si="399"/>
        <v>-1,79543300729082+1,83295713404949i</v>
      </c>
      <c r="BD457">
        <f t="shared" si="400"/>
        <v>8.1844440749034337</v>
      </c>
      <c r="BE457" s="43">
        <f t="shared" si="401"/>
        <v>134.4074789739845</v>
      </c>
      <c r="BF457" s="41" t="str">
        <f t="shared" si="402"/>
        <v>0,158586092617289-0,0194813361060657i</v>
      </c>
      <c r="BG457" s="20">
        <f t="shared" si="403"/>
        <v>-15.929649849548451</v>
      </c>
      <c r="BH457" s="43">
        <f t="shared" si="404"/>
        <v>-7.0033500732769696</v>
      </c>
      <c r="BI457" s="41" t="str">
        <f t="shared" si="409"/>
        <v>0,137836989665888+0,204871640496083i</v>
      </c>
      <c r="BJ457" s="20">
        <f t="shared" si="405"/>
        <v>-12.148736561274644</v>
      </c>
      <c r="BK457" s="43">
        <f t="shared" si="410"/>
        <v>56.067459123723218</v>
      </c>
      <c r="BL457">
        <f t="shared" si="406"/>
        <v>-15.929649849548451</v>
      </c>
      <c r="BM457" s="43">
        <f t="shared" si="407"/>
        <v>-7.0033500732769696</v>
      </c>
    </row>
    <row r="458" spans="14:65" x14ac:dyDescent="0.25">
      <c r="N458" s="9">
        <v>40</v>
      </c>
      <c r="O458" s="34">
        <f t="shared" si="408"/>
        <v>251188.64315095844</v>
      </c>
      <c r="P458" s="33" t="str">
        <f t="shared" si="360"/>
        <v>66,7780509511648</v>
      </c>
      <c r="Q458" s="4" t="str">
        <f t="shared" si="361"/>
        <v>1+6151,14479790258i</v>
      </c>
      <c r="R458" s="4">
        <f t="shared" si="373"/>
        <v>6151.1448791882622</v>
      </c>
      <c r="S458" s="4">
        <f t="shared" si="374"/>
        <v>1.5706337554323218</v>
      </c>
      <c r="T458" s="4" t="str">
        <f t="shared" si="362"/>
        <v>1+1,57826479197648i</v>
      </c>
      <c r="U458" s="4">
        <f t="shared" si="375"/>
        <v>1.8684003194156658</v>
      </c>
      <c r="V458" s="4">
        <f t="shared" si="376"/>
        <v>1.0060314643368555</v>
      </c>
      <c r="W458" t="str">
        <f t="shared" si="363"/>
        <v>1-3,43331288052933i</v>
      </c>
      <c r="X458" s="4">
        <f t="shared" si="377"/>
        <v>3.5759806117495385</v>
      </c>
      <c r="Y458" s="4">
        <f t="shared" si="378"/>
        <v>-1.2873734742355416</v>
      </c>
      <c r="Z458" t="str">
        <f t="shared" si="364"/>
        <v>0,93690426555198+0,674818824606766i</v>
      </c>
      <c r="AA458" s="4">
        <f t="shared" si="379"/>
        <v>1.1546298319605086</v>
      </c>
      <c r="AB458" s="4">
        <f t="shared" si="380"/>
        <v>0.62419718705448646</v>
      </c>
      <c r="AC458" s="47" t="str">
        <f t="shared" si="381"/>
        <v>-0,049418085308304-0,0387845922193278i</v>
      </c>
      <c r="AD458" s="20">
        <f t="shared" si="382"/>
        <v>-24.03799805537691</v>
      </c>
      <c r="AE458" s="43">
        <f t="shared" si="383"/>
        <v>-141.8742595161373</v>
      </c>
      <c r="AF458" t="str">
        <f t="shared" si="365"/>
        <v>223,849857273222</v>
      </c>
      <c r="AG458" t="str">
        <f t="shared" si="366"/>
        <v>1+6230,17286589673i</v>
      </c>
      <c r="AH458">
        <f t="shared" si="384"/>
        <v>6230.172946151325</v>
      </c>
      <c r="AI458">
        <f t="shared" si="385"/>
        <v>1.5706358176063175</v>
      </c>
      <c r="AJ458" t="str">
        <f t="shared" si="367"/>
        <v>1+1,57826479197648i</v>
      </c>
      <c r="AK458">
        <f t="shared" si="386"/>
        <v>1.8684003194156658</v>
      </c>
      <c r="AL458">
        <f t="shared" si="387"/>
        <v>1.0060314643368555</v>
      </c>
      <c r="AM458" t="str">
        <f t="shared" si="368"/>
        <v>1-1,03737124111525i</v>
      </c>
      <c r="AN458">
        <f t="shared" si="388"/>
        <v>1.4408813594092313</v>
      </c>
      <c r="AO458">
        <f t="shared" si="389"/>
        <v>-0.80373897919266457</v>
      </c>
      <c r="AP458" s="41" t="str">
        <f t="shared" si="390"/>
        <v>0,0194494919814009-0,0947530377071071i</v>
      </c>
      <c r="AQ458">
        <f t="shared" si="391"/>
        <v>-20.288902499430932</v>
      </c>
      <c r="AR458" s="43">
        <f t="shared" si="392"/>
        <v>-78.400297874946261</v>
      </c>
      <c r="AS458" t="str">
        <f t="shared" si="369"/>
        <v>-0,0000166666666666667</v>
      </c>
      <c r="AT458" t="str">
        <f t="shared" si="370"/>
        <v>0,00158299958635241i</v>
      </c>
      <c r="AU458">
        <f t="shared" si="393"/>
        <v>1.5829995863524101E-3</v>
      </c>
      <c r="AV458">
        <f t="shared" si="394"/>
        <v>1.5707963267948966</v>
      </c>
      <c r="AW458" t="str">
        <f t="shared" si="371"/>
        <v>1+1,03853914526867i</v>
      </c>
      <c r="AX458">
        <f t="shared" si="395"/>
        <v>1.4417224269100415</v>
      </c>
      <c r="AY458">
        <f t="shared" si="396"/>
        <v>0.80430118761656566</v>
      </c>
      <c r="AZ458" t="str">
        <f t="shared" si="372"/>
        <v>1+347,218254234825i</v>
      </c>
      <c r="BA458">
        <f t="shared" si="397"/>
        <v>347.21969424829518</v>
      </c>
      <c r="BB458">
        <f t="shared" si="398"/>
        <v>1.5679163018453033</v>
      </c>
      <c r="BC458" s="41" t="str">
        <f t="shared" si="399"/>
        <v>-1,75350196109112+1,83160896297227i</v>
      </c>
      <c r="BD458">
        <f t="shared" si="400"/>
        <v>8.0818128864453751</v>
      </c>
      <c r="BE458" s="43">
        <f t="shared" si="401"/>
        <v>133.75192321770697</v>
      </c>
      <c r="BF458" s="41" t="str">
        <f t="shared" si="402"/>
        <v>0,157692916235625-0,0225057494669072i</v>
      </c>
      <c r="BG458" s="20">
        <f t="shared" si="403"/>
        <v>-15.956185168931514</v>
      </c>
      <c r="BH458" s="43">
        <f t="shared" si="404"/>
        <v>-8.1223362984303495</v>
      </c>
      <c r="BI458" s="41" t="str">
        <f t="shared" si="409"/>
        <v>0,139445790801574+0,201773501277144i</v>
      </c>
      <c r="BJ458" s="20">
        <f t="shared" si="405"/>
        <v>-12.207089612985575</v>
      </c>
      <c r="BK458" s="43">
        <f t="shared" si="410"/>
        <v>55.351625342760727</v>
      </c>
      <c r="BL458">
        <f t="shared" si="406"/>
        <v>-15.956185168931514</v>
      </c>
      <c r="BM458" s="43">
        <f t="shared" si="407"/>
        <v>-8.1223362984303495</v>
      </c>
    </row>
    <row r="459" spans="14:65" x14ac:dyDescent="0.25">
      <c r="N459" s="9">
        <v>41</v>
      </c>
      <c r="O459" s="34">
        <f t="shared" si="408"/>
        <v>257039.57827688678</v>
      </c>
      <c r="P459" s="33" t="str">
        <f t="shared" si="360"/>
        <v>66,7780509511648</v>
      </c>
      <c r="Q459" s="4" t="str">
        <f t="shared" si="361"/>
        <v>1+6294,42336619791i</v>
      </c>
      <c r="R459" s="4">
        <f t="shared" si="373"/>
        <v>6294.4234456333033</v>
      </c>
      <c r="S459" s="4">
        <f t="shared" si="374"/>
        <v>1.5706374560082639</v>
      </c>
      <c r="T459" s="4" t="str">
        <f t="shared" si="362"/>
        <v>1+1,61502730159297i</v>
      </c>
      <c r="U459" s="4">
        <f t="shared" si="375"/>
        <v>1.8995560494206718</v>
      </c>
      <c r="V459" s="4">
        <f t="shared" si="376"/>
        <v>1.0163898212677382</v>
      </c>
      <c r="W459" t="str">
        <f t="shared" si="363"/>
        <v>1-3,5132850109529i</v>
      </c>
      <c r="X459" s="4">
        <f t="shared" si="377"/>
        <v>3.6528306240758441</v>
      </c>
      <c r="Y459" s="4">
        <f t="shared" si="378"/>
        <v>-1.2934958035767781</v>
      </c>
      <c r="Z459" t="str">
        <f t="shared" si="364"/>
        <v>0,93393065519924+0,690537374279237i</v>
      </c>
      <c r="AA459" s="4">
        <f t="shared" si="379"/>
        <v>1.161494009453921</v>
      </c>
      <c r="AB459" s="4">
        <f t="shared" si="380"/>
        <v>0.63667493904516581</v>
      </c>
      <c r="AC459" s="47" t="str">
        <f t="shared" si="381"/>
        <v>-0,0501781836036346-0,0387168362512621i</v>
      </c>
      <c r="AD459" s="20">
        <f t="shared" si="382"/>
        <v>-23.96115086398617</v>
      </c>
      <c r="AE459" s="43">
        <f t="shared" si="383"/>
        <v>-142.34668756760982</v>
      </c>
      <c r="AF459" t="str">
        <f t="shared" si="365"/>
        <v>223,849857273222</v>
      </c>
      <c r="AG459" t="str">
        <f t="shared" si="366"/>
        <v>1+6375,29223436981i</v>
      </c>
      <c r="AH459">
        <f t="shared" si="384"/>
        <v>6375.2923127975873</v>
      </c>
      <c r="AI459">
        <f t="shared" si="385"/>
        <v>1.5706394712414511</v>
      </c>
      <c r="AJ459" t="str">
        <f t="shared" si="367"/>
        <v>1+1,61502730159297i</v>
      </c>
      <c r="AK459">
        <f t="shared" si="386"/>
        <v>1.8995560494206718</v>
      </c>
      <c r="AL459">
        <f t="shared" si="387"/>
        <v>1.0163898212677382</v>
      </c>
      <c r="AM459" t="str">
        <f t="shared" si="368"/>
        <v>1-1,06153472142682i</v>
      </c>
      <c r="AN459">
        <f t="shared" si="388"/>
        <v>1.4583744254459199</v>
      </c>
      <c r="AO459">
        <f t="shared" si="389"/>
        <v>-0.81523828955118316</v>
      </c>
      <c r="AP459" s="41" t="str">
        <f t="shared" si="390"/>
        <v>0,019449232442213-0,0953054813141044i</v>
      </c>
      <c r="AQ459">
        <f t="shared" si="391"/>
        <v>-20.240442562606841</v>
      </c>
      <c r="AR459" s="43">
        <f t="shared" si="392"/>
        <v>-78.465879028843887</v>
      </c>
      <c r="AS459" t="str">
        <f t="shared" si="369"/>
        <v>-0,0000166666666666667</v>
      </c>
      <c r="AT459" t="str">
        <f t="shared" si="370"/>
        <v>0,00161987238349775i</v>
      </c>
      <c r="AU459">
        <f t="shared" si="393"/>
        <v>1.6198723834977499E-3</v>
      </c>
      <c r="AV459">
        <f t="shared" si="394"/>
        <v>1.5707963267948966</v>
      </c>
      <c r="AW459" t="str">
        <f t="shared" si="371"/>
        <v>1+1,06272982956267i</v>
      </c>
      <c r="AX459">
        <f t="shared" si="395"/>
        <v>1.4592445616284822</v>
      </c>
      <c r="AY459">
        <f t="shared" si="396"/>
        <v>0.81579986757278578</v>
      </c>
      <c r="AZ459" t="str">
        <f t="shared" si="372"/>
        <v>1+355,306006350453i</v>
      </c>
      <c r="BA459">
        <f t="shared" si="397"/>
        <v>355.30741358534601</v>
      </c>
      <c r="BB459">
        <f t="shared" si="398"/>
        <v>1.5679818588666445</v>
      </c>
      <c r="BC459" s="41" t="str">
        <f t="shared" si="399"/>
        <v>-1,71164382449312+1,8293038262318i</v>
      </c>
      <c r="BD459">
        <f t="shared" si="400"/>
        <v>7.9768826810916185</v>
      </c>
      <c r="BE459" s="43">
        <f t="shared" si="401"/>
        <v>133.09685352688402</v>
      </c>
      <c r="BF459" s="41" t="str">
        <f t="shared" si="402"/>
        <v>0,156712034783467-0,0255217095861064i</v>
      </c>
      <c r="BG459" s="20">
        <f t="shared" si="403"/>
        <v>-15.984268182894548</v>
      </c>
      <c r="BH459" s="43">
        <f t="shared" si="404"/>
        <v>-9.2498340407258084</v>
      </c>
      <c r="BI459" s="41" t="str">
        <f t="shared" si="409"/>
        <v>0,141052523027909+0,198707593855443i</v>
      </c>
      <c r="BJ459" s="20">
        <f t="shared" si="405"/>
        <v>-12.263559881515238</v>
      </c>
      <c r="BK459" s="43">
        <f t="shared" si="410"/>
        <v>54.630974498040175</v>
      </c>
      <c r="BL459">
        <f t="shared" si="406"/>
        <v>-15.984268182894548</v>
      </c>
      <c r="BM459" s="43">
        <f t="shared" si="407"/>
        <v>-9.2498340407258084</v>
      </c>
    </row>
    <row r="460" spans="14:65" x14ac:dyDescent="0.25">
      <c r="N460" s="9">
        <v>42</v>
      </c>
      <c r="O460" s="34">
        <f t="shared" si="408"/>
        <v>263026.79918953858</v>
      </c>
      <c r="P460" s="33" t="str">
        <f t="shared" si="360"/>
        <v>66,7780509511648</v>
      </c>
      <c r="Q460" s="4" t="str">
        <f t="shared" si="361"/>
        <v>1+6441,03932107855i</v>
      </c>
      <c r="R460" s="4">
        <f t="shared" si="373"/>
        <v>6441.0393987057732</v>
      </c>
      <c r="S460" s="4">
        <f t="shared" si="374"/>
        <v>1.570641072348818</v>
      </c>
      <c r="T460" s="4" t="str">
        <f t="shared" si="362"/>
        <v>1+1,65264612006218i</v>
      </c>
      <c r="U460" s="4">
        <f t="shared" si="375"/>
        <v>1.9316415811833669</v>
      </c>
      <c r="V460" s="4">
        <f t="shared" si="376"/>
        <v>1.0266424233340912</v>
      </c>
      <c r="W460" t="str">
        <f t="shared" si="363"/>
        <v>1-3,59511993159311i</v>
      </c>
      <c r="X460" s="4">
        <f t="shared" si="377"/>
        <v>3.7316065337248578</v>
      </c>
      <c r="Y460" s="4">
        <f t="shared" si="378"/>
        <v>-1.2994994608857493</v>
      </c>
      <c r="Z460" t="str">
        <f t="shared" si="364"/>
        <v>0,930816902908107+0,706622056007895i</v>
      </c>
      <c r="AA460" s="4">
        <f t="shared" si="379"/>
        <v>1.1686465833502724</v>
      </c>
      <c r="AB460" s="4">
        <f t="shared" si="380"/>
        <v>0.64932625872116845</v>
      </c>
      <c r="AC460" s="47" t="str">
        <f t="shared" si="381"/>
        <v>-0,0509544244104416-0,0386368384076204i</v>
      </c>
      <c r="AD460" s="20">
        <f t="shared" si="382"/>
        <v>-23.883660395782847</v>
      </c>
      <c r="AE460" s="43">
        <f t="shared" si="383"/>
        <v>-142.82831538938439</v>
      </c>
      <c r="AF460" t="str">
        <f t="shared" si="365"/>
        <v>223,849857273222</v>
      </c>
      <c r="AG460" t="str">
        <f t="shared" si="366"/>
        <v>1+6523,79186717253i</v>
      </c>
      <c r="AH460">
        <f t="shared" si="384"/>
        <v>6523.7919438150739</v>
      </c>
      <c r="AI460">
        <f t="shared" si="385"/>
        <v>1.5706430417096995</v>
      </c>
      <c r="AJ460" t="str">
        <f t="shared" si="367"/>
        <v>1+1,65264612006218i</v>
      </c>
      <c r="AK460">
        <f t="shared" si="386"/>
        <v>1.9316415811833669</v>
      </c>
      <c r="AL460">
        <f t="shared" si="387"/>
        <v>1.0266424233340912</v>
      </c>
      <c r="AM460" t="str">
        <f t="shared" si="368"/>
        <v>1-1,08626104149876i</v>
      </c>
      <c r="AN460">
        <f t="shared" si="388"/>
        <v>1.4764697932155506</v>
      </c>
      <c r="AO460">
        <f t="shared" si="389"/>
        <v>-0.82672181998983596</v>
      </c>
      <c r="AP460" s="41" t="str">
        <f t="shared" si="390"/>
        <v>0,0194489845842125-0,0959084571451456i</v>
      </c>
      <c r="AQ460">
        <f t="shared" si="391"/>
        <v>-20.187843368818129</v>
      </c>
      <c r="AR460" s="43">
        <f t="shared" si="392"/>
        <v>-78.53661060222106</v>
      </c>
      <c r="AS460" t="str">
        <f t="shared" si="369"/>
        <v>-0,0000166666666666667</v>
      </c>
      <c r="AT460" t="str">
        <f t="shared" si="370"/>
        <v>0,00165760405842237i</v>
      </c>
      <c r="AU460">
        <f t="shared" si="393"/>
        <v>1.65760405842237E-3</v>
      </c>
      <c r="AV460">
        <f t="shared" si="394"/>
        <v>1.5707963267948966</v>
      </c>
      <c r="AW460" t="str">
        <f t="shared" si="371"/>
        <v>1+1,0874839872792i</v>
      </c>
      <c r="AX460">
        <f t="shared" si="395"/>
        <v>1.477369765017772</v>
      </c>
      <c r="AY460">
        <f t="shared" si="396"/>
        <v>0.82728247208914285</v>
      </c>
      <c r="AZ460" t="str">
        <f t="shared" si="372"/>
        <v>1+363,582146413679i</v>
      </c>
      <c r="BA460">
        <f t="shared" si="397"/>
        <v>363.58352161611776</v>
      </c>
      <c r="BB460">
        <f t="shared" si="398"/>
        <v>1.5680459236513702</v>
      </c>
      <c r="BC460" s="41" t="str">
        <f t="shared" si="399"/>
        <v>-1,6699026383712+1,82604705248109i</v>
      </c>
      <c r="BD460">
        <f t="shared" si="400"/>
        <v>7.8696586663541783</v>
      </c>
      <c r="BE460" s="43">
        <f t="shared" si="401"/>
        <v>132.44261939205907</v>
      </c>
      <c r="BF460" s="41" t="str">
        <f t="shared" si="402"/>
        <v>0,155641612651106-0,0285254181103504i</v>
      </c>
      <c r="BG460" s="20">
        <f t="shared" si="403"/>
        <v>-16.014001729428649</v>
      </c>
      <c r="BH460" s="43">
        <f t="shared" si="404"/>
        <v>-10.385695997325316</v>
      </c>
      <c r="BI460" s="41" t="str">
        <f t="shared" si="409"/>
        <v>0,142655444807085+0,195672546602541i</v>
      </c>
      <c r="BJ460" s="20">
        <f t="shared" si="405"/>
        <v>-12.318184702463952</v>
      </c>
      <c r="BK460" s="43">
        <f t="shared" si="410"/>
        <v>53.906008789837948</v>
      </c>
      <c r="BL460">
        <f t="shared" si="406"/>
        <v>-16.014001729428649</v>
      </c>
      <c r="BM460" s="43">
        <f t="shared" si="407"/>
        <v>-10.385695997325316</v>
      </c>
    </row>
    <row r="461" spans="14:65" x14ac:dyDescent="0.25">
      <c r="N461" s="9">
        <v>43</v>
      </c>
      <c r="O461" s="34">
        <f t="shared" si="408"/>
        <v>269153.48039269145</v>
      </c>
      <c r="P461" s="33" t="str">
        <f t="shared" si="360"/>
        <v>66,7780509511648</v>
      </c>
      <c r="Q461" s="4" t="str">
        <f t="shared" si="361"/>
        <v>1+6591,07040026448i</v>
      </c>
      <c r="R461" s="4">
        <f t="shared" si="373"/>
        <v>6591.0704761246916</v>
      </c>
      <c r="S461" s="4">
        <f t="shared" si="374"/>
        <v>1.5706446063714148</v>
      </c>
      <c r="T461" s="4" t="str">
        <f t="shared" si="362"/>
        <v>1+1,69114119337961i</v>
      </c>
      <c r="U461" s="4">
        <f t="shared" si="375"/>
        <v>1.9646777180864581</v>
      </c>
      <c r="V461" s="4">
        <f t="shared" si="376"/>
        <v>1.0367860844931573</v>
      </c>
      <c r="W461" t="str">
        <f t="shared" si="363"/>
        <v>1-3,6788610324081i</v>
      </c>
      <c r="X461" s="4">
        <f t="shared" si="377"/>
        <v>3.8123507834105181</v>
      </c>
      <c r="Y461" s="4">
        <f t="shared" si="378"/>
        <v>-1.3053858975368495</v>
      </c>
      <c r="Z461" t="str">
        <f t="shared" si="364"/>
        <v>0,927556403992501+0,723081398103899i</v>
      </c>
      <c r="AA461" s="4">
        <f t="shared" si="379"/>
        <v>1.1760984613846706</v>
      </c>
      <c r="AB461" s="4">
        <f t="shared" si="380"/>
        <v>0.66214967269225999</v>
      </c>
      <c r="AC461" s="47" t="str">
        <f t="shared" si="381"/>
        <v>-0,0517464161647908-0,0385434474984784i</v>
      </c>
      <c r="AD461" s="20">
        <f t="shared" si="382"/>
        <v>-23.805634481642343</v>
      </c>
      <c r="AE461" s="43">
        <f t="shared" si="383"/>
        <v>-143.31932437671045</v>
      </c>
      <c r="AF461" t="str">
        <f t="shared" si="365"/>
        <v>223,849857273222</v>
      </c>
      <c r="AG461" t="str">
        <f t="shared" si="366"/>
        <v>1+6675,75050077584i</v>
      </c>
      <c r="AH461">
        <f t="shared" si="384"/>
        <v>6675.7505756737855</v>
      </c>
      <c r="AI461">
        <f t="shared" si="385"/>
        <v>1.5706465309041717</v>
      </c>
      <c r="AJ461" t="str">
        <f t="shared" si="367"/>
        <v>1+1,69114119337961i</v>
      </c>
      <c r="AK461">
        <f t="shared" si="386"/>
        <v>1.9646777180864581</v>
      </c>
      <c r="AL461">
        <f t="shared" si="387"/>
        <v>1.0367860844931573</v>
      </c>
      <c r="AM461" t="str">
        <f t="shared" si="368"/>
        <v>1-1,11156331155328i</v>
      </c>
      <c r="AN461">
        <f t="shared" si="388"/>
        <v>1.4951832648847079</v>
      </c>
      <c r="AO461">
        <f t="shared" si="389"/>
        <v>-0.83818354545739671</v>
      </c>
      <c r="AP461" s="41" t="str">
        <f t="shared" si="390"/>
        <v>0,0194487478816587-0,0965622849062436i</v>
      </c>
      <c r="AQ461">
        <f t="shared" si="391"/>
        <v>-20.131150657155494</v>
      </c>
      <c r="AR461" s="43">
        <f t="shared" si="392"/>
        <v>-78.612330040341845</v>
      </c>
      <c r="AS461" t="str">
        <f t="shared" si="369"/>
        <v>-0,0000166666666666667</v>
      </c>
      <c r="AT461" t="str">
        <f t="shared" si="370"/>
        <v>0,00169621461695975i</v>
      </c>
      <c r="AU461">
        <f t="shared" si="393"/>
        <v>1.6962146169597499E-3</v>
      </c>
      <c r="AV461">
        <f t="shared" si="394"/>
        <v>1.5707963267948966</v>
      </c>
      <c r="AW461" t="str">
        <f t="shared" si="371"/>
        <v>1+1,11281474340034i</v>
      </c>
      <c r="AX461">
        <f t="shared" si="395"/>
        <v>1.4961138503232849</v>
      </c>
      <c r="AY461">
        <f t="shared" si="396"/>
        <v>0.83874297855215951</v>
      </c>
      <c r="AZ461" t="str">
        <f t="shared" si="372"/>
        <v>1+372,051062543514i</v>
      </c>
      <c r="BA461">
        <f t="shared" si="397"/>
        <v>372.05240644263779</v>
      </c>
      <c r="BB461">
        <f t="shared" si="398"/>
        <v>1.5681085301653725</v>
      </c>
      <c r="BC461" s="41" t="str">
        <f t="shared" si="399"/>
        <v>-1,62832195086116+1,82184647455939i</v>
      </c>
      <c r="BD461">
        <f t="shared" si="400"/>
        <v>7.7601484538805741</v>
      </c>
      <c r="BE461" s="43">
        <f t="shared" si="401"/>
        <v>131.78956782966824</v>
      </c>
      <c r="BF461" s="41" t="str">
        <f t="shared" si="402"/>
        <v>0,154480069261993-0,0315128842372701i</v>
      </c>
      <c r="BG461" s="20">
        <f t="shared" si="403"/>
        <v>-16.04548602776179</v>
      </c>
      <c r="BH461" s="43">
        <f t="shared" si="404"/>
        <v>-11.529756547042236</v>
      </c>
      <c r="BI461" s="41" t="str">
        <f t="shared" si="409"/>
        <v>0,14425283523937+0,19266712090094i</v>
      </c>
      <c r="BJ461" s="20">
        <f t="shared" si="405"/>
        <v>-12.371002203274916</v>
      </c>
      <c r="BK461" s="43">
        <f t="shared" si="410"/>
        <v>53.177237789326398</v>
      </c>
      <c r="BL461">
        <f t="shared" si="406"/>
        <v>-16.04548602776179</v>
      </c>
      <c r="BM461" s="43">
        <f t="shared" si="407"/>
        <v>-11.529756547042236</v>
      </c>
    </row>
    <row r="462" spans="14:65" x14ac:dyDescent="0.25">
      <c r="N462" s="9">
        <v>44</v>
      </c>
      <c r="O462" s="34">
        <f t="shared" si="408"/>
        <v>275422.87033381703</v>
      </c>
      <c r="P462" s="33" t="str">
        <f t="shared" si="360"/>
        <v>66,7780509511648</v>
      </c>
      <c r="Q462" s="4" t="str">
        <f t="shared" si="361"/>
        <v>1+6744,59615221976i</v>
      </c>
      <c r="R462" s="4">
        <f t="shared" si="373"/>
        <v>6744.5962263531828</v>
      </c>
      <c r="S462" s="4">
        <f t="shared" si="374"/>
        <v>1.5706480599498398</v>
      </c>
      <c r="T462" s="4" t="str">
        <f t="shared" si="362"/>
        <v>1+1,73053293214267i</v>
      </c>
      <c r="U462" s="4">
        <f t="shared" si="375"/>
        <v>1.9986856254124374</v>
      </c>
      <c r="V462" s="4">
        <f t="shared" si="376"/>
        <v>1.0468178327848114</v>
      </c>
      <c r="W462" t="str">
        <f t="shared" si="363"/>
        <v>1-3,76455271403796i</v>
      </c>
      <c r="X462" s="4">
        <f t="shared" si="377"/>
        <v>3.8951068196867937</v>
      </c>
      <c r="Y462" s="4">
        <f t="shared" si="378"/>
        <v>-1.3111566022155194</v>
      </c>
      <c r="Z462" t="str">
        <f t="shared" si="364"/>
        <v>0,924142242497081+0,739924127528291i</v>
      </c>
      <c r="AA462" s="4">
        <f t="shared" si="379"/>
        <v>1.1838608866188782</v>
      </c>
      <c r="AB462" s="4">
        <f t="shared" si="380"/>
        <v>0.67514351522489358</v>
      </c>
      <c r="AC462" s="47" t="str">
        <f t="shared" si="381"/>
        <v>-0,0525537083451487-0,0384355122725458i</v>
      </c>
      <c r="AD462" s="20">
        <f t="shared" si="382"/>
        <v>-23.727180538800056</v>
      </c>
      <c r="AE462" s="43">
        <f t="shared" si="383"/>
        <v>-143.81987477361076</v>
      </c>
      <c r="AF462" t="str">
        <f t="shared" si="365"/>
        <v>223,849857273222</v>
      </c>
      <c r="AG462" t="str">
        <f t="shared" si="366"/>
        <v>1+6831,24870565866i</v>
      </c>
      <c r="AH462">
        <f t="shared" si="384"/>
        <v>6831.2487788517201</v>
      </c>
      <c r="AI462">
        <f t="shared" si="385"/>
        <v>1.5706499406748848</v>
      </c>
      <c r="AJ462" t="str">
        <f t="shared" si="367"/>
        <v>1+1,73053293214267i</v>
      </c>
      <c r="AK462">
        <f t="shared" si="386"/>
        <v>1.9986856254124374</v>
      </c>
      <c r="AL462">
        <f t="shared" si="387"/>
        <v>1.0468178327848114</v>
      </c>
      <c r="AM462" t="str">
        <f t="shared" si="368"/>
        <v>1-1,13745494718886i</v>
      </c>
      <c r="AN462">
        <f t="shared" si="388"/>
        <v>1.5145308702315752</v>
      </c>
      <c r="AO462">
        <f t="shared" si="389"/>
        <v>-0.84961749818530252</v>
      </c>
      <c r="AP462" s="41" t="str">
        <f t="shared" si="390"/>
        <v>0,0194485218324745-0,0972673112657591i</v>
      </c>
      <c r="AQ462">
        <f t="shared" si="391"/>
        <v>-20.070413219391522</v>
      </c>
      <c r="AR462" s="43">
        <f t="shared" si="392"/>
        <v>-78.692865802024571</v>
      </c>
      <c r="AS462" t="str">
        <f t="shared" si="369"/>
        <v>-0,0000166666666666667</v>
      </c>
      <c r="AT462" t="str">
        <f t="shared" si="370"/>
        <v>0,0017357245309391i</v>
      </c>
      <c r="AU462">
        <f t="shared" si="393"/>
        <v>1.7357245309391001E-3</v>
      </c>
      <c r="AV462">
        <f t="shared" si="394"/>
        <v>1.5707963267948966</v>
      </c>
      <c r="AW462" t="str">
        <f t="shared" si="371"/>
        <v>1+1,13873552862828i</v>
      </c>
      <c r="AX462">
        <f t="shared" si="395"/>
        <v>1.5154928584986234</v>
      </c>
      <c r="AY462">
        <f t="shared" si="396"/>
        <v>0.85017542238795152</v>
      </c>
      <c r="AZ462" t="str">
        <f t="shared" si="372"/>
        <v>1+380,717245071387i</v>
      </c>
      <c r="BA462">
        <f t="shared" si="397"/>
        <v>380.71855837973879</v>
      </c>
      <c r="BB462">
        <f t="shared" si="398"/>
        <v>1.5681697116014899</v>
      </c>
      <c r="BC462" s="41" t="str">
        <f t="shared" si="399"/>
        <v>-1,58694463725078+1,8167123785134i</v>
      </c>
      <c r="BD462">
        <f t="shared" si="400"/>
        <v>7.6483620274428032</v>
      </c>
      <c r="BE462" s="43">
        <f t="shared" si="401"/>
        <v>131.13804248643106</v>
      </c>
      <c r="BF462" s="41" t="str">
        <f t="shared" si="402"/>
        <v>0,153226096546013-0,0344799424065115i</v>
      </c>
      <c r="BG462" s="20">
        <f t="shared" si="403"/>
        <v>-16.078818511357255</v>
      </c>
      <c r="BH462" s="43">
        <f t="shared" si="404"/>
        <v>-12.68183228717972</v>
      </c>
      <c r="BI462" s="41" t="str">
        <f t="shared" si="409"/>
        <v>0,14584300097672+0,189690208349843i</v>
      </c>
      <c r="BJ462" s="20">
        <f t="shared" si="405"/>
        <v>-12.422051191948738</v>
      </c>
      <c r="BK462" s="43">
        <f t="shared" si="410"/>
        <v>52.445176684406505</v>
      </c>
      <c r="BL462">
        <f t="shared" si="406"/>
        <v>-16.078818511357255</v>
      </c>
      <c r="BM462" s="43">
        <f t="shared" si="407"/>
        <v>-12.68183228717972</v>
      </c>
    </row>
    <row r="463" spans="14:65" x14ac:dyDescent="0.25">
      <c r="N463" s="9">
        <v>45</v>
      </c>
      <c r="O463" s="34">
        <f t="shared" si="408"/>
        <v>281838.29312644573</v>
      </c>
      <c r="P463" s="33" t="str">
        <f t="shared" si="360"/>
        <v>66,7780509511648</v>
      </c>
      <c r="Q463" s="4" t="str">
        <f t="shared" si="361"/>
        <v>1+6901,69797833022i</v>
      </c>
      <c r="R463" s="4">
        <f t="shared" si="373"/>
        <v>6901.6980507761609</v>
      </c>
      <c r="S463" s="4">
        <f t="shared" si="374"/>
        <v>1.5706514349152256</v>
      </c>
      <c r="T463" s="4" t="str">
        <f t="shared" si="362"/>
        <v>1+1,77084222237266i</v>
      </c>
      <c r="U463" s="4">
        <f t="shared" si="375"/>
        <v>2.0336868432818616</v>
      </c>
      <c r="V463" s="4">
        <f t="shared" si="376"/>
        <v>1.0567349101621339</v>
      </c>
      <c r="W463" t="str">
        <f t="shared" si="363"/>
        <v>1-3,85224041134654i</v>
      </c>
      <c r="X463" s="4">
        <f t="shared" si="377"/>
        <v>3.9799191181243065</v>
      </c>
      <c r="Y463" s="4">
        <f t="shared" si="378"/>
        <v>-1.3168130966353244</v>
      </c>
      <c r="Z463" t="str">
        <f t="shared" si="364"/>
        <v>0,920567176527572+0,757159174519151i</v>
      </c>
      <c r="AA463" s="4">
        <f t="shared" si="379"/>
        <v>1.1919454442458632</v>
      </c>
      <c r="AB463" s="4">
        <f t="shared" si="380"/>
        <v>0.68830592792474055</v>
      </c>
      <c r="AC463" s="47" t="str">
        <f t="shared" si="381"/>
        <v>-0,0533757900331051-0,0383118850230063i</v>
      </c>
      <c r="AD463" s="20">
        <f t="shared" si="382"/>
        <v>-23.648405372888817</v>
      </c>
      <c r="AE463" s="43">
        <f t="shared" si="383"/>
        <v>-144.33010541906285</v>
      </c>
      <c r="AF463" t="str">
        <f t="shared" si="365"/>
        <v>223,849857273222</v>
      </c>
      <c r="AG463" t="str">
        <f t="shared" si="366"/>
        <v>1+6990,36892902748i</v>
      </c>
      <c r="AH463">
        <f t="shared" si="384"/>
        <v>6990.3690005544631</v>
      </c>
      <c r="AI463">
        <f t="shared" si="385"/>
        <v>1.5706532728297438</v>
      </c>
      <c r="AJ463" t="str">
        <f t="shared" si="367"/>
        <v>1+1,77084222237266i</v>
      </c>
      <c r="AK463">
        <f t="shared" si="386"/>
        <v>2.0336868432818616</v>
      </c>
      <c r="AL463">
        <f t="shared" si="387"/>
        <v>1.0567349101621339</v>
      </c>
      <c r="AM463" t="str">
        <f t="shared" si="368"/>
        <v>1-1,16394967649344i</v>
      </c>
      <c r="AN463">
        <f t="shared" si="388"/>
        <v>1.5345288688744776</v>
      </c>
      <c r="AO463">
        <f t="shared" si="389"/>
        <v>-0.86101778298720366</v>
      </c>
      <c r="AP463" s="41" t="str">
        <f t="shared" si="390"/>
        <v>0,019448305957179-0,0980239100382135i</v>
      </c>
      <c r="AQ463">
        <f t="shared" si="391"/>
        <v>-20.005682749098817</v>
      </c>
      <c r="AR463" s="43">
        <f t="shared" si="392"/>
        <v>-78.778038246005437</v>
      </c>
      <c r="AS463" t="str">
        <f t="shared" si="369"/>
        <v>-0,0000166666666666667</v>
      </c>
      <c r="AT463" t="str">
        <f t="shared" si="370"/>
        <v>0,00177615474903978i</v>
      </c>
      <c r="AU463">
        <f t="shared" si="393"/>
        <v>1.7761547490397799E-3</v>
      </c>
      <c r="AV463">
        <f t="shared" si="394"/>
        <v>1.5707963267948966</v>
      </c>
      <c r="AW463" t="str">
        <f t="shared" si="371"/>
        <v>1+1,16526008650644i</v>
      </c>
      <c r="AX463">
        <f t="shared" si="395"/>
        <v>1.5355230604601795</v>
      </c>
      <c r="AY463">
        <f t="shared" si="396"/>
        <v>0.86157391234143477</v>
      </c>
      <c r="AZ463" t="str">
        <f t="shared" si="372"/>
        <v>1+389,585288921985i</v>
      </c>
      <c r="BA463">
        <f t="shared" si="397"/>
        <v>389.58657233588849</v>
      </c>
      <c r="BB463">
        <f t="shared" si="398"/>
        <v>1.5682295003970959</v>
      </c>
      <c r="BC463" s="41" t="str">
        <f t="shared" si="399"/>
        <v>-1,54581272583505+1,81065743739097i</v>
      </c>
      <c r="BD463">
        <f t="shared" si="400"/>
        <v>7.5343117012011751</v>
      </c>
      <c r="BE463" s="43">
        <f t="shared" si="401"/>
        <v>130.48838276492472</v>
      </c>
      <c r="BF463" s="41" t="str">
        <f t="shared" si="402"/>
        <v>0,151878675042048-0,0374222717807682i</v>
      </c>
      <c r="BG463" s="20">
        <f t="shared" si="403"/>
        <v>-16.114093671687627</v>
      </c>
      <c r="BH463" s="43">
        <f t="shared" si="404"/>
        <v>-13.841722654138099</v>
      </c>
      <c r="BI463" s="41" t="str">
        <f t="shared" si="409"/>
        <v>0,147424282908294+0,186740827399202i</v>
      </c>
      <c r="BJ463" s="20">
        <f t="shared" si="405"/>
        <v>-12.471371047897632</v>
      </c>
      <c r="BK463" s="43">
        <f t="shared" si="410"/>
        <v>51.710344518919285</v>
      </c>
      <c r="BL463">
        <f t="shared" si="406"/>
        <v>-16.114093671687627</v>
      </c>
      <c r="BM463" s="43">
        <f t="shared" si="407"/>
        <v>-13.841722654138099</v>
      </c>
    </row>
    <row r="464" spans="14:65" x14ac:dyDescent="0.25">
      <c r="N464" s="9">
        <v>46</v>
      </c>
      <c r="O464" s="34">
        <f t="shared" si="408"/>
        <v>288403.1503126609</v>
      </c>
      <c r="P464" s="33" t="str">
        <f t="shared" si="360"/>
        <v>66,7780509511648</v>
      </c>
      <c r="Q464" s="4" t="str">
        <f t="shared" si="361"/>
        <v>1+7062,45917606356i</v>
      </c>
      <c r="R464" s="4">
        <f t="shared" si="373"/>
        <v>7062.4592468604287</v>
      </c>
      <c r="S464" s="4">
        <f t="shared" si="374"/>
        <v>1.5706547330570233</v>
      </c>
      <c r="T464" s="4" t="str">
        <f t="shared" si="362"/>
        <v>1+1,81209043658882i</v>
      </c>
      <c r="U464" s="4">
        <f t="shared" si="375"/>
        <v>2.0697033000835314</v>
      </c>
      <c r="V464" s="4">
        <f t="shared" si="376"/>
        <v>1.066534771515067</v>
      </c>
      <c r="W464" t="str">
        <f t="shared" si="363"/>
        <v>1-3,94197061751164i</v>
      </c>
      <c r="X464" s="4">
        <f t="shared" si="377"/>
        <v>4.06683320893851</v>
      </c>
      <c r="Y464" s="4">
        <f t="shared" si="378"/>
        <v>-1.3223569314661201</v>
      </c>
      <c r="Z464" t="str">
        <f t="shared" si="364"/>
        <v>0,916823622889733+0,774795677326528i</v>
      </c>
      <c r="AA464" s="4">
        <f t="shared" si="379"/>
        <v>1.2003640685610881</v>
      </c>
      <c r="AB464" s="4">
        <f t="shared" si="380"/>
        <v>0.70163486022921484</v>
      </c>
      <c r="AC464" s="47" t="str">
        <f t="shared" si="381"/>
        <v>-0,0542120887281673-0,0381714253894756i</v>
      </c>
      <c r="AD464" s="20">
        <f t="shared" si="382"/>
        <v>-23.569414981895697</v>
      </c>
      <c r="AE464" s="43">
        <f t="shared" si="383"/>
        <v>-144.85013359791577</v>
      </c>
      <c r="AF464" t="str">
        <f t="shared" si="365"/>
        <v>223,849857273222</v>
      </c>
      <c r="AG464" t="str">
        <f t="shared" si="366"/>
        <v>1+7153,19553853094i</v>
      </c>
      <c r="AH464">
        <f t="shared" si="384"/>
        <v>7153.1956084297699</v>
      </c>
      <c r="AI464">
        <f t="shared" si="385"/>
        <v>1.570656529135501</v>
      </c>
      <c r="AJ464" t="str">
        <f t="shared" si="367"/>
        <v>1+1,81209043658882i</v>
      </c>
      <c r="AK464">
        <f t="shared" si="386"/>
        <v>2.0697033000835314</v>
      </c>
      <c r="AL464">
        <f t="shared" si="387"/>
        <v>1.066534771515067</v>
      </c>
      <c r="AM464" t="str">
        <f t="shared" si="368"/>
        <v>1-1,19106154732319i</v>
      </c>
      <c r="AN464">
        <f t="shared" si="388"/>
        <v>1.5551937530455526</v>
      </c>
      <c r="AO464">
        <f t="shared" si="389"/>
        <v>-0.87237859209897783</v>
      </c>
      <c r="AP464" s="41" t="str">
        <f t="shared" si="390"/>
        <v>0,0194480997978719-0,0988324823824894i</v>
      </c>
      <c r="AQ464">
        <f t="shared" si="391"/>
        <v>-19.937013684057796</v>
      </c>
      <c r="AR464" s="43">
        <f t="shared" si="392"/>
        <v>-78.867660537204102</v>
      </c>
      <c r="AS464" t="str">
        <f t="shared" si="369"/>
        <v>-0,0000166666666666667</v>
      </c>
      <c r="AT464" t="str">
        <f t="shared" si="370"/>
        <v>0,00181752670789858i</v>
      </c>
      <c r="AU464">
        <f t="shared" si="393"/>
        <v>1.8175267078985799E-3</v>
      </c>
      <c r="AV464">
        <f t="shared" si="394"/>
        <v>1.5707963267948966</v>
      </c>
      <c r="AW464" t="str">
        <f t="shared" si="371"/>
        <v>1+1,1924024807065i</v>
      </c>
      <c r="AX464">
        <f t="shared" si="395"/>
        <v>1.5562209598880923</v>
      </c>
      <c r="AY464">
        <f t="shared" si="396"/>
        <v>0.87293264529159487</v>
      </c>
      <c r="AZ464" t="str">
        <f t="shared" si="372"/>
        <v>1+398,65989604954i</v>
      </c>
      <c r="BA464">
        <f t="shared" si="397"/>
        <v>398.66115024946947</v>
      </c>
      <c r="BB464">
        <f t="shared" si="398"/>
        <v>1.5682879282512909</v>
      </c>
      <c r="BC464" s="41" t="str">
        <f t="shared" si="399"/>
        <v>-1,5049672312122+1,80369663058424i</v>
      </c>
      <c r="BD464">
        <f t="shared" si="400"/>
        <v>7.4180120686093689</v>
      </c>
      <c r="BE464" s="43">
        <f t="shared" si="401"/>
        <v>129.84092297571578</v>
      </c>
      <c r="BF464" s="41" t="str">
        <f t="shared" si="402"/>
        <v>0,150437088431055-0,040335417396107i</v>
      </c>
      <c r="BG464" s="20">
        <f t="shared" si="403"/>
        <v>-16.151402913286322</v>
      </c>
      <c r="BH464" s="43">
        <f t="shared" si="404"/>
        <v>-15.009210622199976</v>
      </c>
      <c r="BI464" s="41" t="str">
        <f t="shared" si="409"/>
        <v>0,148995062560431+0,183818119441691i</v>
      </c>
      <c r="BJ464" s="20">
        <f t="shared" si="405"/>
        <v>-12.519001615448422</v>
      </c>
      <c r="BK464" s="43">
        <f t="shared" si="410"/>
        <v>50.973262438511576</v>
      </c>
      <c r="BL464">
        <f t="shared" si="406"/>
        <v>-16.151402913286322</v>
      </c>
      <c r="BM464" s="43">
        <f t="shared" si="407"/>
        <v>-15.009210622199976</v>
      </c>
    </row>
    <row r="465" spans="14:65" x14ac:dyDescent="0.25">
      <c r="N465" s="9">
        <v>47</v>
      </c>
      <c r="O465" s="34">
        <f t="shared" si="408"/>
        <v>295120.92266663886</v>
      </c>
      <c r="P465" s="33" t="str">
        <f t="shared" si="360"/>
        <v>66,7780509511648</v>
      </c>
      <c r="Q465" s="4" t="str">
        <f t="shared" si="361"/>
        <v>1+7226,96498313474i</v>
      </c>
      <c r="R465" s="4">
        <f t="shared" si="373"/>
        <v>7226.9650523200753</v>
      </c>
      <c r="S465" s="4">
        <f t="shared" si="374"/>
        <v>1.5706579561239509</v>
      </c>
      <c r="T465" s="4" t="str">
        <f t="shared" si="362"/>
        <v>1+1,85429944514031i</v>
      </c>
      <c r="U465" s="4">
        <f t="shared" si="375"/>
        <v>2.1067573263780672</v>
      </c>
      <c r="V465" s="4">
        <f t="shared" si="376"/>
        <v>1.0762150829346488</v>
      </c>
      <c r="W465" t="str">
        <f t="shared" si="363"/>
        <v>1-4,0337909086763i</v>
      </c>
      <c r="X465" s="4">
        <f t="shared" si="377"/>
        <v>4.1558957030849042</v>
      </c>
      <c r="Y465" s="4">
        <f t="shared" si="378"/>
        <v>-1.3277896824706523</v>
      </c>
      <c r="Z465" t="str">
        <f t="shared" si="364"/>
        <v>0,912903641004392+0,792842987057656i</v>
      </c>
      <c r="AA465" s="4">
        <f t="shared" si="379"/>
        <v>1.2091290501371563</v>
      </c>
      <c r="AB465" s="4">
        <f t="shared" si="380"/>
        <v>0.71512807074721052</v>
      </c>
      <c r="AC465" s="47" t="str">
        <f t="shared" si="381"/>
        <v>-0,0550619694407497-0,0380130043367375i</v>
      </c>
      <c r="AD465" s="20">
        <f t="shared" si="382"/>
        <v>-23.490314362914461</v>
      </c>
      <c r="AE465" s="43">
        <f t="shared" si="383"/>
        <v>-145.38005499580134</v>
      </c>
      <c r="AF465" t="str">
        <f t="shared" si="365"/>
        <v>223,849857273222</v>
      </c>
      <c r="AG465" t="str">
        <f t="shared" si="366"/>
        <v>1+7319,81486699266i</v>
      </c>
      <c r="AH465">
        <f t="shared" si="384"/>
        <v>7319.8149353003982</v>
      </c>
      <c r="AI465">
        <f t="shared" si="385"/>
        <v>1.5706597113186926</v>
      </c>
      <c r="AJ465" t="str">
        <f t="shared" si="367"/>
        <v>1+1,85429944514031i</v>
      </c>
      <c r="AK465">
        <f t="shared" si="386"/>
        <v>2.1067573263780672</v>
      </c>
      <c r="AL465">
        <f t="shared" si="387"/>
        <v>1.0762150829346488</v>
      </c>
      <c r="AM465" t="str">
        <f t="shared" si="368"/>
        <v>1-1,21880493475089i</v>
      </c>
      <c r="AN465">
        <f t="shared" si="388"/>
        <v>1.5765422509318046</v>
      </c>
      <c r="AO465">
        <f t="shared" si="389"/>
        <v>-0.88369421947057525</v>
      </c>
      <c r="AP465" s="41" t="str">
        <f t="shared" si="390"/>
        <v>0,0194479029172618-0,0996934570145318i</v>
      </c>
      <c r="AQ465">
        <f t="shared" si="391"/>
        <v>-19.864463042854624</v>
      </c>
      <c r="AR465" s="43">
        <f t="shared" si="392"/>
        <v>-78.961539565091513</v>
      </c>
      <c r="AS465" t="str">
        <f t="shared" si="369"/>
        <v>-0,0000166666666666667</v>
      </c>
      <c r="AT465" t="str">
        <f t="shared" si="370"/>
        <v>0,00185986234347573i</v>
      </c>
      <c r="AU465">
        <f t="shared" si="393"/>
        <v>1.8598623434757299E-3</v>
      </c>
      <c r="AV465">
        <f t="shared" si="394"/>
        <v>1.5707963267948966</v>
      </c>
      <c r="AW465" t="str">
        <f t="shared" si="371"/>
        <v>1+1,22017710248515i</v>
      </c>
      <c r="AX465">
        <f t="shared" si="395"/>
        <v>1.5776032965955213</v>
      </c>
      <c r="AY465">
        <f t="shared" si="396"/>
        <v>0.88424592051436857</v>
      </c>
      <c r="AZ465" t="str">
        <f t="shared" si="372"/>
        <v>1+407,945877930868i</v>
      </c>
      <c r="BA465">
        <f t="shared" si="397"/>
        <v>407.94710358180834</v>
      </c>
      <c r="BB465">
        <f t="shared" si="398"/>
        <v>1.5683450261416998</v>
      </c>
      <c r="BC465" s="41" t="str">
        <f t="shared" si="399"/>
        <v>-1,46444799638621+1,79584714965854i</v>
      </c>
      <c r="BD465">
        <f t="shared" si="400"/>
        <v>7.2994799424080412</v>
      </c>
      <c r="BE465" s="43">
        <f t="shared" si="401"/>
        <v>129.19599152112036</v>
      </c>
      <c r="BF465" s="41" t="str">
        <f t="shared" si="402"/>
        <v>0,148900936312672-0,0432148128372004i</v>
      </c>
      <c r="BG465" s="20">
        <f t="shared" si="403"/>
        <v>-16.190834420506441</v>
      </c>
      <c r="BH465" s="43">
        <f t="shared" si="404"/>
        <v>-16.184063474681022</v>
      </c>
      <c r="BI465" s="41" t="str">
        <f t="shared" si="409"/>
        <v>0,150553768158056+0,180921344398546i</v>
      </c>
      <c r="BJ465" s="20">
        <f t="shared" si="405"/>
        <v>-12.564983100446586</v>
      </c>
      <c r="BK465" s="43">
        <f t="shared" si="410"/>
        <v>50.2344519560287</v>
      </c>
      <c r="BL465">
        <f t="shared" si="406"/>
        <v>-16.190834420506441</v>
      </c>
      <c r="BM465" s="43">
        <f t="shared" si="407"/>
        <v>-16.184063474681022</v>
      </c>
    </row>
    <row r="466" spans="14:65" x14ac:dyDescent="0.25">
      <c r="N466" s="9">
        <v>48</v>
      </c>
      <c r="O466" s="34">
        <f t="shared" si="408"/>
        <v>301995.17204020242</v>
      </c>
      <c r="P466" s="33" t="str">
        <f t="shared" si="360"/>
        <v>66,7780509511648</v>
      </c>
      <c r="Q466" s="4" t="str">
        <f t="shared" si="361"/>
        <v>1+7395,30262270018i</v>
      </c>
      <c r="R466" s="4">
        <f t="shared" si="373"/>
        <v>7395.3026903106647</v>
      </c>
      <c r="S466" s="4">
        <f t="shared" si="374"/>
        <v>1.5706611058249209</v>
      </c>
      <c r="T466" s="4" t="str">
        <f t="shared" si="362"/>
        <v>1+1,89749162780217i</v>
      </c>
      <c r="U466" s="4">
        <f t="shared" si="375"/>
        <v>2.1448716692565384</v>
      </c>
      <c r="V466" s="4">
        <f t="shared" si="376"/>
        <v>1.0857737192683083</v>
      </c>
      <c r="W466" t="str">
        <f t="shared" si="363"/>
        <v>1-4,12774996917427i</v>
      </c>
      <c r="X466" s="4">
        <f t="shared" si="377"/>
        <v>4.2471543188372838</v>
      </c>
      <c r="Y466" s="4">
        <f t="shared" si="378"/>
        <v>-1.333112946846152</v>
      </c>
      <c r="Z466" t="str">
        <f t="shared" si="364"/>
        <v>0,908798916064409+0,81131067263504i</v>
      </c>
      <c r="AA466" s="4">
        <f t="shared" si="379"/>
        <v>1.2182530432432195</v>
      </c>
      <c r="AB466" s="4">
        <f t="shared" si="380"/>
        <v>0.72878312947799817</v>
      </c>
      <c r="AC466" s="47" t="str">
        <f t="shared" si="381"/>
        <v>-0,0559247340859721-0,0378355082877762i</v>
      </c>
      <c r="AD466" s="20">
        <f t="shared" si="382"/>
        <v>-23.411207322571435</v>
      </c>
      <c r="AE466" s="43">
        <f t="shared" si="383"/>
        <v>-145.91994375678041</v>
      </c>
      <c r="AF466" t="str">
        <f t="shared" si="365"/>
        <v>223,849857273222</v>
      </c>
      <c r="AG466" t="str">
        <f t="shared" si="366"/>
        <v>1+7490,31525818607i</v>
      </c>
      <c r="AH466">
        <f t="shared" si="384"/>
        <v>7490.3153249389352</v>
      </c>
      <c r="AI466">
        <f t="shared" si="385"/>
        <v>1.5706628210665541</v>
      </c>
      <c r="AJ466" t="str">
        <f t="shared" si="367"/>
        <v>1+1,89749162780217i</v>
      </c>
      <c r="AK466">
        <f t="shared" si="386"/>
        <v>2.1448716692565384</v>
      </c>
      <c r="AL466">
        <f t="shared" si="387"/>
        <v>1.0857737192683083</v>
      </c>
      <c r="AM466" t="str">
        <f t="shared" si="368"/>
        <v>1-1,24719454868779i</v>
      </c>
      <c r="AN466">
        <f t="shared" si="388"/>
        <v>1.5985913306022088</v>
      </c>
      <c r="AO466">
        <f t="shared" si="389"/>
        <v>-0.89495907442727696</v>
      </c>
      <c r="AP466" s="41" t="str">
        <f t="shared" si="390"/>
        <v>0,0194477148977383-0,100607290434661i</v>
      </c>
      <c r="AQ466">
        <f t="shared" si="391"/>
        <v>-19.788090256589587</v>
      </c>
      <c r="AR466" s="43">
        <f t="shared" si="392"/>
        <v>-79.059476866546348</v>
      </c>
      <c r="AS466" t="str">
        <f t="shared" si="369"/>
        <v>-0,0000166666666666667</v>
      </c>
      <c r="AT466" t="str">
        <f t="shared" si="370"/>
        <v>0,00190318410268558i</v>
      </c>
      <c r="AU466">
        <f t="shared" si="393"/>
        <v>1.9031841026855799E-3</v>
      </c>
      <c r="AV466">
        <f t="shared" si="394"/>
        <v>1.5707963267948966</v>
      </c>
      <c r="AW466" t="str">
        <f t="shared" si="371"/>
        <v>1+1,24859867831449i</v>
      </c>
      <c r="AX466">
        <f t="shared" si="395"/>
        <v>1.5996870504847789</v>
      </c>
      <c r="AY466">
        <f t="shared" si="396"/>
        <v>0.8955081533110828</v>
      </c>
      <c r="AZ466" t="str">
        <f t="shared" si="372"/>
        <v>1+417,448158116477i</v>
      </c>
      <c r="BA466">
        <f t="shared" si="397"/>
        <v>417.44935586827677</v>
      </c>
      <c r="BB466">
        <f t="shared" si="398"/>
        <v>1.56840082434089</v>
      </c>
      <c r="BC466" s="41" t="str">
        <f t="shared" si="399"/>
        <v>-1,42429354491127+1,78712829174522i</v>
      </c>
      <c r="BD466">
        <f t="shared" si="400"/>
        <v>7.178734286225307</v>
      </c>
      <c r="BE466" s="43">
        <f t="shared" si="401"/>
        <v>128.55391011529275</v>
      </c>
      <c r="BF466" s="41" t="str">
        <f t="shared" si="402"/>
        <v>0,147270145053175-0,0460558042706525i</v>
      </c>
      <c r="BG466" s="20">
        <f t="shared" si="403"/>
        <v>-16.232473036346125</v>
      </c>
      <c r="BH466" s="43">
        <f t="shared" si="404"/>
        <v>-17.366033641487665</v>
      </c>
      <c r="BI466" s="41" t="str">
        <f t="shared" si="409"/>
        <v>0,152098880299488+0,178049875840644i</v>
      </c>
      <c r="BJ466" s="20">
        <f t="shared" si="405"/>
        <v>-12.609355970364273</v>
      </c>
      <c r="BK466" s="43">
        <f t="shared" si="410"/>
        <v>49.494433248746297</v>
      </c>
      <c r="BL466">
        <f t="shared" si="406"/>
        <v>-16.232473036346125</v>
      </c>
      <c r="BM466" s="43">
        <f t="shared" si="407"/>
        <v>-17.366033641487665</v>
      </c>
    </row>
    <row r="467" spans="14:65" x14ac:dyDescent="0.25">
      <c r="N467" s="9">
        <v>49</v>
      </c>
      <c r="O467" s="34">
        <f t="shared" si="408"/>
        <v>309029.54325135931</v>
      </c>
      <c r="P467" s="33" t="str">
        <f t="shared" ref="P467:P530" si="411">COMPLEX(Adc,0)</f>
        <v>66,7780509511648</v>
      </c>
      <c r="Q467" s="4" t="str">
        <f t="shared" ref="Q467:Q530" si="412">IMSUM(COMPLEX(1,0),IMDIV(COMPLEX(0,2*PI()*O467),COMPLEX(wp_lf,0)))</f>
        <v>1+7567,56134960457i</v>
      </c>
      <c r="R467" s="4">
        <f t="shared" si="373"/>
        <v>7567.5614156760521</v>
      </c>
      <c r="S467" s="4">
        <f t="shared" si="374"/>
        <v>1.5706641838299464</v>
      </c>
      <c r="T467" s="4" t="str">
        <f t="shared" ref="T467:T530" si="413">IMSUM(COMPLEX(1,0),IMDIV(COMPLEX(0,2*PI()*O467),COMPLEX(wz_esr,0)))</f>
        <v>1+1,94168988564136i</v>
      </c>
      <c r="U467" s="4">
        <f t="shared" si="375"/>
        <v>2.1840695071361531</v>
      </c>
      <c r="V467" s="4">
        <f t="shared" si="376"/>
        <v>1.09520876101894</v>
      </c>
      <c r="W467" t="str">
        <f t="shared" ref="W467:W530" si="414">IMSUB(COMPLEX(1,0),IMDIV(COMPLEX(0,2*PI()*O467),COMPLEX(wz_rhp,0)))</f>
        <v>1-4,22389761734313i</v>
      </c>
      <c r="X467" s="4">
        <f t="shared" si="377"/>
        <v>4.3406579088655413</v>
      </c>
      <c r="Y467" s="4">
        <f t="shared" si="378"/>
        <v>-1.3383283397668211</v>
      </c>
      <c r="Z467" t="str">
        <f t="shared" ref="Z467:Z530" si="415">IMSUM(COMPLEX(1,0),IMDIV(COMPLEX(0,2*PI()*O467),COMPLEX(Q*(wsl/2),0)),IMDIV(IMPOWER(COMPLEX(0,2*PI()*O467),2),IMPOWER(COMPLEX(wsl/2,0),2)))</f>
        <v>0,904500741397856+0,830208525870021i</v>
      </c>
      <c r="AA467" s="4">
        <f t="shared" si="379"/>
        <v>1.2277490735555634</v>
      </c>
      <c r="AB467" s="4">
        <f t="shared" si="380"/>
        <v>0.74259742093515801</v>
      </c>
      <c r="AC467" s="47" t="str">
        <f t="shared" si="381"/>
        <v>-0,0567996211989209-0,0376378433855772i</v>
      </c>
      <c r="AD467" s="20">
        <f t="shared" si="382"/>
        <v>-23.332196292001118</v>
      </c>
      <c r="AE467" s="43">
        <f t="shared" si="383"/>
        <v>-146.46985264195246</v>
      </c>
      <c r="AF467" t="str">
        <f t="shared" ref="AF467:AF530" si="416">COMPLEX($B$72,0)</f>
        <v>223,849857273222</v>
      </c>
      <c r="AG467" t="str">
        <f t="shared" ref="AG467:AG530" si="417">IMSUM(COMPLEX(1,0),IMDIV(COMPLEX(0,2*PI()*O467),COMPLEX(wp_lf_DCM,0)))</f>
        <v>1+7664,78711367541i</v>
      </c>
      <c r="AH467">
        <f t="shared" si="384"/>
        <v>7664.787178908794</v>
      </c>
      <c r="AI467">
        <f t="shared" si="385"/>
        <v>1.5706658600279146</v>
      </c>
      <c r="AJ467" t="str">
        <f t="shared" ref="AJ467:AJ530" si="418">IMSUM(COMPLEX(1,0),IMDIV(COMPLEX(0,2*PI()*O467),COMPLEX(wz1_dcm,0)))</f>
        <v>1+1,94168988564136i</v>
      </c>
      <c r="AK467">
        <f t="shared" si="386"/>
        <v>2.1840695071361531</v>
      </c>
      <c r="AL467">
        <f t="shared" si="387"/>
        <v>1.09520876101894</v>
      </c>
      <c r="AM467" t="str">
        <f t="shared" ref="AM467:AM530" si="419">IMSUB(COMPLEX(1,0),IMDIV(COMPLEX(0,2*PI()*O467),COMPLEX(wz2_dcm,0)))</f>
        <v>1-1,27624544168297i</v>
      </c>
      <c r="AN467">
        <f t="shared" si="388"/>
        <v>1.6213582045361103</v>
      </c>
      <c r="AO467">
        <f t="shared" si="389"/>
        <v>-0.9061676946251479</v>
      </c>
      <c r="AP467" s="41" t="str">
        <f t="shared" si="390"/>
        <v>0,0194475353404872-0,101574467169613i</v>
      </c>
      <c r="AQ467">
        <f t="shared" si="391"/>
        <v>-19.707956996627502</v>
      </c>
      <c r="AR467" s="43">
        <f t="shared" si="392"/>
        <v>-79.161269545868635</v>
      </c>
      <c r="AS467" t="str">
        <f t="shared" ref="AS467:AS530" si="420">COMPLEX(Adc_ea,0)</f>
        <v>-0,0000166666666666667</v>
      </c>
      <c r="AT467" t="str">
        <f t="shared" ref="AT467:AT530" si="421">COMPLEX(0,2*PI()*O467*wp0_ea)</f>
        <v>0,00194751495529828i</v>
      </c>
      <c r="AU467">
        <f t="shared" si="393"/>
        <v>1.94751495529828E-3</v>
      </c>
      <c r="AV467">
        <f t="shared" si="394"/>
        <v>1.5707963267948966</v>
      </c>
      <c r="AW467" t="str">
        <f t="shared" ref="AW467:AW530" si="422">IMSUM(COMPLEX(1,0),IMDIV(COMPLEX(0,2*PI()*O467),COMPLEX(wp1_ea,0)))</f>
        <v>1+1,27768227769023i</v>
      </c>
      <c r="AX467">
        <f t="shared" si="395"/>
        <v>1.6224894461054882</v>
      </c>
      <c r="AY467">
        <f t="shared" si="396"/>
        <v>0.9067138879276504</v>
      </c>
      <c r="AZ467" t="str">
        <f t="shared" ref="AZ467:AZ530" si="423">IMSUM(COMPLEX(1,0),IMDIV(COMPLEX(0,2*PI()*O467),COMPLEX(wz_ea,0)))</f>
        <v>1+427,171774841099i</v>
      </c>
      <c r="BA467">
        <f t="shared" si="397"/>
        <v>427.17294532881476</v>
      </c>
      <c r="BB467">
        <f t="shared" si="398"/>
        <v>1.5684553524324145</v>
      </c>
      <c r="BC467" s="41" t="str">
        <f t="shared" si="399"/>
        <v>-1,3845409441678+1,77756134169815i</v>
      </c>
      <c r="BD467">
        <f t="shared" si="400"/>
        <v>7.0557961383637249</v>
      </c>
      <c r="BE467" s="43">
        <f t="shared" si="401"/>
        <v>127.91499304492926</v>
      </c>
      <c r="BF467" s="41" t="str">
        <f t="shared" si="402"/>
        <v>0,145544976550219-0,0488536756487937i</v>
      </c>
      <c r="BG467" s="20">
        <f t="shared" si="403"/>
        <v>-16.276400153637379</v>
      </c>
      <c r="BH467" s="43">
        <f t="shared" si="404"/>
        <v>-18.554859597023185</v>
      </c>
      <c r="BI467" s="41" t="str">
        <f t="shared" si="409"/>
        <v>0,153628937202237+0,175203195690916i</v>
      </c>
      <c r="BJ467" s="20">
        <f t="shared" si="405"/>
        <v>-12.652160858263777</v>
      </c>
      <c r="BK467" s="43">
        <f t="shared" si="410"/>
        <v>48.753723499060698</v>
      </c>
      <c r="BL467">
        <f t="shared" si="406"/>
        <v>-16.276400153637379</v>
      </c>
      <c r="BM467" s="43">
        <f t="shared" si="407"/>
        <v>-18.554859597023185</v>
      </c>
    </row>
    <row r="468" spans="14:65" x14ac:dyDescent="0.25">
      <c r="N468" s="9">
        <v>50</v>
      </c>
      <c r="O468" s="34">
        <f t="shared" si="408"/>
        <v>316227.7660168382</v>
      </c>
      <c r="P468" s="33" t="str">
        <f t="shared" si="411"/>
        <v>66,7780509511648</v>
      </c>
      <c r="Q468" s="4" t="str">
        <f t="shared" si="412"/>
        <v>1+7743,83249770503i</v>
      </c>
      <c r="R468" s="4">
        <f t="shared" ref="R468:R531" si="424">IMABS(Q468)</f>
        <v>7743.8325622725415</v>
      </c>
      <c r="S468" s="4">
        <f t="shared" ref="S468:S531" si="425">IMARGUMENT(Q468)</f>
        <v>1.570667191771026</v>
      </c>
      <c r="T468" s="4" t="str">
        <f t="shared" si="413"/>
        <v>1+1,98691765315922i</v>
      </c>
      <c r="U468" s="4">
        <f t="shared" ref="U468:U531" si="426">IMABS(T468)</f>
        <v>2.2243744649756576</v>
      </c>
      <c r="V468" s="4">
        <f t="shared" ref="V468:V531" si="427">IMARGUMENT(T468)</f>
        <v>1.1045184906420491</v>
      </c>
      <c r="W468" t="str">
        <f t="shared" si="414"/>
        <v>1-4,32228483193859i</v>
      </c>
      <c r="X468" s="4">
        <f t="shared" ref="X468:X531" si="428">IMABS(W468)</f>
        <v>4.4364564878297186</v>
      </c>
      <c r="Y468" s="4">
        <f t="shared" ref="Y468:Y531" si="429">IMARGUMENT(W468)</f>
        <v>-1.3434374911225047</v>
      </c>
      <c r="Z468" t="str">
        <f t="shared" si="415"/>
        <v>0,9+0,849546566654526i</v>
      </c>
      <c r="AA468" s="4">
        <f t="shared" ref="AA468:AA531" si="430">IMABS(Z468)</f>
        <v>1.2376305462109818</v>
      </c>
      <c r="AB468" s="4">
        <f t="shared" ref="AB468:AB531" si="431">IMARGUMENT(Z468)</f>
        <v>0.75656814819471452</v>
      </c>
      <c r="AC468" s="47" t="str">
        <f t="shared" ref="AC468:AC531" si="432">(IMDIV(IMPRODUCT(P468,T468,W468),IMPRODUCT(Q468,Z468)))</f>
        <v>-0,0576858059896392-0,0374189398553019i</v>
      </c>
      <c r="AD468" s="20">
        <f t="shared" ref="AD468:AD531" si="433">20*LOG(IMABS(AC468))</f>
        <v>-23.253382147240785</v>
      </c>
      <c r="AE468" s="43">
        <f t="shared" ref="AE468:AE531" si="434">(180/PI())*IMARGUMENT(AC468)</f>
        <v>-147.02981328674446</v>
      </c>
      <c r="AF468" t="str">
        <f t="shared" si="416"/>
        <v>223,849857273222</v>
      </c>
      <c r="AG468" t="str">
        <f t="shared" si="417"/>
        <v>1+7843,32294074786i</v>
      </c>
      <c r="AH468">
        <f t="shared" ref="AH468:AH531" si="435">IMABS(AG468)</f>
        <v>7843.3230044963502</v>
      </c>
      <c r="AI468">
        <f t="shared" ref="AI468:AI531" si="436">IMARGUMENT(AG468)</f>
        <v>1.5706688298140716</v>
      </c>
      <c r="AJ468" t="str">
        <f t="shared" si="418"/>
        <v>1+1,98691765315922i</v>
      </c>
      <c r="AK468">
        <f t="shared" ref="AK468:AK531" si="437">IMABS(AJ468)</f>
        <v>2.2243744649756576</v>
      </c>
      <c r="AL468">
        <f t="shared" ref="AL468:AL531" si="438">IMARGUMENT(AJ468)</f>
        <v>1.1045184906420491</v>
      </c>
      <c r="AM468" t="str">
        <f t="shared" si="419"/>
        <v>1-1,30597301690444i</v>
      </c>
      <c r="AN468">
        <f t="shared" ref="AN468:AN531" si="439">IMABS(AM468)</f>
        <v>1.6448603347647741</v>
      </c>
      <c r="AO468">
        <f t="shared" ref="AO468:AO531" si="440">IMARGUMENT(AM468)</f>
        <v>-0.9173147582333937</v>
      </c>
      <c r="AP468" s="41" t="str">
        <f t="shared" ref="AP468:AP531" si="441">(IMDIV(IMPRODUCT(AF468,AJ468,AM468),IMPRODUCT(AG468)))</f>
        <v>0,0194473638646434-0,102595500029446i</v>
      </c>
      <c r="AQ468">
        <f t="shared" ref="AQ468:AQ531" si="442">20*LOG(IMABS(AP468))</f>
        <v>-19.624126999324019</v>
      </c>
      <c r="AR468" s="43">
        <f t="shared" ref="AR468:AR531" si="443">(180/PI())*IMARGUMENT(AP468)</f>
        <v>-79.266711184985652</v>
      </c>
      <c r="AS468" t="str">
        <f t="shared" si="420"/>
        <v>-0,0000166666666666667</v>
      </c>
      <c r="AT468" t="str">
        <f t="shared" si="421"/>
        <v>0,0019928784061187i</v>
      </c>
      <c r="AU468">
        <f t="shared" ref="AU468:AU531" si="444">IMABS(AT468)</f>
        <v>1.9928784061186999E-3</v>
      </c>
      <c r="AV468">
        <f t="shared" ref="AV468:AV531" si="445">IMARGUMENT(AT468)</f>
        <v>1.5707963267948966</v>
      </c>
      <c r="AW468" t="str">
        <f t="shared" si="422"/>
        <v>1+1,30744332112172i</v>
      </c>
      <c r="AX468">
        <f t="shared" ref="AX468:AX531" si="446">IMABS(AW468)</f>
        <v>1.646027957826292</v>
      </c>
      <c r="AY468">
        <f t="shared" ref="AY468:AY531" si="447">IMARGUMENT(AW468)</f>
        <v>0.91785780969754438</v>
      </c>
      <c r="AZ468" t="str">
        <f t="shared" si="423"/>
        <v>1+437,121883695028i</v>
      </c>
      <c r="BA468">
        <f t="shared" ref="BA468:BA531" si="448">IMABS(AZ468)</f>
        <v>437.12302753926105</v>
      </c>
      <c r="BB468">
        <f t="shared" ref="BB468:BB531" si="449">IMARGUMENT(AZ468)</f>
        <v>1.5685086393264915</v>
      </c>
      <c r="BC468" s="41" t="str">
        <f t="shared" ref="BC468:BC531" si="450">IMPRODUCT(AS468,IMDIV(AZ468,IMPRODUCT(AT468,AW468)))</f>
        <v>-1,34522568070246+1,76716944431522i</v>
      </c>
      <c r="BD468">
        <f t="shared" ref="BD468:BD531" si="451">20*LOG(IMABS(BC468))</f>
        <v>6.9306885284129667</v>
      </c>
      <c r="BE468" s="43">
        <f t="shared" ref="BE468:BE531" si="452">(180/PI())*IMARGUMENT(BC468)</f>
        <v>127.27954647442436</v>
      </c>
      <c r="BF468" s="41" t="str">
        <f t="shared" ref="BF468:BF531" si="453">IMPRODUCT(AC468,BC468)</f>
        <v>0,143726034780241-0,0516036748775734i</v>
      </c>
      <c r="BG468" s="20">
        <f t="shared" ref="BG468:BG531" si="454">20*LOG(IMABS(BF468))</f>
        <v>-16.322693618827813</v>
      </c>
      <c r="BH468" s="43">
        <f t="shared" ref="BH468:BH531" si="455">(180/PI())*IMARGUMENT(BF468)</f>
        <v>-19.750266812320099</v>
      </c>
      <c r="BI468" s="41" t="str">
        <f t="shared" si="409"/>
        <v>0,155142539483595+0,172380888558199i</v>
      </c>
      <c r="BJ468" s="20">
        <f t="shared" ref="BJ468:BJ531" si="456">20*LOG(IMABS(BI468))</f>
        <v>-12.693438470911033</v>
      </c>
      <c r="BK468" s="43">
        <f t="shared" si="410"/>
        <v>48.012835289438769</v>
      </c>
      <c r="BL468">
        <f t="shared" ref="BL468:BL531" si="457">IF($B$31=0,BJ468,BG468)</f>
        <v>-16.322693618827813</v>
      </c>
      <c r="BM468" s="43">
        <f t="shared" ref="BM468:BM531" si="458">IF($B$31=0,BK468,BH468)</f>
        <v>-19.750266812320099</v>
      </c>
    </row>
    <row r="469" spans="14:65" x14ac:dyDescent="0.25">
      <c r="N469" s="9">
        <v>51</v>
      </c>
      <c r="O469" s="34">
        <f t="shared" si="408"/>
        <v>323593.65692962846</v>
      </c>
      <c r="P469" s="33" t="str">
        <f t="shared" si="411"/>
        <v>66,7780509511648</v>
      </c>
      <c r="Q469" s="4" t="str">
        <f t="shared" si="412"/>
        <v>1+7924,20952829752i</v>
      </c>
      <c r="R469" s="4">
        <f t="shared" si="424"/>
        <v>7924.2095913952962</v>
      </c>
      <c r="S469" s="4">
        <f t="shared" si="425"/>
        <v>1.5706701312430096</v>
      </c>
      <c r="T469" s="4" t="str">
        <f t="shared" si="413"/>
        <v>1+2,03319891071675i</v>
      </c>
      <c r="U469" s="4">
        <f t="shared" si="426"/>
        <v>2.2658106298938092</v>
      </c>
      <c r="V469" s="4">
        <f t="shared" si="427"/>
        <v>1.1137013882961257</v>
      </c>
      <c r="W469" t="str">
        <f t="shared" si="414"/>
        <v>1-4,42296377916415i</v>
      </c>
      <c r="X469" s="4">
        <f t="shared" si="428"/>
        <v>4.5346012605077002</v>
      </c>
      <c r="Y469" s="4">
        <f t="shared" si="429"/>
        <v>-1.3484420424483896</v>
      </c>
      <c r="Z469" t="str">
        <f t="shared" si="415"/>
        <v>0,89528714519491+0,869335048273751i</v>
      </c>
      <c r="AA469" s="4">
        <f t="shared" si="430"/>
        <v>1.2479112542598438</v>
      </c>
      <c r="AB469" s="4">
        <f t="shared" si="431"/>
        <v>0.77069233787921954</v>
      </c>
      <c r="AC469" s="47" t="str">
        <f t="shared" si="432"/>
        <v>-0,0585824007532967-0,0371777564357952i</v>
      </c>
      <c r="AD469" s="20">
        <f t="shared" si="433"/>
        <v>-23.174864035902395</v>
      </c>
      <c r="AE469" s="43">
        <f t="shared" si="434"/>
        <v>-147.59983655409809</v>
      </c>
      <c r="AF469" t="str">
        <f t="shared" si="416"/>
        <v>223,849857273222</v>
      </c>
      <c r="AG469" t="str">
        <f t="shared" si="417"/>
        <v>1+8026,01740146216i</v>
      </c>
      <c r="AH469">
        <f t="shared" si="435"/>
        <v>8026.0174637595574</v>
      </c>
      <c r="AI469">
        <f t="shared" si="436"/>
        <v>1.5706717319996444</v>
      </c>
      <c r="AJ469" t="str">
        <f t="shared" si="418"/>
        <v>1+2,03319891071675i</v>
      </c>
      <c r="AK469">
        <f t="shared" si="437"/>
        <v>2.2658106298938092</v>
      </c>
      <c r="AL469">
        <f t="shared" si="438"/>
        <v>1.1137013882961257</v>
      </c>
      <c r="AM469" t="str">
        <f t="shared" si="419"/>
        <v>1-1,33639303630606i</v>
      </c>
      <c r="AN469">
        <f t="shared" si="439"/>
        <v>1.6691154386342877</v>
      </c>
      <c r="AO469">
        <f t="shared" si="440"/>
        <v>-0.92839509528468356</v>
      </c>
      <c r="AP469" s="41" t="str">
        <f t="shared" si="441"/>
        <v>0,0194472001064838-0,103670930379438i</v>
      </c>
      <c r="AQ469">
        <f t="shared" si="442"/>
        <v>-19.536665888658376</v>
      </c>
      <c r="AR469" s="43">
        <f t="shared" si="443"/>
        <v>-79.37559273731253</v>
      </c>
      <c r="AS469" t="str">
        <f t="shared" si="420"/>
        <v>-0,0000166666666666667</v>
      </c>
      <c r="AT469" t="str">
        <f t="shared" si="421"/>
        <v>0,0020392985074489i</v>
      </c>
      <c r="AU469">
        <f t="shared" si="444"/>
        <v>2.0392985074488999E-3</v>
      </c>
      <c r="AV469">
        <f t="shared" si="445"/>
        <v>1.5707963267948966</v>
      </c>
      <c r="AW469" t="str">
        <f t="shared" si="422"/>
        <v>1+1,33789758830813i</v>
      </c>
      <c r="AX469">
        <f t="shared" si="446"/>
        <v>1.6703203156283259</v>
      </c>
      <c r="AY469">
        <f t="shared" si="447"/>
        <v>0.92893475635013512</v>
      </c>
      <c r="AZ469" t="str">
        <f t="shared" si="423"/>
        <v>1+447,303760357685i</v>
      </c>
      <c r="BA469">
        <f t="shared" si="448"/>
        <v>447.30487816491035</v>
      </c>
      <c r="BB469">
        <f t="shared" si="449"/>
        <v>1.5685607132753265</v>
      </c>
      <c r="BC469" s="41" t="str">
        <f t="shared" si="450"/>
        <v>-1,30638154839697+1,75597746800389i</v>
      </c>
      <c r="BD469">
        <f t="shared" si="451"/>
        <v>6.8034363873710957</v>
      </c>
      <c r="BE469" s="43">
        <f t="shared" si="452"/>
        <v>126.64786779882992</v>
      </c>
      <c r="BF469" s="41" t="str">
        <f t="shared" si="453"/>
        <v>0,141814270017097-0,0543010407258436i</v>
      </c>
      <c r="BG469" s="20">
        <f t="shared" si="454"/>
        <v>-16.371427648531277</v>
      </c>
      <c r="BH469" s="43">
        <f t="shared" si="455"/>
        <v>-20.951968755268116</v>
      </c>
      <c r="BI469" s="41" t="str">
        <f t="shared" si="409"/>
        <v>0,156638354446199+0,169582635755593i</v>
      </c>
      <c r="BJ469" s="20">
        <f t="shared" si="456"/>
        <v>-12.733229501287287</v>
      </c>
      <c r="BK469" s="43">
        <f t="shared" si="410"/>
        <v>47.272275061517384</v>
      </c>
      <c r="BL469">
        <f t="shared" si="457"/>
        <v>-16.371427648531277</v>
      </c>
      <c r="BM469" s="43">
        <f t="shared" si="458"/>
        <v>-20.951968755268116</v>
      </c>
    </row>
    <row r="470" spans="14:65" x14ac:dyDescent="0.25">
      <c r="N470" s="9">
        <v>52</v>
      </c>
      <c r="O470" s="34">
        <f t="shared" si="408"/>
        <v>331131.12148259126</v>
      </c>
      <c r="P470" s="33" t="str">
        <f t="shared" si="411"/>
        <v>66,7780509511648</v>
      </c>
      <c r="Q470" s="4" t="str">
        <f t="shared" si="412"/>
        <v>1+8108,78807967126i</v>
      </c>
      <c r="R470" s="4">
        <f t="shared" si="424"/>
        <v>8108.7881413327559</v>
      </c>
      <c r="S470" s="4">
        <f t="shared" si="425"/>
        <v>1.5706730038044441</v>
      </c>
      <c r="T470" s="4" t="str">
        <f t="shared" si="413"/>
        <v>1+2,08055819724932i</v>
      </c>
      <c r="U470" s="4">
        <f t="shared" si="426"/>
        <v>2.3084025671752619</v>
      </c>
      <c r="V470" s="4">
        <f t="shared" si="427"/>
        <v>1.1227561271016899</v>
      </c>
      <c r="W470" t="str">
        <f t="shared" si="414"/>
        <v>1-4,52598784033029i</v>
      </c>
      <c r="X470" s="4">
        <f t="shared" si="428"/>
        <v>4.6351446504739888</v>
      </c>
      <c r="Y470" s="4">
        <f t="shared" si="429"/>
        <v>-1.3533436440401492</v>
      </c>
      <c r="Z470" t="str">
        <f t="shared" si="415"/>
        <v>0,890352180385681+0,889584462842583i</v>
      </c>
      <c r="AA470" s="4">
        <f t="shared" si="430"/>
        <v>1.258605387581216</v>
      </c>
      <c r="AB470" s="4">
        <f t="shared" si="431"/>
        <v>0.78496684608151379</v>
      </c>
      <c r="AC470" s="47" t="str">
        <f t="shared" si="432"/>
        <v>-0,0594884556477701-0,0369132848470543i</v>
      </c>
      <c r="AD470" s="20">
        <f t="shared" si="433"/>
        <v>-23.096739210963051</v>
      </c>
      <c r="AE470" s="43">
        <f t="shared" si="434"/>
        <v>-148.17991298027127</v>
      </c>
      <c r="AF470" t="str">
        <f t="shared" si="416"/>
        <v>223,849857273222</v>
      </c>
      <c r="AG470" t="str">
        <f t="shared" si="417"/>
        <v>1+8212,96736283964i</v>
      </c>
      <c r="AH470">
        <f t="shared" si="435"/>
        <v>8212.9674237189738</v>
      </c>
      <c r="AI470">
        <f t="shared" si="436"/>
        <v>1.5706745681234104</v>
      </c>
      <c r="AJ470" t="str">
        <f t="shared" si="418"/>
        <v>1+2,08055819724932i</v>
      </c>
      <c r="AK470">
        <f t="shared" si="437"/>
        <v>2.3084025671752619</v>
      </c>
      <c r="AL470">
        <f t="shared" si="438"/>
        <v>1.1227561271016899</v>
      </c>
      <c r="AM470" t="str">
        <f t="shared" si="419"/>
        <v>1-1,3675216289848i</v>
      </c>
      <c r="AN470">
        <f t="shared" si="439"/>
        <v>1.6941414951949088</v>
      </c>
      <c r="AO470">
        <f t="shared" si="440"/>
        <v>-0.93940369814351843</v>
      </c>
      <c r="AP470" s="41" t="str">
        <f t="shared" si="441"/>
        <v>0,0194470437186549-0,104801328427127i</v>
      </c>
      <c r="AQ470">
        <f t="shared" si="442"/>
        <v>-19.445640997689459</v>
      </c>
      <c r="AR470" s="43">
        <f t="shared" si="443"/>
        <v>-79.48770339922919</v>
      </c>
      <c r="AS470" t="str">
        <f t="shared" si="420"/>
        <v>-0,0000166666666666667</v>
      </c>
      <c r="AT470" t="str">
        <f t="shared" si="421"/>
        <v>0,00208679987184106i</v>
      </c>
      <c r="AU470">
        <f t="shared" si="444"/>
        <v>2.0867998718410601E-3</v>
      </c>
      <c r="AV470">
        <f t="shared" si="445"/>
        <v>1.5707963267948966</v>
      </c>
      <c r="AW470" t="str">
        <f t="shared" si="422"/>
        <v>1+1,36906122650504i</v>
      </c>
      <c r="AX470">
        <f t="shared" si="446"/>
        <v>1.6953845115251833</v>
      </c>
      <c r="AY470">
        <f t="shared" si="447"/>
        <v>0.93993972843480578</v>
      </c>
      <c r="AZ470" t="str">
        <f t="shared" si="423"/>
        <v>1+457,72280339485i</v>
      </c>
      <c r="BA470">
        <f t="shared" si="448"/>
        <v>457.72389575773786</v>
      </c>
      <c r="BB470">
        <f t="shared" si="449"/>
        <v>1.568611601888086</v>
      </c>
      <c r="BC470" s="41" t="str">
        <f t="shared" si="450"/>
        <v>-1,26804055005776+1,74401186132507i</v>
      </c>
      <c r="BD470">
        <f t="shared" si="451"/>
        <v>6.6740664519948565</v>
      </c>
      <c r="BE470" s="43">
        <f t="shared" si="452"/>
        <v>126.02024504745553</v>
      </c>
      <c r="BF470" s="41" t="str">
        <f t="shared" si="453"/>
        <v>0,139810980635419-0,0569410302397239i</v>
      </c>
      <c r="BG470" s="20">
        <f t="shared" si="454"/>
        <v>-16.422672758968179</v>
      </c>
      <c r="BH470" s="43">
        <f t="shared" si="455"/>
        <v>-22.159667932815712</v>
      </c>
      <c r="BI470" s="41" t="str">
        <f t="shared" si="409"/>
        <v>0,158115119845533+0,166808209058559i</v>
      </c>
      <c r="BJ470" s="20">
        <f t="shared" si="456"/>
        <v>-12.771574545694618</v>
      </c>
      <c r="BK470" s="43">
        <f t="shared" si="410"/>
        <v>46.532541648226321</v>
      </c>
      <c r="BL470">
        <f t="shared" si="457"/>
        <v>-16.422672758968179</v>
      </c>
      <c r="BM470" s="43">
        <f t="shared" si="458"/>
        <v>-22.159667932815712</v>
      </c>
    </row>
    <row r="471" spans="14:65" x14ac:dyDescent="0.25">
      <c r="N471" s="9">
        <v>53</v>
      </c>
      <c r="O471" s="34">
        <f t="shared" si="408"/>
        <v>338844.15613920329</v>
      </c>
      <c r="P471" s="33" t="str">
        <f t="shared" si="411"/>
        <v>66,7780509511648</v>
      </c>
      <c r="Q471" s="4" t="str">
        <f t="shared" si="412"/>
        <v>1+8297,66601781732i</v>
      </c>
      <c r="R471" s="4">
        <f t="shared" si="424"/>
        <v>8297.6660780752281</v>
      </c>
      <c r="S471" s="4">
        <f t="shared" si="425"/>
        <v>1.5706758109783994</v>
      </c>
      <c r="T471" s="4" t="str">
        <f t="shared" si="413"/>
        <v>1+2,12902062327751i</v>
      </c>
      <c r="U471" s="4">
        <f t="shared" si="426"/>
        <v>2.3521753366492382</v>
      </c>
      <c r="V471" s="4">
        <f t="shared" si="427"/>
        <v>1.1316815679641479</v>
      </c>
      <c r="W471" t="str">
        <f t="shared" si="414"/>
        <v>1-4,6314116401579i</v>
      </c>
      <c r="X471" s="4">
        <f t="shared" si="428"/>
        <v>4.7381403293475897</v>
      </c>
      <c r="Y471" s="4">
        <f t="shared" si="429"/>
        <v>-1.358143952248642</v>
      </c>
      <c r="Z471" t="str">
        <f t="shared" si="415"/>
        <v>0,885184637850311+0,910305546868655i</v>
      </c>
      <c r="AA471" s="4">
        <f t="shared" si="430"/>
        <v>1.2697275423278913</v>
      </c>
      <c r="AB471" s="4">
        <f t="shared" si="431"/>
        <v>0.79938836522339762</v>
      </c>
      <c r="AC471" s="47" t="str">
        <f t="shared" si="432"/>
        <v>-0,0604029598472731-0,0366245542583099i</v>
      </c>
      <c r="AD471" s="20">
        <f t="shared" si="433"/>
        <v>-23.019102872494241</v>
      </c>
      <c r="AE471" s="43">
        <f t="shared" si="434"/>
        <v>-148.77001330948457</v>
      </c>
      <c r="AF471" t="str">
        <f t="shared" si="416"/>
        <v>223,849857273222</v>
      </c>
      <c r="AG471" t="str">
        <f t="shared" si="417"/>
        <v>1+8404,27194822436i</v>
      </c>
      <c r="AH471">
        <f t="shared" si="435"/>
        <v>8404.272007717911</v>
      </c>
      <c r="AI471">
        <f t="shared" si="436"/>
        <v>1.5706773396891198</v>
      </c>
      <c r="AJ471" t="str">
        <f t="shared" si="418"/>
        <v>1+2,12902062327751i</v>
      </c>
      <c r="AK471">
        <f t="shared" si="437"/>
        <v>2.3521753366492382</v>
      </c>
      <c r="AL471">
        <f t="shared" si="438"/>
        <v>1.1316815679641479</v>
      </c>
      <c r="AM471" t="str">
        <f t="shared" si="419"/>
        <v>1-1,39937529973251i</v>
      </c>
      <c r="AN471">
        <f t="shared" si="439"/>
        <v>1.7199567522183379</v>
      </c>
      <c r="AO471">
        <f t="shared" si="440"/>
        <v>-0.95033573105171609</v>
      </c>
      <c r="AP471" s="41" t="str">
        <f t="shared" si="441"/>
        <v>0,0194468943694376-0,105987293524644i</v>
      </c>
      <c r="AQ471">
        <f t="shared" si="442"/>
        <v>-19.351121189732396</v>
      </c>
      <c r="AR471" s="43">
        <f t="shared" si="443"/>
        <v>-79.602831453672465</v>
      </c>
      <c r="AS471" t="str">
        <f t="shared" si="420"/>
        <v>-0,0000166666666666667</v>
      </c>
      <c r="AT471" t="str">
        <f t="shared" si="421"/>
        <v>0,00213540768514734i</v>
      </c>
      <c r="AU471">
        <f t="shared" si="444"/>
        <v>2.1354076851473401E-3</v>
      </c>
      <c r="AV471">
        <f t="shared" si="445"/>
        <v>1.5707963267948966</v>
      </c>
      <c r="AW471" t="str">
        <f t="shared" si="422"/>
        <v>1+1,4009507590859i</v>
      </c>
      <c r="AX471">
        <f t="shared" si="446"/>
        <v>1.721238806610913</v>
      </c>
      <c r="AY471">
        <f t="shared" si="447"/>
        <v>0.95086789882048273</v>
      </c>
      <c r="AZ471" t="str">
        <f t="shared" si="423"/>
        <v>1+468,384537121052i</v>
      </c>
      <c r="BA471">
        <f t="shared" si="448"/>
        <v>468.38560461878222</v>
      </c>
      <c r="BB471">
        <f t="shared" si="449"/>
        <v>1.5686613321455314</v>
      </c>
      <c r="BC471" s="41" t="str">
        <f t="shared" si="450"/>
        <v>-1,23023281284371+1,73130050388185i</v>
      </c>
      <c r="BD471">
        <f t="shared" si="451"/>
        <v>6.5426071641290839</v>
      </c>
      <c r="BE471" s="43">
        <f t="shared" si="452"/>
        <v>125.39695634042221</v>
      </c>
      <c r="BF471" s="41" t="str">
        <f t="shared" si="453"/>
        <v>0,137717812438857-0,0595189464151914i</v>
      </c>
      <c r="BG471" s="20">
        <f t="shared" si="454"/>
        <v>-16.476495708365132</v>
      </c>
      <c r="BH471" s="43">
        <f t="shared" si="455"/>
        <v>-23.373056969062294</v>
      </c>
      <c r="BI471" s="41" t="str">
        <f t="shared" si="409"/>
        <v>0,159571647123102+0,164057464259259i</v>
      </c>
      <c r="BJ471" s="20">
        <f t="shared" si="456"/>
        <v>-12.808514025603317</v>
      </c>
      <c r="BK471" s="43">
        <f t="shared" si="410"/>
        <v>45.794124886749721</v>
      </c>
      <c r="BL471">
        <f t="shared" si="457"/>
        <v>-16.476495708365132</v>
      </c>
      <c r="BM471" s="43">
        <f t="shared" si="458"/>
        <v>-23.373056969062294</v>
      </c>
    </row>
    <row r="472" spans="14:65" x14ac:dyDescent="0.25">
      <c r="N472" s="9">
        <v>54</v>
      </c>
      <c r="O472" s="34">
        <f t="shared" si="408"/>
        <v>346736.85045253241</v>
      </c>
      <c r="P472" s="33" t="str">
        <f t="shared" si="411"/>
        <v>66,7780509511648</v>
      </c>
      <c r="Q472" s="4" t="str">
        <f t="shared" si="412"/>
        <v>1+8490,94348831862i</v>
      </c>
      <c r="R472" s="4">
        <f t="shared" si="424"/>
        <v>8490.9435472048899</v>
      </c>
      <c r="S472" s="4">
        <f t="shared" si="425"/>
        <v>1.570678554253276</v>
      </c>
      <c r="T472" s="4" t="str">
        <f t="shared" si="413"/>
        <v>1+2,17861188422108i</v>
      </c>
      <c r="U472" s="4">
        <f t="shared" si="426"/>
        <v>2.3971545094276516</v>
      </c>
      <c r="V472" s="4">
        <f t="shared" si="427"/>
        <v>1.1404767540148129</v>
      </c>
      <c r="W472" t="str">
        <f t="shared" si="414"/>
        <v>1-4,73929107574109i</v>
      </c>
      <c r="X472" s="4">
        <f t="shared" si="428"/>
        <v>4.8436432466273915</v>
      </c>
      <c r="Y472" s="4">
        <f t="shared" si="429"/>
        <v>-1.3628446269480383</v>
      </c>
      <c r="Z472" t="str">
        <f t="shared" si="415"/>
        <v>0,879773556538258+0,931509286944995i</v>
      </c>
      <c r="AA472" s="4">
        <f t="shared" si="430"/>
        <v>1.2812927309747559</v>
      </c>
      <c r="AB472" s="4">
        <f t="shared" si="431"/>
        <v>0.81395343183548863</v>
      </c>
      <c r="AC472" s="47" t="str">
        <f t="shared" si="432"/>
        <v>-0,0613248430767697-0,0363106357198354i</v>
      </c>
      <c r="AD472" s="20">
        <f t="shared" si="433"/>
        <v>-22.942048018120744</v>
      </c>
      <c r="AE472" s="43">
        <f t="shared" si="434"/>
        <v>-149.37008911316067</v>
      </c>
      <c r="AF472" t="str">
        <f t="shared" si="416"/>
        <v>223,849857273222</v>
      </c>
      <c r="AG472" t="str">
        <f t="shared" si="417"/>
        <v>1+8600,03258983971i</v>
      </c>
      <c r="AH472">
        <f t="shared" si="435"/>
        <v>8600.0326479790237</v>
      </c>
      <c r="AI472">
        <f t="shared" si="436"/>
        <v>1.570680048166293</v>
      </c>
      <c r="AJ472" t="str">
        <f t="shared" si="418"/>
        <v>1+2,17861188422108i</v>
      </c>
      <c r="AK472">
        <f t="shared" si="437"/>
        <v>2.3971545094276516</v>
      </c>
      <c r="AL472">
        <f t="shared" si="438"/>
        <v>1.1404767540148129</v>
      </c>
      <c r="AM472" t="str">
        <f t="shared" si="419"/>
        <v>1-1,43197093778705i</v>
      </c>
      <c r="AN472">
        <f t="shared" si="439"/>
        <v>1.7465797338417515</v>
      </c>
      <c r="AO472">
        <f t="shared" si="440"/>
        <v>-0.96118653871959858</v>
      </c>
      <c r="AP472" s="41" t="str">
        <f t="shared" si="441"/>
        <v>0,0194467517420425-0,107229454486494i</v>
      </c>
      <c r="AQ472">
        <f t="shared" si="442"/>
        <v>-19.253176680126526</v>
      </c>
      <c r="AR472" s="43">
        <f t="shared" si="443"/>
        <v>-79.720765080925744</v>
      </c>
      <c r="AS472" t="str">
        <f t="shared" si="420"/>
        <v>-0,0000166666666666667</v>
      </c>
      <c r="AT472" t="str">
        <f t="shared" si="421"/>
        <v>0,00218514771987374i</v>
      </c>
      <c r="AU472">
        <f t="shared" si="444"/>
        <v>2.1851477198737402E-3</v>
      </c>
      <c r="AV472">
        <f t="shared" si="445"/>
        <v>1.5707963267948966</v>
      </c>
      <c r="AW472" t="str">
        <f t="shared" si="422"/>
        <v>1+1,433583094303i</v>
      </c>
      <c r="AX472">
        <f t="shared" si="446"/>
        <v>1.7479017387345788</v>
      </c>
      <c r="AY472">
        <f t="shared" si="447"/>
        <v>0.96171462123953544</v>
      </c>
      <c r="AZ472" t="str">
        <f t="shared" si="423"/>
        <v>1+479,294614528637i</v>
      </c>
      <c r="BA472">
        <f t="shared" si="448"/>
        <v>479.29565772720576</v>
      </c>
      <c r="BB472">
        <f t="shared" si="449"/>
        <v>1.5687099304143188</v>
      </c>
      <c r="BC472" s="41" t="str">
        <f t="shared" si="450"/>
        <v>-1,19298651777491+1,71787255302787i</v>
      </c>
      <c r="BD472">
        <f t="shared" si="451"/>
        <v>6.4090885657805332</v>
      </c>
      <c r="BE472" s="43">
        <f t="shared" si="452"/>
        <v>124.7782693999535</v>
      </c>
      <c r="BF472" s="41" t="str">
        <f t="shared" si="453"/>
        <v>0,135536755481347-0,0620301658747242i</v>
      </c>
      <c r="BG472" s="20">
        <f t="shared" si="454"/>
        <v>-16.532959452340204</v>
      </c>
      <c r="BH472" s="43">
        <f t="shared" si="455"/>
        <v>-24.591819713207148</v>
      </c>
      <c r="BI472" s="41" t="str">
        <f t="shared" si="409"/>
        <v>0,161006824095727+0,161330334573947i</v>
      </c>
      <c r="BJ472" s="20">
        <f t="shared" si="456"/>
        <v>-12.844088114345995</v>
      </c>
      <c r="BK472" s="43">
        <f t="shared" si="410"/>
        <v>45.057504319027665</v>
      </c>
      <c r="BL472">
        <f t="shared" si="457"/>
        <v>-16.532959452340204</v>
      </c>
      <c r="BM472" s="43">
        <f t="shared" si="458"/>
        <v>-24.591819713207148</v>
      </c>
    </row>
    <row r="473" spans="14:65" x14ac:dyDescent="0.25">
      <c r="N473" s="9">
        <v>55</v>
      </c>
      <c r="O473" s="34">
        <f t="shared" si="408"/>
        <v>354813.38923357555</v>
      </c>
      <c r="P473" s="33" t="str">
        <f t="shared" si="411"/>
        <v>66,7780509511648</v>
      </c>
      <c r="Q473" s="4" t="str">
        <f t="shared" si="412"/>
        <v>1+8688,7229694483i</v>
      </c>
      <c r="R473" s="4">
        <f t="shared" si="424"/>
        <v>8688.7230269941556</v>
      </c>
      <c r="S473" s="4">
        <f t="shared" si="425"/>
        <v>1.5706812350835944</v>
      </c>
      <c r="T473" s="4" t="str">
        <f t="shared" si="413"/>
        <v>1+2,22935827402299i</v>
      </c>
      <c r="U473" s="4">
        <f t="shared" si="426"/>
        <v>2.4433661849904458</v>
      </c>
      <c r="V473" s="4">
        <f t="shared" si="427"/>
        <v>1.1491409047231456</v>
      </c>
      <c r="W473" t="str">
        <f t="shared" si="414"/>
        <v>1-4,84968334618455i</v>
      </c>
      <c r="X473" s="4">
        <f t="shared" si="428"/>
        <v>4.9517096601335355</v>
      </c>
      <c r="Y473" s="4">
        <f t="shared" si="429"/>
        <v>-1.367447329171035</v>
      </c>
      <c r="Z473" t="str">
        <f t="shared" si="415"/>
        <v>0,874107458820584+0,953206925575251i</v>
      </c>
      <c r="AA473" s="4">
        <f t="shared" si="430"/>
        <v>1.2933163930494354</v>
      </c>
      <c r="AB473" s="4">
        <f t="shared" si="431"/>
        <v>0.8286584352352514</v>
      </c>
      <c r="AC473" s="47" t="str">
        <f t="shared" si="432"/>
        <v>-0,0622529775277092-0,0359706465205363i</v>
      </c>
      <c r="AD473" s="20">
        <f t="shared" si="433"/>
        <v>-22.865665302967642</v>
      </c>
      <c r="AE473" s="43">
        <f t="shared" si="434"/>
        <v>-149.98007348903585</v>
      </c>
      <c r="AF473" t="str">
        <f t="shared" si="416"/>
        <v>223,849857273222</v>
      </c>
      <c r="AG473" t="str">
        <f t="shared" si="417"/>
        <v>1+8800,35308256904i</v>
      </c>
      <c r="AH473">
        <f t="shared" si="435"/>
        <v>8800.3531393849407</v>
      </c>
      <c r="AI473">
        <f t="shared" si="436"/>
        <v>1.5706826949910004</v>
      </c>
      <c r="AJ473" t="str">
        <f t="shared" si="418"/>
        <v>1+2,22935827402299i</v>
      </c>
      <c r="AK473">
        <f t="shared" si="437"/>
        <v>2.4433661849904458</v>
      </c>
      <c r="AL473">
        <f t="shared" si="438"/>
        <v>1.1491409047231456</v>
      </c>
      <c r="AM473" t="str">
        <f t="shared" si="419"/>
        <v>1-1,46532582578719i</v>
      </c>
      <c r="AN473">
        <f t="shared" si="439"/>
        <v>1.7740292488341081</v>
      </c>
      <c r="AO473">
        <f t="shared" si="440"/>
        <v>-0.97195165394056116</v>
      </c>
      <c r="AP473" s="41" t="str">
        <f t="shared" si="441"/>
        <v>0,0194466155339369-0,108528469922971i</v>
      </c>
      <c r="AQ473">
        <f t="shared" si="442"/>
        <v>-19.151878859429445</v>
      </c>
      <c r="AR473" s="43">
        <f t="shared" si="443"/>
        <v>-79.841293132291156</v>
      </c>
      <c r="AS473" t="str">
        <f t="shared" si="420"/>
        <v>-0,0000166666666666667</v>
      </c>
      <c r="AT473" t="str">
        <f t="shared" si="421"/>
        <v>0,00223604634884506i</v>
      </c>
      <c r="AU473">
        <f t="shared" si="444"/>
        <v>2.2360463488450598E-3</v>
      </c>
      <c r="AV473">
        <f t="shared" si="445"/>
        <v>1.5707963267948966</v>
      </c>
      <c r="AW473" t="str">
        <f t="shared" si="422"/>
        <v>1+1,46697553425242i</v>
      </c>
      <c r="AX473">
        <f t="shared" si="446"/>
        <v>1.7753921307967921</v>
      </c>
      <c r="AY473">
        <f t="shared" si="447"/>
        <v>0.97247543785420387</v>
      </c>
      <c r="AZ473" t="str">
        <f t="shared" si="423"/>
        <v>1+490,458820285057i</v>
      </c>
      <c r="BA473">
        <f t="shared" si="448"/>
        <v>490.45983973757711</v>
      </c>
      <c r="BB473">
        <f t="shared" si="449"/>
        <v>1.5687574224609748</v>
      </c>
      <c r="BC473" s="41" t="str">
        <f t="shared" si="450"/>
        <v>-1,15632784339578+1,70375828785767i</v>
      </c>
      <c r="BD473">
        <f t="shared" si="451"/>
        <v>6.2735421907122628</v>
      </c>
      <c r="BE473" s="43">
        <f t="shared" si="452"/>
        <v>124.16444111765293</v>
      </c>
      <c r="BF473" s="41" t="str">
        <f t="shared" si="453"/>
        <v>0,133270138378544-0,0644701662900082i</v>
      </c>
      <c r="BG473" s="20">
        <f t="shared" si="454"/>
        <v>-16.5921231122554</v>
      </c>
      <c r="BH473" s="43">
        <f t="shared" si="455"/>
        <v>-25.815632371382961</v>
      </c>
      <c r="BI473" s="41" t="str">
        <f t="shared" si="409"/>
        <v>0,16241961709807+0,1586268239598i</v>
      </c>
      <c r="BJ473" s="20">
        <f t="shared" si="456"/>
        <v>-12.878336668717161</v>
      </c>
      <c r="BK473" s="43">
        <f t="shared" si="410"/>
        <v>44.323147985361793</v>
      </c>
      <c r="BL473">
        <f t="shared" si="457"/>
        <v>-16.5921231122554</v>
      </c>
      <c r="BM473" s="43">
        <f t="shared" si="458"/>
        <v>-25.815632371382961</v>
      </c>
    </row>
    <row r="474" spans="14:65" x14ac:dyDescent="0.25">
      <c r="N474" s="9">
        <v>56</v>
      </c>
      <c r="O474" s="34">
        <f t="shared" si="408"/>
        <v>363078.05477010203</v>
      </c>
      <c r="P474" s="33" t="str">
        <f t="shared" si="411"/>
        <v>66,7780509511648</v>
      </c>
      <c r="Q474" s="4" t="str">
        <f t="shared" si="412"/>
        <v>1+8891,1093265053i</v>
      </c>
      <c r="R474" s="4">
        <f t="shared" si="424"/>
        <v>8891.1093827412515</v>
      </c>
      <c r="S474" s="4">
        <f t="shared" si="425"/>
        <v>1.5706838548907662</v>
      </c>
      <c r="T474" s="4" t="str">
        <f t="shared" si="413"/>
        <v>1+2,28128669909085i</v>
      </c>
      <c r="U474" s="4">
        <f t="shared" si="426"/>
        <v>2.4908370086075133</v>
      </c>
      <c r="V474" s="4">
        <f t="shared" si="427"/>
        <v>1.1576734097316572</v>
      </c>
      <c r="W474" t="str">
        <f t="shared" si="414"/>
        <v>1-4,96264698293135i</v>
      </c>
      <c r="X474" s="4">
        <f t="shared" si="428"/>
        <v>5.0623971670738781</v>
      </c>
      <c r="Y474" s="4">
        <f t="shared" si="429"/>
        <v>-1.3719537189047224</v>
      </c>
      <c r="Z474" t="str">
        <f t="shared" si="415"/>
        <v>0,868174326144359+0,975409967134639i</v>
      </c>
      <c r="AA474" s="4">
        <f t="shared" si="430"/>
        <v>1.3058144066297512</v>
      </c>
      <c r="AB474" s="4">
        <f t="shared" si="431"/>
        <v>0.84349962707079362</v>
      </c>
      <c r="AC474" s="47" t="str">
        <f t="shared" si="432"/>
        <v>-0,0631861801512415-0,0356037544328506i</v>
      </c>
      <c r="AD474" s="20">
        <f t="shared" si="433"/>
        <v>-22.790042909812335</v>
      </c>
      <c r="AE474" s="43">
        <f t="shared" si="434"/>
        <v>-150.59988183496995</v>
      </c>
      <c r="AF474" t="str">
        <f t="shared" si="416"/>
        <v>223,849857273222</v>
      </c>
      <c r="AG474" t="str">
        <f t="shared" si="417"/>
        <v>1+9005,33963898926i</v>
      </c>
      <c r="AH474">
        <f t="shared" si="435"/>
        <v>9005.3396945118748</v>
      </c>
      <c r="AI474">
        <f t="shared" si="436"/>
        <v>1.5706852815666235</v>
      </c>
      <c r="AJ474" t="str">
        <f t="shared" si="418"/>
        <v>1+2,28128669909085i</v>
      </c>
      <c r="AK474">
        <f t="shared" si="437"/>
        <v>2.4908370086075133</v>
      </c>
      <c r="AL474">
        <f t="shared" si="438"/>
        <v>1.1576734097316572</v>
      </c>
      <c r="AM474" t="str">
        <f t="shared" si="419"/>
        <v>1-1,49945764893604i</v>
      </c>
      <c r="AN474">
        <f t="shared" si="439"/>
        <v>1.8023243994777403</v>
      </c>
      <c r="AO474">
        <f t="shared" si="440"/>
        <v>-0.98262680421594617</v>
      </c>
      <c r="AP474" s="41" t="str">
        <f t="shared" si="441"/>
        <v>0,0194464854562063-0,10988502858935i</v>
      </c>
      <c r="AQ474">
        <f t="shared" si="442"/>
        <v>-19.047300118836425</v>
      </c>
      <c r="AR474" s="43">
        <f t="shared" si="443"/>
        <v>-79.96420586294316</v>
      </c>
      <c r="AS474" t="str">
        <f t="shared" si="420"/>
        <v>-0,0000166666666666667</v>
      </c>
      <c r="AT474" t="str">
        <f t="shared" si="421"/>
        <v>0,00228813055918812i</v>
      </c>
      <c r="AU474">
        <f t="shared" si="444"/>
        <v>2.2881305591881201E-3</v>
      </c>
      <c r="AV474">
        <f t="shared" si="445"/>
        <v>1.5707963267948966</v>
      </c>
      <c r="AW474" t="str">
        <f t="shared" si="422"/>
        <v>1+1,50114578404782i</v>
      </c>
      <c r="AX474">
        <f t="shared" si="446"/>
        <v>1.8037290996611837</v>
      </c>
      <c r="AY474">
        <f t="shared" si="447"/>
        <v>0.98314608583294616</v>
      </c>
      <c r="AZ474" t="str">
        <f t="shared" si="423"/>
        <v>1+501,883073799987i</v>
      </c>
      <c r="BA474">
        <f t="shared" si="448"/>
        <v>501.88407004698121</v>
      </c>
      <c r="BB474">
        <f t="shared" si="449"/>
        <v>1.5688038334655541</v>
      </c>
      <c r="BC474" s="41" t="str">
        <f t="shared" si="450"/>
        <v>-1,12028092350285+1,68898895190794i</v>
      </c>
      <c r="BD474">
        <f t="shared" si="451"/>
        <v>6.1360009533342144</v>
      </c>
      <c r="BE474" s="43">
        <f t="shared" si="452"/>
        <v>123.55571717848628</v>
      </c>
      <c r="BF474" s="41" t="str">
        <f t="shared" si="453"/>
        <v>0,130920620135978-0,0668345532925091i</v>
      </c>
      <c r="BG474" s="20">
        <f t="shared" si="454"/>
        <v>-16.654041956478135</v>
      </c>
      <c r="BH474" s="43">
        <f t="shared" si="455"/>
        <v>-27.04416465648373</v>
      </c>
      <c r="BI474" s="41" t="str">
        <f t="shared" si="409"/>
        <v>0,163809072581737+0,155947000396185i</v>
      </c>
      <c r="BJ474" s="20">
        <f t="shared" si="456"/>
        <v>-12.911299165502204</v>
      </c>
      <c r="BK474" s="43">
        <f t="shared" si="410"/>
        <v>43.591511315543087</v>
      </c>
      <c r="BL474">
        <f t="shared" si="457"/>
        <v>-16.654041956478135</v>
      </c>
      <c r="BM474" s="43">
        <f t="shared" si="458"/>
        <v>-27.04416465648373</v>
      </c>
    </row>
    <row r="475" spans="14:65" x14ac:dyDescent="0.25">
      <c r="N475" s="9">
        <v>57</v>
      </c>
      <c r="O475" s="34">
        <f t="shared" si="408"/>
        <v>371535.2290971732</v>
      </c>
      <c r="P475" s="33" t="str">
        <f t="shared" si="411"/>
        <v>66,7780509511648</v>
      </c>
      <c r="Q475" s="4" t="str">
        <f t="shared" si="412"/>
        <v>1+9098,20986741493i</v>
      </c>
      <c r="R475" s="4">
        <f t="shared" si="424"/>
        <v>9098.2099223707937</v>
      </c>
      <c r="S475" s="4">
        <f t="shared" si="425"/>
        <v>1.5706864150638478</v>
      </c>
      <c r="T475" s="4" t="str">
        <f t="shared" si="413"/>
        <v>1+2,33442469256296i</v>
      </c>
      <c r="U475" s="4">
        <f t="shared" si="426"/>
        <v>2.5395941890876323</v>
      </c>
      <c r="V475" s="4">
        <f t="shared" si="427"/>
        <v>1.1660738224628642</v>
      </c>
      <c r="W475" t="str">
        <f t="shared" si="414"/>
        <v>1-5,07824188079687i</v>
      </c>
      <c r="X475" s="4">
        <f t="shared" si="428"/>
        <v>5.1757647357544503</v>
      </c>
      <c r="Y475" s="4">
        <f t="shared" si="429"/>
        <v>-1.3763654530405613</v>
      </c>
      <c r="Z475" t="str">
        <f t="shared" si="415"/>
        <v>0,861961573539711+0,998130183969677i</v>
      </c>
      <c r="AA475" s="4">
        <f t="shared" si="430"/>
        <v>1.3188031006979002</v>
      </c>
      <c r="AB475" s="4">
        <f t="shared" si="431"/>
        <v>0.85847313168840167</v>
      </c>
      <c r="AC475" s="47" t="str">
        <f t="shared" si="432"/>
        <v>-0,0641232153205439-0,0352091818065393i</v>
      </c>
      <c r="AD475" s="20">
        <f t="shared" si="433"/>
        <v>-22.71526643011212</v>
      </c>
      <c r="AE475" s="43">
        <f t="shared" si="434"/>
        <v>-151.22941269184213</v>
      </c>
      <c r="AF475" t="str">
        <f t="shared" si="416"/>
        <v>223,849857273222</v>
      </c>
      <c r="AG475" t="str">
        <f t="shared" si="417"/>
        <v>1+9215,1009456858i</v>
      </c>
      <c r="AH475">
        <f t="shared" si="435"/>
        <v>9215.1009999445632</v>
      </c>
      <c r="AI475">
        <f t="shared" si="436"/>
        <v>1.5706878092645984</v>
      </c>
      <c r="AJ475" t="str">
        <f t="shared" si="418"/>
        <v>1+2,33442469256296i</v>
      </c>
      <c r="AK475">
        <f t="shared" si="437"/>
        <v>2.5395941890876323</v>
      </c>
      <c r="AL475">
        <f t="shared" si="438"/>
        <v>1.1660738224628642</v>
      </c>
      <c r="AM475" t="str">
        <f t="shared" si="419"/>
        <v>1-1,53438450437803i</v>
      </c>
      <c r="AN475">
        <f t="shared" si="439"/>
        <v>1.8314845910559587</v>
      </c>
      <c r="AO475">
        <f t="shared" si="440"/>
        <v>-0.99320791738607594</v>
      </c>
      <c r="AP475" s="41" t="str">
        <f t="shared" si="441"/>
        <v>0,0194463612329374-0,111299849751088i</v>
      </c>
      <c r="AQ475">
        <f t="shared" si="442"/>
        <v>-18.939513678572631</v>
      </c>
      <c r="AR475" s="43">
        <f t="shared" si="443"/>
        <v>-80.089295620901666</v>
      </c>
      <c r="AS475" t="str">
        <f t="shared" si="420"/>
        <v>-0,0000166666666666667</v>
      </c>
      <c r="AT475" t="str">
        <f t="shared" si="421"/>
        <v>0,00234142796664065i</v>
      </c>
      <c r="AU475">
        <f t="shared" si="444"/>
        <v>2.34142796664065E-3</v>
      </c>
      <c r="AV475">
        <f t="shared" si="445"/>
        <v>1.5707963267948966</v>
      </c>
      <c r="AW475" t="str">
        <f t="shared" si="422"/>
        <v>1+1,53611196120793i</v>
      </c>
      <c r="AX475">
        <f t="shared" si="446"/>
        <v>1.8329320656713037</v>
      </c>
      <c r="AY475">
        <f t="shared" si="447"/>
        <v>0.99372250293293196</v>
      </c>
      <c r="AZ475" t="str">
        <f t="shared" si="423"/>
        <v>1+513,573432363851i</v>
      </c>
      <c r="BA475">
        <f t="shared" si="448"/>
        <v>513.57440593353851</v>
      </c>
      <c r="BB475">
        <f t="shared" si="449"/>
        <v>1.5688491880349849</v>
      </c>
      <c r="BC475" s="41" t="str">
        <f t="shared" si="450"/>
        <v>-1,08486781869442+1,67359659594524i</v>
      </c>
      <c r="BD475">
        <f t="shared" si="451"/>
        <v>5.9964990356536862</v>
      </c>
      <c r="BE475" s="43">
        <f t="shared" si="452"/>
        <v>122.95233174169722</v>
      </c>
      <c r="BF475" s="41" t="str">
        <f t="shared" si="453"/>
        <v>0,128491179549912-0,0691190866170504i</v>
      </c>
      <c r="BG475" s="20">
        <f t="shared" si="454"/>
        <v>-16.718767394458453</v>
      </c>
      <c r="BH475" s="43">
        <f t="shared" si="455"/>
        <v>-28.277080950144956</v>
      </c>
      <c r="BI475" s="41" t="str">
        <f t="shared" si="409"/>
        <v>0,165174318180317+0,153290989183445i</v>
      </c>
      <c r="BJ475" s="20">
        <f t="shared" si="456"/>
        <v>-12.943014642918945</v>
      </c>
      <c r="BK475" s="43">
        <f t="shared" si="410"/>
        <v>42.863036120795556</v>
      </c>
      <c r="BL475">
        <f t="shared" si="457"/>
        <v>-16.718767394458453</v>
      </c>
      <c r="BM475" s="43">
        <f t="shared" si="458"/>
        <v>-28.277080950144956</v>
      </c>
    </row>
    <row r="476" spans="14:65" x14ac:dyDescent="0.25">
      <c r="N476" s="9">
        <v>58</v>
      </c>
      <c r="O476" s="34">
        <f t="shared" si="408"/>
        <v>380189.39632056188</v>
      </c>
      <c r="P476" s="33" t="str">
        <f t="shared" si="411"/>
        <v>66,7780509511648</v>
      </c>
      <c r="Q476" s="4" t="str">
        <f t="shared" si="412"/>
        <v>1+9310,1343996253i</v>
      </c>
      <c r="R476" s="4">
        <f t="shared" si="424"/>
        <v>9310.1344533302163</v>
      </c>
      <c r="S476" s="4">
        <f t="shared" si="425"/>
        <v>1.5706889169602765</v>
      </c>
      <c r="T476" s="4" t="str">
        <f t="shared" si="413"/>
        <v>1+2,38880042890683i</v>
      </c>
      <c r="U476" s="4">
        <f t="shared" si="426"/>
        <v>2.5896655168468099</v>
      </c>
      <c r="V476" s="4">
        <f t="shared" si="427"/>
        <v>1.174341853545493</v>
      </c>
      <c r="W476" t="str">
        <f t="shared" si="414"/>
        <v>1-5,19652932972608i</v>
      </c>
      <c r="X476" s="4">
        <f t="shared" si="428"/>
        <v>5.2918727379542476</v>
      </c>
      <c r="Y476" s="4">
        <f t="shared" si="429"/>
        <v>-1.380684183471945</v>
      </c>
      <c r="Z476" t="str">
        <f t="shared" si="415"/>
        <v>0,855456022925407+1,02137962264007i</v>
      </c>
      <c r="AA476" s="4">
        <f t="shared" si="430"/>
        <v>1.332299268446743</v>
      </c>
      <c r="AB476" s="4">
        <f t="shared" si="431"/>
        <v>0.87357495727251566</v>
      </c>
      <c r="AC476" s="47" t="str">
        <f t="shared" si="432"/>
        <v>-0,0650627978493381-0,0347862094735894i</v>
      </c>
      <c r="AD476" s="20">
        <f t="shared" si="433"/>
        <v>-22.641418756523102</v>
      </c>
      <c r="AE476" s="43">
        <f t="shared" si="434"/>
        <v>-151.8685486495161</v>
      </c>
      <c r="AF476" t="str">
        <f t="shared" si="416"/>
        <v>223,849857273222</v>
      </c>
      <c r="AG476" t="str">
        <f t="shared" si="417"/>
        <v>1+9429,74822088003i</v>
      </c>
      <c r="AH476">
        <f t="shared" si="435"/>
        <v>9429.748273903715</v>
      </c>
      <c r="AI476">
        <f t="shared" si="436"/>
        <v>1.5706902794251443</v>
      </c>
      <c r="AJ476" t="str">
        <f t="shared" si="418"/>
        <v>1+2,38880042890683i</v>
      </c>
      <c r="AK476">
        <f t="shared" si="437"/>
        <v>2.5896655168468099</v>
      </c>
      <c r="AL476">
        <f t="shared" si="438"/>
        <v>1.174341853545493</v>
      </c>
      <c r="AM476" t="str">
        <f t="shared" si="419"/>
        <v>1-1,57012491079421i</v>
      </c>
      <c r="AN476">
        <f t="shared" si="439"/>
        <v>1.8615295419349449</v>
      </c>
      <c r="AO476">
        <f t="shared" si="440"/>
        <v>-1.0036911262716854</v>
      </c>
      <c r="AP476" s="41" t="str">
        <f t="shared" si="441"/>
        <v>0,0194462426006368-0,112773683565177i</v>
      </c>
      <c r="AQ476">
        <f t="shared" si="442"/>
        <v>-18.828593419963095</v>
      </c>
      <c r="AR476" s="43">
        <f t="shared" si="443"/>
        <v>-80.216357489657497</v>
      </c>
      <c r="AS476" t="str">
        <f t="shared" si="420"/>
        <v>-0,0000166666666666667</v>
      </c>
      <c r="AT476" t="str">
        <f t="shared" si="421"/>
        <v>0,00239596683019355i</v>
      </c>
      <c r="AU476">
        <f t="shared" si="444"/>
        <v>2.39596683019355E-3</v>
      </c>
      <c r="AV476">
        <f t="shared" si="445"/>
        <v>1.5707963267948966</v>
      </c>
      <c r="AW476" t="str">
        <f t="shared" si="422"/>
        <v>1+1,57189260526272i</v>
      </c>
      <c r="AX476">
        <f t="shared" si="446"/>
        <v>1.86302076276128</v>
      </c>
      <c r="AY476">
        <f t="shared" si="447"/>
        <v>1.0042008320933926</v>
      </c>
      <c r="AZ476" t="str">
        <f t="shared" si="423"/>
        <v>1+525,536094359502i</v>
      </c>
      <c r="BA476">
        <f t="shared" si="448"/>
        <v>525.53704576807843</v>
      </c>
      <c r="BB476">
        <f t="shared" si="449"/>
        <v>1.5688935102161137</v>
      </c>
      <c r="BC476" s="41" t="str">
        <f t="shared" si="450"/>
        <v>-1,05010850135771+1,65761392214806i</v>
      </c>
      <c r="BD476">
        <f t="shared" si="451"/>
        <v>5.8550717730371158</v>
      </c>
      <c r="BE476" s="43">
        <f t="shared" si="452"/>
        <v>122.35450717837134</v>
      </c>
      <c r="BF476" s="41" t="str">
        <f t="shared" si="453"/>
        <v>0,125985102265889-0,0713197052307414i</v>
      </c>
      <c r="BG476" s="20">
        <f t="shared" si="454"/>
        <v>-16.786346983485963</v>
      </c>
      <c r="BH476" s="43">
        <f t="shared" si="455"/>
        <v>-29.514041471144722</v>
      </c>
      <c r="BI476" s="41" t="str">
        <f t="shared" si="409"/>
        <v>0,166514563255164+0,150658966309501i</v>
      </c>
      <c r="BJ476" s="20">
        <f t="shared" si="456"/>
        <v>-12.973521646925978</v>
      </c>
      <c r="BK476" s="43">
        <f t="shared" si="410"/>
        <v>42.138149688713888</v>
      </c>
      <c r="BL476">
        <f t="shared" si="457"/>
        <v>-16.786346983485963</v>
      </c>
      <c r="BM476" s="43">
        <f t="shared" si="458"/>
        <v>-29.514041471144722</v>
      </c>
    </row>
    <row r="477" spans="14:65" x14ac:dyDescent="0.25">
      <c r="N477" s="9">
        <v>59</v>
      </c>
      <c r="O477" s="34">
        <f t="shared" si="408"/>
        <v>389045.14499428123</v>
      </c>
      <c r="P477" s="33" t="str">
        <f t="shared" si="411"/>
        <v>66,7780509511648</v>
      </c>
      <c r="Q477" s="4" t="str">
        <f t="shared" si="412"/>
        <v>1+9526,99528832856i</v>
      </c>
      <c r="R477" s="4">
        <f t="shared" si="424"/>
        <v>9526.9953408110032</v>
      </c>
      <c r="S477" s="4">
        <f t="shared" si="425"/>
        <v>1.570691361906591</v>
      </c>
      <c r="T477" s="4" t="str">
        <f t="shared" si="413"/>
        <v>1+2,44444273885762i</v>
      </c>
      <c r="U477" s="4">
        <f t="shared" si="426"/>
        <v>2.641079382289321</v>
      </c>
      <c r="V477" s="4">
        <f t="shared" si="427"/>
        <v>1.1824773641045274</v>
      </c>
      <c r="W477" t="str">
        <f t="shared" si="414"/>
        <v>1-5,3175720472901i</v>
      </c>
      <c r="X477" s="4">
        <f t="shared" si="428"/>
        <v>5.4107829819833855</v>
      </c>
      <c r="Y477" s="4">
        <f t="shared" si="429"/>
        <v>-1.384911555332772</v>
      </c>
      <c r="Z477" t="str">
        <f t="shared" si="415"/>
        <v>0,848643875156379+1,04517061030595i</v>
      </c>
      <c r="AA477" s="4">
        <f t="shared" si="430"/>
        <v>1.3463201816387318</v>
      </c>
      <c r="AB477" s="4">
        <f t="shared" si="431"/>
        <v>0.8888010076974654</v>
      </c>
      <c r="AC477" s="47" t="str">
        <f t="shared" si="432"/>
        <v>-0,0660035963491281-0,0343341804277184i</v>
      </c>
      <c r="AD477" s="20">
        <f t="shared" si="433"/>
        <v>-22.568579987467107</v>
      </c>
      <c r="AE477" s="43">
        <f t="shared" si="434"/>
        <v>-152.51715730946503</v>
      </c>
      <c r="AF477" t="str">
        <f t="shared" si="416"/>
        <v>223,849857273222</v>
      </c>
      <c r="AG477" t="str">
        <f t="shared" si="417"/>
        <v>1+9649,39527339845i</v>
      </c>
      <c r="AH477">
        <f t="shared" si="435"/>
        <v>9649.3953252151696</v>
      </c>
      <c r="AI477">
        <f t="shared" si="436"/>
        <v>1.5706926933579726</v>
      </c>
      <c r="AJ477" t="str">
        <f t="shared" si="418"/>
        <v>1+2,44444273885762i</v>
      </c>
      <c r="AK477">
        <f t="shared" si="437"/>
        <v>2.641079382289321</v>
      </c>
      <c r="AL477">
        <f t="shared" si="438"/>
        <v>1.1824773641045274</v>
      </c>
      <c r="AM477" t="str">
        <f t="shared" si="419"/>
        <v>1-1,60669781822116i</v>
      </c>
      <c r="AN477">
        <f t="shared" si="439"/>
        <v>1.8924792942266597</v>
      </c>
      <c r="AO477">
        <f t="shared" si="440"/>
        <v>-1.0140727723381506</v>
      </c>
      <c r="AP477" s="41" t="str">
        <f t="shared" si="441"/>
        <v>0,019446129307669-0,114307311477896i</v>
      </c>
      <c r="AQ477">
        <f t="shared" si="442"/>
        <v>-18.714613721823959</v>
      </c>
      <c r="AR477" s="43">
        <f t="shared" si="443"/>
        <v>-80.345189882610839</v>
      </c>
      <c r="AS477" t="str">
        <f t="shared" si="420"/>
        <v>-0,0000166666666666667</v>
      </c>
      <c r="AT477" t="str">
        <f t="shared" si="421"/>
        <v>0,00245177606707419i</v>
      </c>
      <c r="AU477">
        <f t="shared" si="444"/>
        <v>2.4517760670741901E-3</v>
      </c>
      <c r="AV477">
        <f t="shared" si="445"/>
        <v>1.5707963267948966</v>
      </c>
      <c r="AW477" t="str">
        <f t="shared" si="422"/>
        <v>1+1,60850668758328i</v>
      </c>
      <c r="AX477">
        <f t="shared" si="446"/>
        <v>1.8940152491466737</v>
      </c>
      <c r="AY477">
        <f t="shared" si="447"/>
        <v>1.0145774250525172</v>
      </c>
      <c r="AZ477" t="str">
        <f t="shared" si="423"/>
        <v>1+537,777402548676i</v>
      </c>
      <c r="BA477">
        <f t="shared" si="448"/>
        <v>537.77833230058718</v>
      </c>
      <c r="BB477">
        <f t="shared" si="449"/>
        <v>1.5689368235084509</v>
      </c>
      <c r="BC477" s="41" t="str">
        <f t="shared" si="450"/>
        <v>-1,01602085358132+1,64107413090554i</v>
      </c>
      <c r="BD477">
        <f t="shared" si="451"/>
        <v>5.711755539504173</v>
      </c>
      <c r="BE477" s="43">
        <f t="shared" si="452"/>
        <v>121.76245386493613</v>
      </c>
      <c r="BF477" s="41" t="str">
        <f t="shared" si="453"/>
        <v>0,12340596560785-0,0734325512101i</v>
      </c>
      <c r="BG477" s="20">
        <f t="shared" si="454"/>
        <v>-16.856824447962936</v>
      </c>
      <c r="BH477" s="43">
        <f t="shared" si="455"/>
        <v>-30.754703444528907</v>
      </c>
      <c r="BI477" s="41" t="str">
        <f t="shared" si="409"/>
        <v>0,167829098941706+0,148051151931417i</v>
      </c>
      <c r="BJ477" s="20">
        <f t="shared" si="456"/>
        <v>-13.002858182319807</v>
      </c>
      <c r="BK477" s="43">
        <f t="shared" si="410"/>
        <v>41.417263982325302</v>
      </c>
      <c r="BL477">
        <f t="shared" si="457"/>
        <v>-16.856824447962936</v>
      </c>
      <c r="BM477" s="43">
        <f t="shared" si="458"/>
        <v>-30.754703444528907</v>
      </c>
    </row>
    <row r="478" spans="14:65" x14ac:dyDescent="0.25">
      <c r="N478" s="9">
        <v>60</v>
      </c>
      <c r="O478" s="34">
        <f t="shared" si="408"/>
        <v>398107.17055349716</v>
      </c>
      <c r="P478" s="33" t="str">
        <f t="shared" si="411"/>
        <v>66,7780509511648</v>
      </c>
      <c r="Q478" s="4" t="str">
        <f t="shared" si="412"/>
        <v>1+9748,90751603836i</v>
      </c>
      <c r="R478" s="4">
        <f t="shared" si="424"/>
        <v>9748.9075673261577</v>
      </c>
      <c r="S478" s="4">
        <f t="shared" si="425"/>
        <v>1.5706937511991339</v>
      </c>
      <c r="T478" s="4" t="str">
        <f t="shared" si="413"/>
        <v>1+2,50138112470457i</v>
      </c>
      <c r="U478" s="4">
        <f t="shared" si="426"/>
        <v>2.6938647944966165</v>
      </c>
      <c r="V478" s="4">
        <f t="shared" si="427"/>
        <v>1.1904803589570829</v>
      </c>
      <c r="W478" t="str">
        <f t="shared" si="414"/>
        <v>1-5,44143421193997i</v>
      </c>
      <c r="X478" s="4">
        <f t="shared" si="428"/>
        <v>5.5325587464455142</v>
      </c>
      <c r="Y478" s="4">
        <f t="shared" si="429"/>
        <v>-1.3890492053705594</v>
      </c>
      <c r="Z478" t="str">
        <f t="shared" si="415"/>
        <v>0,841510680753889+1,06951576126387i</v>
      </c>
      <c r="AA478" s="4">
        <f t="shared" si="430"/>
        <v>1.3608836061231353</v>
      </c>
      <c r="AB478" s="4">
        <f t="shared" si="431"/>
        <v>0.90414709502155588</v>
      </c>
      <c r="AC478" s="47" t="str">
        <f t="shared" si="432"/>
        <v>-0,066944236903315-0,0338525032438435i</v>
      </c>
      <c r="AD478" s="20">
        <f t="shared" si="433"/>
        <v>-22.496827344234546</v>
      </c>
      <c r="AE478" s="43">
        <f t="shared" si="434"/>
        <v>-153.17509229730445</v>
      </c>
      <c r="AF478" t="str">
        <f t="shared" si="416"/>
        <v>223,849857273222</v>
      </c>
      <c r="AG478" t="str">
        <f t="shared" si="417"/>
        <v>1+9874,15856301564i</v>
      </c>
      <c r="AH478">
        <f t="shared" si="435"/>
        <v>9874.1586136528676</v>
      </c>
      <c r="AI478">
        <f t="shared" si="436"/>
        <v>1.5706950523429826</v>
      </c>
      <c r="AJ478" t="str">
        <f t="shared" si="418"/>
        <v>1+2,50138112470457i</v>
      </c>
      <c r="AK478">
        <f t="shared" si="437"/>
        <v>2.6938647944966165</v>
      </c>
      <c r="AL478">
        <f t="shared" si="438"/>
        <v>1.1904803589570829</v>
      </c>
      <c r="AM478" t="str">
        <f t="shared" si="419"/>
        <v>1-1,64412261809849i</v>
      </c>
      <c r="AN478">
        <f t="shared" si="439"/>
        <v>1.924354225017586</v>
      </c>
      <c r="AO478">
        <f t="shared" si="440"/>
        <v>-1.024349408402234</v>
      </c>
      <c r="AP478" s="41" t="str">
        <f t="shared" si="441"/>
        <v>0,0194460211137244-0,11590154663914i</v>
      </c>
      <c r="AQ478">
        <f t="shared" si="442"/>
        <v>-18.597649301767031</v>
      </c>
      <c r="AR478" s="43">
        <f t="shared" si="443"/>
        <v>-80.475595088043477</v>
      </c>
      <c r="AS478" t="str">
        <f t="shared" si="420"/>
        <v>-0,0000166666666666667</v>
      </c>
      <c r="AT478" t="str">
        <f t="shared" si="421"/>
        <v>0,00250888526807868i</v>
      </c>
      <c r="AU478">
        <f t="shared" si="444"/>
        <v>2.5088852680786801E-3</v>
      </c>
      <c r="AV478">
        <f t="shared" si="445"/>
        <v>1.5707963267948966</v>
      </c>
      <c r="AW478" t="str">
        <f t="shared" si="422"/>
        <v>1+1,64597362144069i</v>
      </c>
      <c r="AX478">
        <f t="shared" si="446"/>
        <v>1.9259359185805167</v>
      </c>
      <c r="AY478">
        <f t="shared" si="447"/>
        <v>1.0248488450080602</v>
      </c>
      <c r="AZ478" t="str">
        <f t="shared" si="423"/>
        <v>1+550,303847435005i</v>
      </c>
      <c r="BA478">
        <f t="shared" si="448"/>
        <v>550.30475602321417</v>
      </c>
      <c r="BB478">
        <f t="shared" si="449"/>
        <v>1.5689791508766264</v>
      </c>
      <c r="BC478" s="41" t="str">
        <f t="shared" si="450"/>
        <v>-0,982620677367599+1,62401077136066i</v>
      </c>
      <c r="BD478">
        <f t="shared" si="451"/>
        <v>5.5665876332486377</v>
      </c>
      <c r="BE478" s="43">
        <f t="shared" si="452"/>
        <v>121.1763700314314</v>
      </c>
      <c r="BF478" s="41" t="str">
        <f t="shared" si="453"/>
        <v>0,120757621317316-0,075453992143449i</v>
      </c>
      <c r="BG478" s="20">
        <f t="shared" si="454"/>
        <v>-16.930239710985905</v>
      </c>
      <c r="BH478" s="43">
        <f t="shared" si="455"/>
        <v>-31.998722265873027</v>
      </c>
      <c r="BI478" s="41" t="str">
        <f t="shared" si="409"/>
        <v>0,169117297720451+0,145467804015299i</v>
      </c>
      <c r="BJ478" s="20">
        <f t="shared" si="456"/>
        <v>-13.031061668518396</v>
      </c>
      <c r="BK478" s="43">
        <f t="shared" si="410"/>
        <v>40.700774943387827</v>
      </c>
      <c r="BL478">
        <f t="shared" si="457"/>
        <v>-16.930239710985905</v>
      </c>
      <c r="BM478" s="43">
        <f t="shared" si="458"/>
        <v>-31.998722265873027</v>
      </c>
    </row>
    <row r="479" spans="14:65" x14ac:dyDescent="0.25">
      <c r="N479" s="9">
        <v>61</v>
      </c>
      <c r="O479" s="34">
        <f t="shared" si="408"/>
        <v>407380.27780411334</v>
      </c>
      <c r="P479" s="33" t="str">
        <f t="shared" si="411"/>
        <v>66,7780509511648</v>
      </c>
      <c r="Q479" s="4" t="str">
        <f t="shared" si="412"/>
        <v>1+9975,98874355524i</v>
      </c>
      <c r="R479" s="4">
        <f t="shared" si="424"/>
        <v>9975.988793675584</v>
      </c>
      <c r="S479" s="4">
        <f t="shared" si="425"/>
        <v>1.5706960861047399</v>
      </c>
      <c r="T479" s="4" t="str">
        <f t="shared" si="413"/>
        <v>1+2,55964577593354i</v>
      </c>
      <c r="U479" s="4">
        <f t="shared" si="426"/>
        <v>2.7480514002206022</v>
      </c>
      <c r="V479" s="4">
        <f t="shared" si="427"/>
        <v>1.1983509797532714</v>
      </c>
      <c r="W479" t="str">
        <f t="shared" si="414"/>
        <v>1-5,56818149703492i</v>
      </c>
      <c r="X479" s="4">
        <f t="shared" si="428"/>
        <v>5.6572648147246953</v>
      </c>
      <c r="Y479" s="4">
        <f t="shared" si="429"/>
        <v>-1.3930987604476657</v>
      </c>
      <c r="Z479" t="str">
        <f t="shared" si="415"/>
        <v>0,834041309256244+1,09442798363514i</v>
      </c>
      <c r="AA479" s="4">
        <f t="shared" si="430"/>
        <v>1.3760078186222444</v>
      </c>
      <c r="AB479" s="4">
        <f t="shared" si="431"/>
        <v>0.91960895254582031</v>
      </c>
      <c r="AC479" s="47" t="str">
        <f t="shared" si="432"/>
        <v>-0,0678833070321533-0,0333406552053556i</v>
      </c>
      <c r="AD479" s="20">
        <f t="shared" si="433"/>
        <v>-22.426235101039357</v>
      </c>
      <c r="AE479" s="43">
        <f t="shared" si="434"/>
        <v>-153.84219431816865</v>
      </c>
      <c r="AF479" t="str">
        <f t="shared" si="416"/>
        <v>223,849857273222</v>
      </c>
      <c r="AG479" t="str">
        <f t="shared" si="417"/>
        <v>1+10104,1572622029i</v>
      </c>
      <c r="AH479">
        <f t="shared" si="435"/>
        <v>10104.157311687482</v>
      </c>
      <c r="AI479">
        <f t="shared" si="436"/>
        <v>1.5706973576309391</v>
      </c>
      <c r="AJ479" t="str">
        <f t="shared" si="418"/>
        <v>1+2,55964577593354i</v>
      </c>
      <c r="AK479">
        <f t="shared" si="437"/>
        <v>2.7480514002206022</v>
      </c>
      <c r="AL479">
        <f t="shared" si="438"/>
        <v>1.1983509797532714</v>
      </c>
      <c r="AM479" t="str">
        <f t="shared" si="419"/>
        <v>1-1,68241915355047i</v>
      </c>
      <c r="AN479">
        <f t="shared" si="439"/>
        <v>1.9571750581471958</v>
      </c>
      <c r="AO479">
        <f t="shared" si="440"/>
        <v>-1.0345178004080293</v>
      </c>
      <c r="AP479" s="41" t="str">
        <f t="shared" si="441"/>
        <v>0,0194459177893097-0,117557234333563i</v>
      </c>
      <c r="AQ479">
        <f t="shared" si="442"/>
        <v>-18.477775062946222</v>
      </c>
      <c r="AR479" s="43">
        <f t="shared" si="443"/>
        <v>-80.607379763910998</v>
      </c>
      <c r="AS479" t="str">
        <f t="shared" si="420"/>
        <v>-0,0000166666666666667</v>
      </c>
      <c r="AT479" t="str">
        <f t="shared" si="421"/>
        <v>0,00256732471326134i</v>
      </c>
      <c r="AU479">
        <f t="shared" si="444"/>
        <v>2.5673247132613399E-3</v>
      </c>
      <c r="AV479">
        <f t="shared" si="445"/>
        <v>1.5707963267948966</v>
      </c>
      <c r="AW479" t="str">
        <f t="shared" si="422"/>
        <v>1+1,68431327229924i</v>
      </c>
      <c r="AX479">
        <f t="shared" si="446"/>
        <v>1.9588035121582192</v>
      </c>
      <c r="AY479">
        <f t="shared" si="447"/>
        <v>1.0350118683485934</v>
      </c>
      <c r="AZ479" t="str">
        <f t="shared" si="423"/>
        <v>1+563,122070705378i</v>
      </c>
      <c r="BA479">
        <f t="shared" si="448"/>
        <v>563.1229586116275</v>
      </c>
      <c r="BB479">
        <f t="shared" si="449"/>
        <v>1.5690205147625647</v>
      </c>
      <c r="BC479" s="41" t="str">
        <f t="shared" si="450"/>
        <v>-0,949921716422594+1,60645759671926i</v>
      </c>
      <c r="BD479">
        <f t="shared" si="451"/>
        <v>5.419606163040962</v>
      </c>
      <c r="BE479" s="43">
        <f t="shared" si="452"/>
        <v>120.59644166301439</v>
      </c>
      <c r="BF479" s="41" t="str">
        <f t="shared" si="453"/>
        <v>0,118044176366666-0,0773806418529033i</v>
      </c>
      <c r="BG479" s="20">
        <f t="shared" si="454"/>
        <v>-17.0066289379984</v>
      </c>
      <c r="BH479" s="43">
        <f t="shared" si="455"/>
        <v>-33.24575265515427</v>
      </c>
      <c r="BI479" s="41" t="str">
        <f t="shared" si="409"/>
        <v>0,170378612540625+0,142909212173846i</v>
      </c>
      <c r="BJ479" s="20">
        <f t="shared" si="456"/>
        <v>-13.058168899905255</v>
      </c>
      <c r="BK479" s="43">
        <f t="shared" si="410"/>
        <v>39.989061899103341</v>
      </c>
      <c r="BL479">
        <f t="shared" si="457"/>
        <v>-17.0066289379984</v>
      </c>
      <c r="BM479" s="43">
        <f t="shared" si="458"/>
        <v>-33.24575265515427</v>
      </c>
    </row>
    <row r="480" spans="14:65" x14ac:dyDescent="0.25">
      <c r="N480" s="9">
        <v>62</v>
      </c>
      <c r="O480" s="34">
        <f t="shared" si="408"/>
        <v>416869.38347033598</v>
      </c>
      <c r="P480" s="33" t="str">
        <f t="shared" si="411"/>
        <v>66,7780509511648</v>
      </c>
      <c r="Q480" s="4" t="str">
        <f t="shared" si="412"/>
        <v>1+10208,3593723518i</v>
      </c>
      <c r="R480" s="4">
        <f t="shared" si="424"/>
        <v>10208.359421331266</v>
      </c>
      <c r="S480" s="4">
        <f t="shared" si="425"/>
        <v>1.5706983678614064</v>
      </c>
      <c r="T480" s="4" t="str">
        <f t="shared" si="413"/>
        <v>1+2,61926758523383i</v>
      </c>
      <c r="U480" s="4">
        <f t="shared" si="426"/>
        <v>2.8036695031791212</v>
      </c>
      <c r="V480" s="4">
        <f t="shared" si="427"/>
        <v>1.2060894980983003</v>
      </c>
      <c r="W480" t="str">
        <f t="shared" si="414"/>
        <v>1-5,69788110566321i</v>
      </c>
      <c r="X480" s="4">
        <f t="shared" si="428"/>
        <v>5.7849675102176503</v>
      </c>
      <c r="Y480" s="4">
        <f t="shared" si="429"/>
        <v>-1.3970618361643083</v>
      </c>
      <c r="Z480" t="str">
        <f t="shared" si="415"/>
        <v>0,826219917125062+1,11992048620979i</v>
      </c>
      <c r="AA480" s="4">
        <f t="shared" si="430"/>
        <v>1.3917116249016952</v>
      </c>
      <c r="AB480" s="4">
        <f t="shared" si="431"/>
        <v>0.93518224835193398</v>
      </c>
      <c r="AC480" s="47" t="str">
        <f t="shared" si="432"/>
        <v>-0,0688193599186691-0,0327981851101014i</v>
      </c>
      <c r="AD480" s="20">
        <f t="shared" si="433"/>
        <v>-22.356874528361061</v>
      </c>
      <c r="AE480" s="43">
        <f t="shared" si="434"/>
        <v>-154.51829224759436</v>
      </c>
      <c r="AF480" t="str">
        <f t="shared" si="416"/>
        <v>223,849857273222</v>
      </c>
      <c r="AG480" t="str">
        <f t="shared" si="417"/>
        <v>1+10339,513319315i</v>
      </c>
      <c r="AH480">
        <f t="shared" si="435"/>
        <v>10339.513367673175</v>
      </c>
      <c r="AI480">
        <f t="shared" si="436"/>
        <v>1.5706996104441362</v>
      </c>
      <c r="AJ480" t="str">
        <f t="shared" si="418"/>
        <v>1+2,61926758523383i</v>
      </c>
      <c r="AK480">
        <f t="shared" si="437"/>
        <v>2.8036695031791212</v>
      </c>
      <c r="AL480">
        <f t="shared" si="438"/>
        <v>1.2060894980983003</v>
      </c>
      <c r="AM480" t="str">
        <f t="shared" si="419"/>
        <v>1-1,72160772990712i</v>
      </c>
      <c r="AN480">
        <f t="shared" si="439"/>
        <v>1.990962876518783</v>
      </c>
      <c r="AO480">
        <f t="shared" si="440"/>
        <v>-1.0445749283048196</v>
      </c>
      <c r="AP480" s="41" t="str">
        <f t="shared" si="441"/>
        <v>0,0194458191152593-0,119275252428763i</v>
      </c>
      <c r="AQ480">
        <f t="shared" si="442"/>
        <v>-18.355065946714252</v>
      </c>
      <c r="AR480" s="43">
        <f t="shared" si="443"/>
        <v>-80.740355382253867</v>
      </c>
      <c r="AS480" t="str">
        <f t="shared" si="420"/>
        <v>-0,0000166666666666667</v>
      </c>
      <c r="AT480" t="str">
        <f t="shared" si="421"/>
        <v>0,00262712538798953i</v>
      </c>
      <c r="AU480">
        <f t="shared" si="444"/>
        <v>2.6271253879895299E-3</v>
      </c>
      <c r="AV480">
        <f t="shared" si="445"/>
        <v>1.5707963267948966</v>
      </c>
      <c r="AW480" t="str">
        <f t="shared" si="422"/>
        <v>1+1,72354596834928i</v>
      </c>
      <c r="AX480">
        <f t="shared" si="446"/>
        <v>1.9926391306538815</v>
      </c>
      <c r="AY480">
        <f t="shared" si="447"/>
        <v>1.0450634854883936</v>
      </c>
      <c r="AZ480" t="str">
        <f t="shared" si="423"/>
        <v>1+576,238868751442i</v>
      </c>
      <c r="BA480">
        <f t="shared" si="448"/>
        <v>576.23973644650857</v>
      </c>
      <c r="BB480">
        <f t="shared" si="449"/>
        <v>1.5690609370973787</v>
      </c>
      <c r="BC480" s="41" t="str">
        <f t="shared" si="450"/>
        <v>-0,917935688720299+1,5884484252338i</v>
      </c>
      <c r="BD480">
        <f t="shared" si="451"/>
        <v>5.2708499361260976</v>
      </c>
      <c r="BE480" s="43">
        <f t="shared" si="452"/>
        <v>120.02284245280555</v>
      </c>
      <c r="BF480" s="41" t="str">
        <f t="shared" si="453"/>
        <v>0,115269972032901-0,0792093792505912i</v>
      </c>
      <c r="BG480" s="20">
        <f t="shared" si="454"/>
        <v>-17.08602459223496</v>
      </c>
      <c r="BH480" s="43">
        <f t="shared" si="455"/>
        <v>-34.495449794788748</v>
      </c>
      <c r="BI480" s="41" t="str">
        <f t="shared" si="409"/>
        <v>0,171612575527537+0,140375691736499i</v>
      </c>
      <c r="BJ480" s="20">
        <f t="shared" si="456"/>
        <v>-13.084216010588147</v>
      </c>
      <c r="BK480" s="43">
        <f t="shared" si="410"/>
        <v>39.282487070551632</v>
      </c>
      <c r="BL480">
        <f t="shared" si="457"/>
        <v>-17.08602459223496</v>
      </c>
      <c r="BM480" s="43">
        <f t="shared" si="458"/>
        <v>-34.495449794788748</v>
      </c>
    </row>
    <row r="481" spans="14:65" x14ac:dyDescent="0.25">
      <c r="N481" s="9">
        <v>63</v>
      </c>
      <c r="O481" s="34">
        <f t="shared" si="408"/>
        <v>426579.51880159322</v>
      </c>
      <c r="P481" s="33" t="str">
        <f t="shared" si="411"/>
        <v>66,7780509511648</v>
      </c>
      <c r="Q481" s="4" t="str">
        <f t="shared" si="412"/>
        <v>1+10446,1426084111i</v>
      </c>
      <c r="R481" s="4">
        <f t="shared" si="424"/>
        <v>10446.142656275659</v>
      </c>
      <c r="S481" s="4">
        <f t="shared" si="425"/>
        <v>1.570700597678951</v>
      </c>
      <c r="T481" s="4" t="str">
        <f t="shared" si="413"/>
        <v>1+2,68027816487791i</v>
      </c>
      <c r="U481" s="4">
        <f t="shared" si="426"/>
        <v>2.8607500836531137</v>
      </c>
      <c r="V481" s="4">
        <f t="shared" si="427"/>
        <v>1.2136963086891737</v>
      </c>
      <c r="W481" t="str">
        <f t="shared" si="414"/>
        <v>1-5,83060180627407i</v>
      </c>
      <c r="X481" s="4">
        <f t="shared" si="428"/>
        <v>5.9157347323326164</v>
      </c>
      <c r="Y481" s="4">
        <f t="shared" si="429"/>
        <v>-1.4009400355971924</v>
      </c>
      <c r="Z481" t="str">
        <f t="shared" si="415"/>
        <v>0,818029914139001+1,14600678545013i</v>
      </c>
      <c r="AA481" s="4">
        <f t="shared" si="430"/>
        <v>1.4080143794450399</v>
      </c>
      <c r="AB481" s="4">
        <f t="shared" si="431"/>
        <v>0.95086259922723293</v>
      </c>
      <c r="AC481" s="47" t="str">
        <f t="shared" si="432"/>
        <v>-0,0697509188621857-0,0322247157295373i</v>
      </c>
      <c r="AD481" s="20">
        <f t="shared" si="433"/>
        <v>-22.288813849826884</v>
      </c>
      <c r="AE481" s="43">
        <f t="shared" si="434"/>
        <v>-155.2032042503694</v>
      </c>
      <c r="AF481" t="str">
        <f t="shared" si="416"/>
        <v>223,849857273222</v>
      </c>
      <c r="AG481" t="str">
        <f t="shared" si="417"/>
        <v>1+10580,3515232485i</v>
      </c>
      <c r="AH481">
        <f t="shared" si="435"/>
        <v>10580.351570505909</v>
      </c>
      <c r="AI481">
        <f t="shared" si="436"/>
        <v>1.5707018119770453</v>
      </c>
      <c r="AJ481" t="str">
        <f t="shared" si="418"/>
        <v>1+2,68027816487791i</v>
      </c>
      <c r="AK481">
        <f t="shared" si="437"/>
        <v>2.8607500836531137</v>
      </c>
      <c r="AL481">
        <f t="shared" si="438"/>
        <v>1.2136963086891737</v>
      </c>
      <c r="AM481" t="str">
        <f t="shared" si="419"/>
        <v>1-1,76170912547033i</v>
      </c>
      <c r="AN481">
        <f t="shared" si="439"/>
        <v>2.0257391349246912</v>
      </c>
      <c r="AO481">
        <f t="shared" si="440"/>
        <v>-1.0545179860650105</v>
      </c>
      <c r="AP481" s="41" t="str">
        <f t="shared" si="441"/>
        <v>0,0194457248822729-0,121056511840738i</v>
      </c>
      <c r="AQ481">
        <f t="shared" si="442"/>
        <v>-18.229596791596396</v>
      </c>
      <c r="AR481" s="43">
        <f t="shared" si="443"/>
        <v>-80.874338623499412</v>
      </c>
      <c r="AS481" t="str">
        <f t="shared" si="420"/>
        <v>-0,0000166666666666667</v>
      </c>
      <c r="AT481" t="str">
        <f t="shared" si="421"/>
        <v>0,00268831899937254i</v>
      </c>
      <c r="AU481">
        <f t="shared" si="444"/>
        <v>2.6883189993725399E-3</v>
      </c>
      <c r="AV481">
        <f t="shared" si="445"/>
        <v>1.5707963267948966</v>
      </c>
      <c r="AW481" t="str">
        <f t="shared" si="422"/>
        <v>1+1,76369251128556i</v>
      </c>
      <c r="AX481">
        <f t="shared" si="446"/>
        <v>2.0274642473702871</v>
      </c>
      <c r="AY481">
        <f t="shared" si="447"/>
        <v>1.0550009008444423</v>
      </c>
      <c r="AZ481" t="str">
        <f t="shared" si="423"/>
        <v>1+589,66119627314i</v>
      </c>
      <c r="BA481">
        <f t="shared" si="448"/>
        <v>589.66204421708414</v>
      </c>
      <c r="BB481">
        <f t="shared" si="449"/>
        <v>1.5691004393129968</v>
      </c>
      <c r="BC481" s="41" t="str">
        <f t="shared" si="450"/>
        <v>-0,88667232897365+1,57001700765333i</v>
      </c>
      <c r="BD481">
        <f t="shared" si="451"/>
        <v>5.120358348184002</v>
      </c>
      <c r="BE481" s="43">
        <f t="shared" si="452"/>
        <v>119.45573380387165</v>
      </c>
      <c r="BF481" s="41" t="str">
        <f t="shared" si="453"/>
        <v>0,112439561437754-0,0809373651666564i</v>
      </c>
      <c r="BG481" s="20">
        <f t="shared" si="454"/>
        <v>-17.168455501642864</v>
      </c>
      <c r="BH481" s="43">
        <f t="shared" si="455"/>
        <v>-35.747470446497658</v>
      </c>
      <c r="BI481" s="41" t="str">
        <f t="shared" si="409"/>
        <v>0,1728187963072+0,137867578082569i</v>
      </c>
      <c r="BJ481" s="20">
        <f t="shared" si="456"/>
        <v>-13.109238443412391</v>
      </c>
      <c r="BK481" s="43">
        <f t="shared" si="410"/>
        <v>38.581395180372098</v>
      </c>
      <c r="BL481">
        <f t="shared" si="457"/>
        <v>-17.168455501642864</v>
      </c>
      <c r="BM481" s="43">
        <f t="shared" si="458"/>
        <v>-35.747470446497658</v>
      </c>
    </row>
    <row r="482" spans="14:65" x14ac:dyDescent="0.25">
      <c r="N482" s="9">
        <v>64</v>
      </c>
      <c r="O482" s="34">
        <f t="shared" si="408"/>
        <v>436515.83224016649</v>
      </c>
      <c r="P482" s="33" t="str">
        <f t="shared" si="411"/>
        <v>66,7780509511648</v>
      </c>
      <c r="Q482" s="4" t="str">
        <f t="shared" si="412"/>
        <v>1+10689,4645275525i</v>
      </c>
      <c r="R482" s="4">
        <f t="shared" si="424"/>
        <v>10689.464574327527</v>
      </c>
      <c r="S482" s="4">
        <f t="shared" si="425"/>
        <v>1.5707027767396524</v>
      </c>
      <c r="T482" s="4" t="str">
        <f t="shared" si="413"/>
        <v>1+2,74270986348268i</v>
      </c>
      <c r="U482" s="4">
        <f t="shared" si="426"/>
        <v>2.9193248183861251</v>
      </c>
      <c r="V482" s="4">
        <f t="shared" si="427"/>
        <v>1.2211719224963915</v>
      </c>
      <c r="W482" t="str">
        <f t="shared" si="414"/>
        <v>1-5,96641396913975i</v>
      </c>
      <c r="X482" s="4">
        <f t="shared" si="428"/>
        <v>6.0496359932764507</v>
      </c>
      <c r="Y482" s="4">
        <f t="shared" si="429"/>
        <v>-1.4047349481477065</v>
      </c>
      <c r="Z482" t="str">
        <f t="shared" si="415"/>
        <v>0,809453928203676+1,17270071265731i</v>
      </c>
      <c r="AA482" s="4">
        <f t="shared" si="430"/>
        <v>1.4249360067565575</v>
      </c>
      <c r="AB482" s="4">
        <f t="shared" si="431"/>
        <v>0.96664558487855679</v>
      </c>
      <c r="AC482" s="47" t="str">
        <f t="shared" si="432"/>
        <v>-0,0706764819231412-0,0316199458995955i</v>
      </c>
      <c r="AD482" s="20">
        <f t="shared" si="433"/>
        <v>-22.222118212794982</v>
      </c>
      <c r="AE482" s="43">
        <f t="shared" si="434"/>
        <v>-155.89673891962946</v>
      </c>
      <c r="AF482" t="str">
        <f t="shared" si="416"/>
        <v>223,849857273222</v>
      </c>
      <c r="AG482" t="str">
        <f t="shared" si="417"/>
        <v>1+10826,7995696072i</v>
      </c>
      <c r="AH482">
        <f t="shared" si="435"/>
        <v>10826.799615788897</v>
      </c>
      <c r="AI482">
        <f t="shared" si="436"/>
        <v>1.5707039633969482</v>
      </c>
      <c r="AJ482" t="str">
        <f t="shared" si="418"/>
        <v>1+2,74270986348268i</v>
      </c>
      <c r="AK482">
        <f t="shared" si="437"/>
        <v>2.9193248183861251</v>
      </c>
      <c r="AL482">
        <f t="shared" si="438"/>
        <v>1.2211719224963915</v>
      </c>
      <c r="AM482" t="str">
        <f t="shared" si="419"/>
        <v>1-1,80274460253084i</v>
      </c>
      <c r="AN482">
        <f t="shared" si="439"/>
        <v>2.0615256733676826</v>
      </c>
      <c r="AO482">
        <f t="shared" si="440"/>
        <v>-1.0643443808849902</v>
      </c>
      <c r="AP482" s="41" t="str">
        <f t="shared" si="441"/>
        <v>0,0194456348904694-0,122901957016859i</v>
      </c>
      <c r="AQ482">
        <f t="shared" si="442"/>
        <v>-18.101442198924968</v>
      </c>
      <c r="AR482" s="43">
        <f t="shared" si="443"/>
        <v>-81.0091517213705</v>
      </c>
      <c r="AS482" t="str">
        <f t="shared" si="420"/>
        <v>-0,0000166666666666667</v>
      </c>
      <c r="AT482" t="str">
        <f t="shared" si="421"/>
        <v>0,00275093799307313i</v>
      </c>
      <c r="AU482">
        <f t="shared" si="444"/>
        <v>2.75093799307313E-3</v>
      </c>
      <c r="AV482">
        <f t="shared" si="445"/>
        <v>1.5707963267948966</v>
      </c>
      <c r="AW482" t="str">
        <f t="shared" si="422"/>
        <v>1+1,80477418733656i</v>
      </c>
      <c r="AX482">
        <f t="shared" si="446"/>
        <v>2.0633007214839867</v>
      </c>
      <c r="AY482">
        <f t="shared" si="447"/>
        <v>1.0648215319985139</v>
      </c>
      <c r="AZ482" t="str">
        <f t="shared" si="423"/>
        <v>1+603,396169966189i</v>
      </c>
      <c r="BA482">
        <f t="shared" si="448"/>
        <v>603.39699860859923</v>
      </c>
      <c r="BB482">
        <f t="shared" si="449"/>
        <v>1.5691390423535232</v>
      </c>
      <c r="BC482" s="41" t="str">
        <f t="shared" si="450"/>
        <v>-0,856139440097222+1,55119690181134i</v>
      </c>
      <c r="BD482">
        <f t="shared" si="451"/>
        <v>4.9681712758717662</v>
      </c>
      <c r="BE482" s="43">
        <f t="shared" si="452"/>
        <v>118.89526487788723</v>
      </c>
      <c r="BF482" s="41" t="str">
        <f t="shared" si="453"/>
        <v>0,109557685776614-0,0825620570117177i</v>
      </c>
      <c r="BG482" s="20">
        <f t="shared" si="454"/>
        <v>-17.253946936923231</v>
      </c>
      <c r="BH482" s="43">
        <f t="shared" si="455"/>
        <v>-37.001474041742306</v>
      </c>
      <c r="BI482" s="41" t="str">
        <f t="shared" si="409"/>
        <v>0,173996959983641+0,135385221263117i</v>
      </c>
      <c r="BJ482" s="20">
        <f t="shared" si="456"/>
        <v>-13.133270923053198</v>
      </c>
      <c r="BK482" s="43">
        <f t="shared" si="410"/>
        <v>37.88611315651665</v>
      </c>
      <c r="BL482">
        <f t="shared" si="457"/>
        <v>-17.253946936923231</v>
      </c>
      <c r="BM482" s="43">
        <f t="shared" si="458"/>
        <v>-37.001474041742306</v>
      </c>
    </row>
    <row r="483" spans="14:65" x14ac:dyDescent="0.25">
      <c r="N483" s="9">
        <v>65</v>
      </c>
      <c r="O483" s="34">
        <f t="shared" si="408"/>
        <v>446683.59215096442</v>
      </c>
      <c r="P483" s="33" t="str">
        <f t="shared" si="411"/>
        <v>66,7780509511648</v>
      </c>
      <c r="Q483" s="4" t="str">
        <f t="shared" si="412"/>
        <v>1+10938,4541422782i</v>
      </c>
      <c r="R483" s="4">
        <f t="shared" si="424"/>
        <v>10938.454187988496</v>
      </c>
      <c r="S483" s="4">
        <f t="shared" si="425"/>
        <v>1.5707049061988776</v>
      </c>
      <c r="T483" s="4" t="str">
        <f t="shared" si="413"/>
        <v>1+2,80659578316114i</v>
      </c>
      <c r="U483" s="4">
        <f t="shared" si="426"/>
        <v>2.9794261007881859</v>
      </c>
      <c r="V483" s="4">
        <f t="shared" si="427"/>
        <v>1.228516960018154</v>
      </c>
      <c r="W483" t="str">
        <f t="shared" si="414"/>
        <v>1-6,10538960366673i</v>
      </c>
      <c r="X483" s="4">
        <f t="shared" si="428"/>
        <v>6.1867424556515829</v>
      </c>
      <c r="Y483" s="4">
        <f t="shared" si="429"/>
        <v>-1.4084481484937932</v>
      </c>
      <c r="Z483" t="str">
        <f t="shared" si="415"/>
        <v>0,800473768503111+1,20001642130488i</v>
      </c>
      <c r="AA483" s="4">
        <f t="shared" si="430"/>
        <v>1.4424970244208284</v>
      </c>
      <c r="AB483" s="4">
        <f t="shared" si="431"/>
        <v>0.98252676233200165</v>
      </c>
      <c r="AC483" s="47" t="str">
        <f t="shared" si="432"/>
        <v>-0,0715945267204457-0,0309836522262378i</v>
      </c>
      <c r="AD483" s="20">
        <f t="shared" si="433"/>
        <v>-22.15684967270894</v>
      </c>
      <c r="AE483" s="43">
        <f t="shared" si="434"/>
        <v>-156.59869642839158</v>
      </c>
      <c r="AF483" t="str">
        <f t="shared" si="416"/>
        <v>223,849857273222</v>
      </c>
      <c r="AG483" t="str">
        <f t="shared" si="417"/>
        <v>1+11078,9881284073i</v>
      </c>
      <c r="AH483">
        <f t="shared" si="435"/>
        <v>11078.988173537775</v>
      </c>
      <c r="AI483">
        <f t="shared" si="436"/>
        <v>1.5707060658445557</v>
      </c>
      <c r="AJ483" t="str">
        <f t="shared" si="418"/>
        <v>1+2,80659578316114i</v>
      </c>
      <c r="AK483">
        <f t="shared" si="437"/>
        <v>2.9794261007881859</v>
      </c>
      <c r="AL483">
        <f t="shared" si="438"/>
        <v>1.228516960018154</v>
      </c>
      <c r="AM483" t="str">
        <f t="shared" si="419"/>
        <v>1-1,84473591864177i</v>
      </c>
      <c r="AN483">
        <f t="shared" si="439"/>
        <v>2.0983447308598024</v>
      </c>
      <c r="AO483">
        <f t="shared" si="440"/>
        <v>-1.0740517316156004</v>
      </c>
      <c r="AP483" s="41" t="str">
        <f t="shared" si="441"/>
        <v>0,0194455489489643-0,124812566436644i</v>
      </c>
      <c r="AQ483">
        <f t="shared" si="442"/>
        <v>-17.970676405414551</v>
      </c>
      <c r="AR483" s="43">
        <f t="shared" si="443"/>
        <v>-81.144622759500038</v>
      </c>
      <c r="AS483" t="str">
        <f t="shared" si="420"/>
        <v>-0,0000166666666666667</v>
      </c>
      <c r="AT483" t="str">
        <f t="shared" si="421"/>
        <v>0,00281501557051062i</v>
      </c>
      <c r="AU483">
        <f t="shared" si="444"/>
        <v>2.8150155705106198E-3</v>
      </c>
      <c r="AV483">
        <f t="shared" si="445"/>
        <v>1.5707963267948966</v>
      </c>
      <c r="AW483" t="str">
        <f t="shared" si="422"/>
        <v>1+1,8468127785507i</v>
      </c>
      <c r="AX483">
        <f t="shared" si="446"/>
        <v>2.1001708118670153</v>
      </c>
      <c r="AY483">
        <f t="shared" si="447"/>
        <v>1.0745230080912513</v>
      </c>
      <c r="AZ483" t="str">
        <f t="shared" si="423"/>
        <v>1+617,45107229545i</v>
      </c>
      <c r="BA483">
        <f t="shared" si="448"/>
        <v>617.45188207568128</v>
      </c>
      <c r="BB483">
        <f t="shared" si="449"/>
        <v>1.5691767666863405</v>
      </c>
      <c r="BC483" s="41" t="str">
        <f t="shared" si="450"/>
        <v>-0,826342952714217+1,53202135490363i</v>
      </c>
      <c r="BD483">
        <f t="shared" si="451"/>
        <v>4.8143289724156348</v>
      </c>
      <c r="BE483" s="43">
        <f t="shared" si="452"/>
        <v>118.34157268778164</v>
      </c>
      <c r="BF483" s="41" t="str">
        <f t="shared" si="453"/>
        <v>0,106629249471854-0,0840812211634416i</v>
      </c>
      <c r="BG483" s="20">
        <f t="shared" si="454"/>
        <v>-17.342520700293292</v>
      </c>
      <c r="BH483" s="43">
        <f t="shared" si="455"/>
        <v>-38.257123740609856</v>
      </c>
      <c r="BI483" s="41" t="str">
        <f t="shared" si="409"/>
        <v>0,175146824805631+0,132928980932733i</v>
      </c>
      <c r="BJ483" s="20">
        <f t="shared" si="456"/>
        <v>-13.156347432998903</v>
      </c>
      <c r="BK483" s="43">
        <f t="shared" si="410"/>
        <v>37.196949928281555</v>
      </c>
      <c r="BL483">
        <f t="shared" si="457"/>
        <v>-17.342520700293292</v>
      </c>
      <c r="BM483" s="43">
        <f t="shared" si="458"/>
        <v>-38.257123740609856</v>
      </c>
    </row>
    <row r="484" spans="14:65" x14ac:dyDescent="0.25">
      <c r="N484" s="9">
        <v>66</v>
      </c>
      <c r="O484" s="34">
        <f t="shared" ref="O484:O518" si="459">10^(5+(N484/100))</f>
        <v>457088.18961487547</v>
      </c>
      <c r="P484" s="33" t="str">
        <f t="shared" si="411"/>
        <v>66,7780509511648</v>
      </c>
      <c r="Q484" s="4" t="str">
        <f t="shared" si="412"/>
        <v>1+11193,2434701776i</v>
      </c>
      <c r="R484" s="4">
        <f t="shared" si="424"/>
        <v>11193.243514847403</v>
      </c>
      <c r="S484" s="4">
        <f t="shared" si="425"/>
        <v>1.5707069871856936</v>
      </c>
      <c r="T484" s="4" t="str">
        <f t="shared" si="413"/>
        <v>1+2,8719697970735i</v>
      </c>
      <c r="U484" s="4">
        <f t="shared" si="426"/>
        <v>3.0410870614473371</v>
      </c>
      <c r="V484" s="4">
        <f t="shared" si="427"/>
        <v>1.2357321446317238</v>
      </c>
      <c r="W484" t="str">
        <f t="shared" si="414"/>
        <v>1-6,24760239657592i</v>
      </c>
      <c r="X484" s="4">
        <f t="shared" si="428"/>
        <v>6.3271269708850619</v>
      </c>
      <c r="Y484" s="4">
        <f t="shared" si="429"/>
        <v>-1.4120811956397841</v>
      </c>
      <c r="Z484" t="str">
        <f t="shared" si="415"/>
        <v>0,791070386914596+1,22796839454311i</v>
      </c>
      <c r="AA484" s="4">
        <f t="shared" si="430"/>
        <v>1.4607185680513517</v>
      </c>
      <c r="AB484" s="4">
        <f t="shared" si="431"/>
        <v>0.99850168041174114</v>
      </c>
      <c r="AC484" s="47" t="str">
        <f t="shared" si="432"/>
        <v>-0,0725035153408064-0,0303156903934543i</v>
      </c>
      <c r="AD484" s="20">
        <f t="shared" si="433"/>
        <v>-22.093067191197985</v>
      </c>
      <c r="AE484" s="43">
        <f t="shared" si="434"/>
        <v>-157.30886968566179</v>
      </c>
      <c r="AF484" t="str">
        <f t="shared" si="416"/>
        <v>223,849857273222</v>
      </c>
      <c r="AG484" t="str">
        <f t="shared" si="417"/>
        <v>1+11337,0509133609i</v>
      </c>
      <c r="AH484">
        <f t="shared" si="435"/>
        <v>11337.05095746408</v>
      </c>
      <c r="AI484">
        <f t="shared" si="436"/>
        <v>1.5707081204346141</v>
      </c>
      <c r="AJ484" t="str">
        <f t="shared" si="418"/>
        <v>1+2,8719697970735i</v>
      </c>
      <c r="AK484">
        <f t="shared" si="437"/>
        <v>3.0410870614473371</v>
      </c>
      <c r="AL484">
        <f t="shared" si="438"/>
        <v>1.2357321446317238</v>
      </c>
      <c r="AM484" t="str">
        <f t="shared" si="419"/>
        <v>1-1,88770533815472i</v>
      </c>
      <c r="AN484">
        <f t="shared" si="439"/>
        <v>2.1362189596803569</v>
      </c>
      <c r="AO484">
        <f t="shared" si="440"/>
        <v>-1.0836378664721011</v>
      </c>
      <c r="AP484" s="41" t="str">
        <f t="shared" si="441"/>
        <v>0,0194454668754637-0,126789353130542i</v>
      </c>
      <c r="AQ484">
        <f t="shared" si="442"/>
        <v>-17.83737316290317</v>
      </c>
      <c r="AR484" s="43">
        <f t="shared" si="443"/>
        <v>-81.280585921194429</v>
      </c>
      <c r="AS484" t="str">
        <f t="shared" si="420"/>
        <v>-0,0000166666666666667</v>
      </c>
      <c r="AT484" t="str">
        <f t="shared" si="421"/>
        <v>0,00288058570646472i</v>
      </c>
      <c r="AU484">
        <f t="shared" si="444"/>
        <v>2.8805857064647198E-3</v>
      </c>
      <c r="AV484">
        <f t="shared" si="445"/>
        <v>1.5707963267948966</v>
      </c>
      <c r="AW484" t="str">
        <f t="shared" si="422"/>
        <v>1+1,88983057434547i</v>
      </c>
      <c r="AX484">
        <f t="shared" si="446"/>
        <v>2.1380971913668776</v>
      </c>
      <c r="AY484">
        <f t="shared" si="447"/>
        <v>1.0841031674982584</v>
      </c>
      <c r="AZ484" t="str">
        <f t="shared" si="423"/>
        <v>1+631,833355356169i</v>
      </c>
      <c r="BA484">
        <f t="shared" si="448"/>
        <v>631.83414670357524</v>
      </c>
      <c r="BB484">
        <f t="shared" si="449"/>
        <v>1.5692136323129597</v>
      </c>
      <c r="BC484" s="41" t="str">
        <f t="shared" si="450"/>
        <v>-0,797286991743485+1,51252319388964i</v>
      </c>
      <c r="BD484">
        <f t="shared" si="451"/>
        <v>4.6588719666659175</v>
      </c>
      <c r="BE484" s="43">
        <f t="shared" si="452"/>
        <v>117.79478223151199</v>
      </c>
      <c r="BF484" s="41" t="str">
        <f t="shared" si="453"/>
        <v>0,103659294495776-0,085492942995079i</v>
      </c>
      <c r="BG484" s="20">
        <f t="shared" si="454"/>
        <v>-17.434195224532075</v>
      </c>
      <c r="BH484" s="43">
        <f t="shared" si="455"/>
        <v>-39.514087454149816</v>
      </c>
      <c r="BI484" s="41" t="str">
        <f t="shared" si="409"/>
        <v>0,176268219560023+0,130499221607704i</v>
      </c>
      <c r="BJ484" s="20">
        <f t="shared" si="456"/>
        <v>-13.17850119623724</v>
      </c>
      <c r="BK484" s="43">
        <f t="shared" si="410"/>
        <v>36.514196310317587</v>
      </c>
      <c r="BL484">
        <f t="shared" si="457"/>
        <v>-17.434195224532075</v>
      </c>
      <c r="BM484" s="43">
        <f t="shared" si="458"/>
        <v>-39.514087454149816</v>
      </c>
    </row>
    <row r="485" spans="14:65" x14ac:dyDescent="0.25">
      <c r="N485" s="9">
        <v>67</v>
      </c>
      <c r="O485" s="34">
        <f t="shared" si="459"/>
        <v>467735.14128719864</v>
      </c>
      <c r="P485" s="33" t="str">
        <f t="shared" si="411"/>
        <v>66,7780509511648</v>
      </c>
      <c r="Q485" s="4" t="str">
        <f t="shared" si="412"/>
        <v>1+11453,9676039251i</v>
      </c>
      <c r="R485" s="4">
        <f t="shared" si="424"/>
        <v>11453.967647578096</v>
      </c>
      <c r="S485" s="4">
        <f t="shared" si="425"/>
        <v>1.5707090208034673</v>
      </c>
      <c r="T485" s="4" t="str">
        <f t="shared" si="413"/>
        <v>1+2,93886656738729i</v>
      </c>
      <c r="U485" s="4">
        <f t="shared" si="426"/>
        <v>3.1043415889535666</v>
      </c>
      <c r="V485" s="4">
        <f t="shared" si="427"/>
        <v>1.2428182960638658</v>
      </c>
      <c r="W485" t="str">
        <f t="shared" si="414"/>
        <v>1-6,39312775097258i</v>
      </c>
      <c r="X485" s="4">
        <f t="shared" si="428"/>
        <v>6.4708641185127442</v>
      </c>
      <c r="Y485" s="4">
        <f t="shared" si="429"/>
        <v>-1.4156356320586823</v>
      </c>
      <c r="Z485" t="str">
        <f t="shared" si="415"/>
        <v>0,781223837605045+1,25657145287821i</v>
      </c>
      <c r="AA485" s="4">
        <f t="shared" si="430"/>
        <v>1.4796224182644735</v>
      </c>
      <c r="AB485" s="4">
        <f t="shared" si="431"/>
        <v>1.0145658941886979</v>
      </c>
      <c r="AC485" s="47" t="str">
        <f t="shared" si="432"/>
        <v>-0,0734018993183-0,0296159960664481i</v>
      </c>
      <c r="AD485" s="20">
        <f t="shared" si="433"/>
        <v>-22.030826647799838</v>
      </c>
      <c r="AE485" s="43">
        <f t="shared" si="434"/>
        <v>-158.02704548929097</v>
      </c>
      <c r="AF485" t="str">
        <f t="shared" si="416"/>
        <v>223,849857273222</v>
      </c>
      <c r="AG485" t="str">
        <f t="shared" si="417"/>
        <v>1+11601,1247527723i</v>
      </c>
      <c r="AH485">
        <f t="shared" si="435"/>
        <v>11601.12479587157</v>
      </c>
      <c r="AI485">
        <f t="shared" si="436"/>
        <v>1.5707101282564933</v>
      </c>
      <c r="AJ485" t="str">
        <f t="shared" si="418"/>
        <v>1+2,93886656738729i</v>
      </c>
      <c r="AK485">
        <f t="shared" si="437"/>
        <v>3.1043415889535666</v>
      </c>
      <c r="AL485">
        <f t="shared" si="438"/>
        <v>1.2428182960638658</v>
      </c>
      <c r="AM485" t="str">
        <f t="shared" si="419"/>
        <v>1-1,93167564402469i</v>
      </c>
      <c r="AN485">
        <f t="shared" si="439"/>
        <v>2.1751714400750579</v>
      </c>
      <c r="AO485">
        <f t="shared" si="440"/>
        <v>-1.0931008200759471</v>
      </c>
      <c r="AP485" s="41" t="str">
        <f t="shared" si="441"/>
        <v>0,0194453884958794-0,128833365217075i</v>
      </c>
      <c r="AQ485">
        <f t="shared" si="442"/>
        <v>-17.701605625417052</v>
      </c>
      <c r="AR485" s="43">
        <f t="shared" si="443"/>
        <v>-81.416881694090307</v>
      </c>
      <c r="AS485" t="str">
        <f t="shared" si="420"/>
        <v>-0,0000166666666666667</v>
      </c>
      <c r="AT485" t="str">
        <f t="shared" si="421"/>
        <v>0,00294768316708946i</v>
      </c>
      <c r="AU485">
        <f t="shared" si="444"/>
        <v>2.9476831670894599E-3</v>
      </c>
      <c r="AV485">
        <f t="shared" si="445"/>
        <v>1.5707963267948966</v>
      </c>
      <c r="AW485" t="str">
        <f t="shared" si="422"/>
        <v>1+1,93385038332563i</v>
      </c>
      <c r="AX485">
        <f t="shared" si="446"/>
        <v>2.1771029615267823</v>
      </c>
      <c r="AY485">
        <f t="shared" si="447"/>
        <v>1.093560054840591</v>
      </c>
      <c r="AZ485" t="str">
        <f t="shared" si="423"/>
        <v>1+646,550644825203i</v>
      </c>
      <c r="BA485">
        <f t="shared" si="448"/>
        <v>646.55141815936474</v>
      </c>
      <c r="BB485">
        <f t="shared" si="449"/>
        <v>1.5692496587796227</v>
      </c>
      <c r="BC485" s="41" t="str">
        <f t="shared" si="450"/>
        <v>-0,768973949099522+1,49273472433734i</v>
      </c>
      <c r="BD485">
        <f t="shared" si="451"/>
        <v>4.5018409659790493</v>
      </c>
      <c r="BE485" s="43">
        <f t="shared" si="452"/>
        <v>117.25500666395629</v>
      </c>
      <c r="BF485" s="41" t="str">
        <f t="shared" si="453"/>
        <v>0,100652974114424-0,0867956344930072i</v>
      </c>
      <c r="BG485" s="20">
        <f t="shared" si="454"/>
        <v>-17.528985681820782</v>
      </c>
      <c r="BH485" s="43">
        <f t="shared" si="455"/>
        <v>-40.772038825334619</v>
      </c>
      <c r="BI485" s="41" t="str">
        <f t="shared" si="409"/>
        <v>0,177361040729311+0,128096308262784i</v>
      </c>
      <c r="BJ485" s="20">
        <f t="shared" si="456"/>
        <v>-13.199764659438024</v>
      </c>
      <c r="BK485" s="43">
        <f t="shared" si="410"/>
        <v>35.83812496986603</v>
      </c>
      <c r="BL485">
        <f t="shared" si="457"/>
        <v>-17.528985681820782</v>
      </c>
      <c r="BM485" s="43">
        <f t="shared" si="458"/>
        <v>-40.772038825334619</v>
      </c>
    </row>
    <row r="486" spans="14:65" x14ac:dyDescent="0.25">
      <c r="N486" s="9">
        <v>68</v>
      </c>
      <c r="O486" s="34">
        <f t="shared" si="459"/>
        <v>478630.09232263872</v>
      </c>
      <c r="P486" s="33" t="str">
        <f t="shared" si="411"/>
        <v>66,7780509511648</v>
      </c>
      <c r="Q486" s="4" t="str">
        <f t="shared" si="412"/>
        <v>1+11720,7647829073i</v>
      </c>
      <c r="R486" s="4">
        <f t="shared" si="424"/>
        <v>11720.764825566632</v>
      </c>
      <c r="S486" s="4">
        <f t="shared" si="425"/>
        <v>1.5707110081304498</v>
      </c>
      <c r="T486" s="4" t="str">
        <f t="shared" si="413"/>
        <v>1+3,00732156365561i</v>
      </c>
      <c r="U486" s="4">
        <f t="shared" si="426"/>
        <v>3.1692243510404912</v>
      </c>
      <c r="V486" s="4">
        <f t="shared" si="427"/>
        <v>1.2497763239995476</v>
      </c>
      <c r="W486" t="str">
        <f t="shared" si="414"/>
        <v>1-6,54204282632586i</v>
      </c>
      <c r="X486" s="4">
        <f t="shared" si="428"/>
        <v>6.6180302463407985</v>
      </c>
      <c r="Y486" s="4">
        <f t="shared" si="429"/>
        <v>-1.4191129829215299</v>
      </c>
      <c r="Z486" t="str">
        <f t="shared" si="415"/>
        <v>0,770913234723223+1,28584076203032i</v>
      </c>
      <c r="AA486" s="4">
        <f t="shared" si="430"/>
        <v>1.4992310298183322</v>
      </c>
      <c r="AB486" s="4">
        <f t="shared" si="431"/>
        <v>1.0307149792883206</v>
      </c>
      <c r="AC486" s="47" t="str">
        <f t="shared" si="432"/>
        <v>-0,0742881246419929-0,0288845853878931i</v>
      </c>
      <c r="AD486" s="20">
        <f t="shared" si="433"/>
        <v>-21.97018086508519</v>
      </c>
      <c r="AE486" s="43">
        <f t="shared" si="434"/>
        <v>-158.75300566782417</v>
      </c>
      <c r="AF486" t="str">
        <f t="shared" si="416"/>
        <v>223,849857273222</v>
      </c>
      <c r="AG486" t="str">
        <f t="shared" si="417"/>
        <v>1+11871,3496620867i</v>
      </c>
      <c r="AH486">
        <f t="shared" si="435"/>
        <v>11871.349704204909</v>
      </c>
      <c r="AI486">
        <f t="shared" si="436"/>
        <v>1.5707120903747676</v>
      </c>
      <c r="AJ486" t="str">
        <f t="shared" si="418"/>
        <v>1+3,00732156365561i</v>
      </c>
      <c r="AK486">
        <f t="shared" si="437"/>
        <v>3.1692243510404912</v>
      </c>
      <c r="AL486">
        <f t="shared" si="438"/>
        <v>1.2497763239995476</v>
      </c>
      <c r="AM486" t="str">
        <f t="shared" si="419"/>
        <v>1-1,97667014988988i</v>
      </c>
      <c r="AN486">
        <f t="shared" si="439"/>
        <v>2.215225695378618</v>
      </c>
      <c r="AO486">
        <f t="shared" si="440"/>
        <v>-1.1024388298823169</v>
      </c>
      <c r="AP486" s="41" t="str">
        <f t="shared" si="441"/>
        <v>0,0194453136439572-0,130945686458549i</v>
      </c>
      <c r="AQ486">
        <f t="shared" si="442"/>
        <v>-17.563446243670345</v>
      </c>
      <c r="AR486" s="43">
        <f t="shared" si="443"/>
        <v>-81.553357031694432</v>
      </c>
      <c r="AS486" t="str">
        <f t="shared" si="420"/>
        <v>-0,0000166666666666667</v>
      </c>
      <c r="AT486" t="str">
        <f t="shared" si="421"/>
        <v>0,00301634352834658i</v>
      </c>
      <c r="AU486">
        <f t="shared" si="444"/>
        <v>3.0163435283465799E-3</v>
      </c>
      <c r="AV486">
        <f t="shared" si="445"/>
        <v>1.5707963267948966</v>
      </c>
      <c r="AW486" t="str">
        <f t="shared" si="422"/>
        <v>1+1,97889554537657i</v>
      </c>
      <c r="AX486">
        <f t="shared" si="446"/>
        <v>2.217211667728463</v>
      </c>
      <c r="AY486">
        <f t="shared" si="447"/>
        <v>1.1028919173836675</v>
      </c>
      <c r="AZ486" t="str">
        <f t="shared" si="423"/>
        <v>1+661,610744004234i</v>
      </c>
      <c r="BA486">
        <f t="shared" si="448"/>
        <v>661.6114997351815</v>
      </c>
      <c r="BB486">
        <f t="shared" si="449"/>
        <v>1.5692848651876647</v>
      </c>
      <c r="BC486" s="41" t="str">
        <f t="shared" si="450"/>
        <v>-0,741404561548192+1,4726876379218i</v>
      </c>
      <c r="BD486">
        <f t="shared" si="451"/>
        <v>4.3432767632345177</v>
      </c>
      <c r="BE486" s="43">
        <f t="shared" si="452"/>
        <v>116.72234750383433</v>
      </c>
      <c r="BF486" s="41" t="str">
        <f t="shared" si="453"/>
        <v>0,097615526305681-0,0879880394396446i</v>
      </c>
      <c r="BG486" s="20">
        <f t="shared" si="454"/>
        <v>-17.62690410185067</v>
      </c>
      <c r="BH486" s="43">
        <f t="shared" si="455"/>
        <v>-42.030658163989848</v>
      </c>
      <c r="BI486" s="41" t="str">
        <f t="shared" si="409"/>
        <v>0,178425249450324+0,125720602274395i</v>
      </c>
      <c r="BJ486" s="20">
        <f t="shared" si="456"/>
        <v>-13.220169480435837</v>
      </c>
      <c r="BK486" s="43">
        <f t="shared" si="410"/>
        <v>35.168990472139811</v>
      </c>
      <c r="BL486">
        <f t="shared" si="457"/>
        <v>-17.62690410185067</v>
      </c>
      <c r="BM486" s="43">
        <f t="shared" si="458"/>
        <v>-42.030658163989848</v>
      </c>
    </row>
    <row r="487" spans="14:65" x14ac:dyDescent="0.25">
      <c r="N487" s="9">
        <v>69</v>
      </c>
      <c r="O487" s="34">
        <f t="shared" si="459"/>
        <v>489778.81936844654</v>
      </c>
      <c r="P487" s="33" t="str">
        <f t="shared" si="411"/>
        <v>66,7780509511648</v>
      </c>
      <c r="Q487" s="4" t="str">
        <f t="shared" si="412"/>
        <v>1+11993,7764665201i</v>
      </c>
      <c r="R487" s="4">
        <f t="shared" si="424"/>
        <v>11993.776508208386</v>
      </c>
      <c r="S487" s="4">
        <f t="shared" si="425"/>
        <v>1.5707129502203478</v>
      </c>
      <c r="T487" s="4" t="str">
        <f t="shared" si="413"/>
        <v>1+3,07737108162359i</v>
      </c>
      <c r="U487" s="4">
        <f t="shared" si="426"/>
        <v>3.2357708160518945</v>
      </c>
      <c r="V487" s="4">
        <f t="shared" si="427"/>
        <v>1.2566072218456144</v>
      </c>
      <c r="W487" t="str">
        <f t="shared" si="414"/>
        <v>1-6,69442657937984i</v>
      </c>
      <c r="X487" s="4">
        <f t="shared" si="428"/>
        <v>6.7687035115084822</v>
      </c>
      <c r="Y487" s="4">
        <f t="shared" si="429"/>
        <v>-1.4225147554087332</v>
      </c>
      <c r="Z487" t="str">
        <f t="shared" si="415"/>
        <v>0,760116708098051+1,31579184097457i</v>
      </c>
      <c r="AA487" s="4">
        <f t="shared" si="430"/>
        <v>1.5195675630603154</v>
      </c>
      <c r="AB487" s="4">
        <f t="shared" si="431"/>
        <v>1.0469445459468967</v>
      </c>
      <c r="AC487" s="47" t="str">
        <f t="shared" si="432"/>
        <v>-0,075160636749633-0,0281215550702819i</v>
      </c>
      <c r="AD487" s="20">
        <f t="shared" si="433"/>
        <v>-21.911179646867453</v>
      </c>
      <c r="AE487" s="43">
        <f t="shared" si="434"/>
        <v>-159.48652820375744</v>
      </c>
      <c r="AF487" t="str">
        <f t="shared" si="416"/>
        <v>223,849857273222</v>
      </c>
      <c r="AG487" t="str">
        <f t="shared" si="417"/>
        <v>1+12147,8689181278i</v>
      </c>
      <c r="AH487">
        <f t="shared" si="435"/>
        <v>12147.868959287282</v>
      </c>
      <c r="AI487">
        <f t="shared" si="436"/>
        <v>1.5707140078297777</v>
      </c>
      <c r="AJ487" t="str">
        <f t="shared" si="418"/>
        <v>1+3,07737108162359i</v>
      </c>
      <c r="AK487">
        <f t="shared" si="437"/>
        <v>3.2357708160518945</v>
      </c>
      <c r="AL487">
        <f t="shared" si="438"/>
        <v>1.2566072218456144</v>
      </c>
      <c r="AM487" t="str">
        <f t="shared" si="419"/>
        <v>1-2,02271271243286i</v>
      </c>
      <c r="AN487">
        <f t="shared" si="439"/>
        <v>2.2564057075440798</v>
      </c>
      <c r="AO487">
        <f t="shared" si="440"/>
        <v>-1.1116503320484399</v>
      </c>
      <c r="AP487" s="41" t="str">
        <f t="shared" si="441"/>
        <v>0,0194452421609267-0,133127436835687i</v>
      </c>
      <c r="AQ487">
        <f t="shared" si="442"/>
        <v>-17.422966667048492</v>
      </c>
      <c r="AR487" s="43">
        <f t="shared" si="443"/>
        <v>-81.689865474003753</v>
      </c>
      <c r="AS487" t="str">
        <f t="shared" si="420"/>
        <v>-0,0000166666666666667</v>
      </c>
      <c r="AT487" t="str">
        <f t="shared" si="421"/>
        <v>0,00308660319486846i</v>
      </c>
      <c r="AU487">
        <f t="shared" si="444"/>
        <v>3.0866031948684602E-3</v>
      </c>
      <c r="AV487">
        <f t="shared" si="445"/>
        <v>1.5707963267948966</v>
      </c>
      <c r="AW487" t="str">
        <f t="shared" si="422"/>
        <v>1+2,02498994403945i</v>
      </c>
      <c r="AX487">
        <f t="shared" si="446"/>
        <v>2.2584473147410136</v>
      </c>
      <c r="AY487">
        <f t="shared" si="447"/>
        <v>1.1120972008796997</v>
      </c>
      <c r="AZ487" t="str">
        <f t="shared" si="423"/>
        <v>1+677,021637957189i</v>
      </c>
      <c r="BA487">
        <f t="shared" si="448"/>
        <v>677.02237648561879</v>
      </c>
      <c r="BB487">
        <f t="shared" si="449"/>
        <v>1.5693192702036403</v>
      </c>
      <c r="BC487" s="41" t="str">
        <f t="shared" si="450"/>
        <v>-0,71457799278224+1,45241292868526i</v>
      </c>
      <c r="BD487">
        <f t="shared" si="451"/>
        <v>4.1832201482435529</v>
      </c>
      <c r="BE487" s="43">
        <f t="shared" si="452"/>
        <v>116.1968948724998</v>
      </c>
      <c r="BF487" s="41" t="str">
        <f t="shared" si="453"/>
        <v>0,0945522471035998-0,0890692361673462i</v>
      </c>
      <c r="BG487" s="20">
        <f t="shared" si="454"/>
        <v>-17.727959498623896</v>
      </c>
      <c r="BH487" s="43">
        <f t="shared" si="455"/>
        <v>-43.289633331257647</v>
      </c>
      <c r="BI487" s="41" t="str">
        <f t="shared" si="409"/>
        <v>0,179460868310363+0,123372457714235i</v>
      </c>
      <c r="BJ487" s="20">
        <f t="shared" si="456"/>
        <v>-13.239746518804932</v>
      </c>
      <c r="BK487" s="43">
        <f t="shared" si="410"/>
        <v>34.507029398495916</v>
      </c>
      <c r="BL487">
        <f t="shared" si="457"/>
        <v>-17.727959498623896</v>
      </c>
      <c r="BM487" s="43">
        <f t="shared" si="458"/>
        <v>-43.289633331257647</v>
      </c>
    </row>
    <row r="488" spans="14:65" x14ac:dyDescent="0.25">
      <c r="N488" s="9">
        <v>70</v>
      </c>
      <c r="O488" s="34">
        <f t="shared" si="459"/>
        <v>501187.23362727347</v>
      </c>
      <c r="P488" s="33" t="str">
        <f t="shared" si="411"/>
        <v>66,7780509511648</v>
      </c>
      <c r="Q488" s="4" t="str">
        <f t="shared" si="412"/>
        <v>1+12273,1474091719i</v>
      </c>
      <c r="R488" s="4">
        <f t="shared" si="424"/>
        <v>12273.147449911245</v>
      </c>
      <c r="S488" s="4">
        <f t="shared" si="425"/>
        <v>1.5707148481028832</v>
      </c>
      <c r="T488" s="4" t="str">
        <f t="shared" si="413"/>
        <v>1+3,14905226247287i</v>
      </c>
      <c r="U488" s="4">
        <f t="shared" si="426"/>
        <v>3.3040172747407812</v>
      </c>
      <c r="V488" s="4">
        <f t="shared" si="427"/>
        <v>1.263312060663673</v>
      </c>
      <c r="W488" t="str">
        <f t="shared" si="414"/>
        <v>1-6,85035980601742i</v>
      </c>
      <c r="X488" s="4">
        <f t="shared" si="428"/>
        <v>6.9229639224756205</v>
      </c>
      <c r="Y488" s="4">
        <f t="shared" si="429"/>
        <v>-1.4258424380983905</v>
      </c>
      <c r="Z488" t="str">
        <f t="shared" si="415"/>
        <v>0,748811356849041+1,34644057016948i</v>
      </c>
      <c r="AA488" s="4">
        <f t="shared" si="430"/>
        <v>1.5406559178299406</v>
      </c>
      <c r="AB488" s="4">
        <f t="shared" si="431"/>
        <v>1.0632502527069922</v>
      </c>
      <c r="AC488" s="47" t="str">
        <f t="shared" si="432"/>
        <v>-0,0760178854663877-0,0273270820924658i</v>
      </c>
      <c r="AD488" s="20">
        <f t="shared" si="433"/>
        <v>-21.85386982908383</v>
      </c>
      <c r="AE488" s="43">
        <f t="shared" si="434"/>
        <v>-160.22738833083389</v>
      </c>
      <c r="AF488" t="str">
        <f t="shared" si="416"/>
        <v>223,849857273222</v>
      </c>
      <c r="AG488" t="str">
        <f t="shared" si="417"/>
        <v>1+12430,8291350654i</v>
      </c>
      <c r="AH488">
        <f t="shared" si="435"/>
        <v>12430.829175287976</v>
      </c>
      <c r="AI488">
        <f t="shared" si="436"/>
        <v>1.5707158816381837</v>
      </c>
      <c r="AJ488" t="str">
        <f t="shared" si="418"/>
        <v>1+3,14905226247287i</v>
      </c>
      <c r="AK488">
        <f t="shared" si="437"/>
        <v>3.3040172747407812</v>
      </c>
      <c r="AL488">
        <f t="shared" si="438"/>
        <v>1.263312060663673</v>
      </c>
      <c r="AM488" t="str">
        <f t="shared" si="419"/>
        <v>1-2,06982774402975i</v>
      </c>
      <c r="AN488">
        <f t="shared" si="439"/>
        <v>2.2987359330630572</v>
      </c>
      <c r="AO488">
        <f t="shared" si="440"/>
        <v>-1.1207339567981671</v>
      </c>
      <c r="AP488" s="41" t="str">
        <f t="shared" si="441"/>
        <v>0,0194451738951622-0,135379773141455i</v>
      </c>
      <c r="AQ488">
        <f t="shared" si="442"/>
        <v>-17.280237653080242</v>
      </c>
      <c r="AR488" s="43">
        <f t="shared" si="443"/>
        <v>-81.826267229566739</v>
      </c>
      <c r="AS488" t="str">
        <f t="shared" si="420"/>
        <v>-0,0000166666666666667</v>
      </c>
      <c r="AT488" t="str">
        <f t="shared" si="421"/>
        <v>0,00315849941926029i</v>
      </c>
      <c r="AU488">
        <f t="shared" si="444"/>
        <v>3.1584994192602901E-3</v>
      </c>
      <c r="AV488">
        <f t="shared" si="445"/>
        <v>1.5707963267948966</v>
      </c>
      <c r="AW488" t="str">
        <f t="shared" si="422"/>
        <v>1+2,07215801917457i</v>
      </c>
      <c r="AX488">
        <f t="shared" si="446"/>
        <v>2.3008343826597941</v>
      </c>
      <c r="AY488">
        <f t="shared" si="447"/>
        <v>1.1211745449090573</v>
      </c>
      <c r="AZ488" t="str">
        <f t="shared" si="423"/>
        <v>1+692,791497744031i</v>
      </c>
      <c r="BA488">
        <f t="shared" si="448"/>
        <v>692.79221946151904</v>
      </c>
      <c r="BB488">
        <f t="shared" si="449"/>
        <v>1.5693528920692179</v>
      </c>
      <c r="BC488" s="41" t="str">
        <f t="shared" si="450"/>
        <v>-0,68849191881232+1,4319408180716i</v>
      </c>
      <c r="BD488">
        <f t="shared" si="451"/>
        <v>4.0217118237576575</v>
      </c>
      <c r="BE488" s="43">
        <f t="shared" si="452"/>
        <v>115.67872776142627</v>
      </c>
      <c r="BF488" s="41" t="str">
        <f t="shared" si="453"/>
        <v>0,0914684641158037-0,0900386379174288i</v>
      </c>
      <c r="BG488" s="20">
        <f t="shared" si="454"/>
        <v>-17.832158005326175</v>
      </c>
      <c r="BH488" s="43">
        <f t="shared" si="455"/>
        <v>-44.548660569407573</v>
      </c>
      <c r="BI488" s="41" t="str">
        <f t="shared" si="409"/>
        <v>0,180467978015803+0,12105221799352i</v>
      </c>
      <c r="BJ488" s="20">
        <f t="shared" si="456"/>
        <v>-13.258525829322593</v>
      </c>
      <c r="BK488" s="43">
        <f t="shared" si="410"/>
        <v>33.852460531859585</v>
      </c>
      <c r="BL488">
        <f t="shared" si="457"/>
        <v>-17.832158005326175</v>
      </c>
      <c r="BM488" s="43">
        <f t="shared" si="458"/>
        <v>-44.548660569407573</v>
      </c>
    </row>
    <row r="489" spans="14:65" x14ac:dyDescent="0.25">
      <c r="N489" s="9">
        <v>71</v>
      </c>
      <c r="O489" s="34">
        <f t="shared" si="459"/>
        <v>512861.38399136515</v>
      </c>
      <c r="P489" s="33" t="str">
        <f t="shared" si="411"/>
        <v>66,7780509511648</v>
      </c>
      <c r="Q489" s="4" t="str">
        <f t="shared" si="412"/>
        <v>1+12559,0257370342i</v>
      </c>
      <c r="R489" s="4">
        <f t="shared" si="424"/>
        <v>12559.025776846203</v>
      </c>
      <c r="S489" s="4">
        <f t="shared" si="425"/>
        <v>1.5707167027843383</v>
      </c>
      <c r="T489" s="4" t="str">
        <f t="shared" si="413"/>
        <v>1+3,22240311251433i</v>
      </c>
      <c r="U489" s="4">
        <f t="shared" si="426"/>
        <v>3.3740008624097957</v>
      </c>
      <c r="V489" s="4">
        <f t="shared" si="427"/>
        <v>1.2698919832841622</v>
      </c>
      <c r="W489" t="str">
        <f t="shared" si="414"/>
        <v>1-7,00992518409935i</v>
      </c>
      <c r="X489" s="4">
        <f t="shared" si="428"/>
        <v>7.0808933819589672</v>
      </c>
      <c r="Y489" s="4">
        <f t="shared" si="429"/>
        <v>-1.4290975004268764</v>
      </c>
      <c r="Z489" t="str">
        <f t="shared" si="415"/>
        <v>0,736973200810464+1,37780319997692i</v>
      </c>
      <c r="AA489" s="4">
        <f t="shared" si="430"/>
        <v>1.5625207699673822</v>
      </c>
      <c r="AB489" s="4">
        <f t="shared" si="431"/>
        <v>1.0796278196450799</v>
      </c>
      <c r="AC489" s="47" t="str">
        <f t="shared" si="432"/>
        <v>-0,0768583298491794-0,0265014230133639i</v>
      </c>
      <c r="AD489" s="20">
        <f t="shared" si="433"/>
        <v>-21.798295342845861</v>
      </c>
      <c r="AE489" s="43">
        <f t="shared" si="434"/>
        <v>-160.97535959829662</v>
      </c>
      <c r="AF489" t="str">
        <f t="shared" si="416"/>
        <v>223,849857273222</v>
      </c>
      <c r="AG489" t="str">
        <f t="shared" si="417"/>
        <v>1+12720,3803421518i</v>
      </c>
      <c r="AH489">
        <f t="shared" si="435"/>
        <v>12720.380381458801</v>
      </c>
      <c r="AI489">
        <f t="shared" si="436"/>
        <v>1.5707177127935035</v>
      </c>
      <c r="AJ489" t="str">
        <f t="shared" si="418"/>
        <v>1+3,22240311251433i</v>
      </c>
      <c r="AK489">
        <f t="shared" si="437"/>
        <v>3.3740008624097957</v>
      </c>
      <c r="AL489">
        <f t="shared" si="438"/>
        <v>1.2698919832841622</v>
      </c>
      <c r="AM489" t="str">
        <f t="shared" si="419"/>
        <v>1-2,11804022569392i</v>
      </c>
      <c r="AN489">
        <f t="shared" si="439"/>
        <v>2.3422413192618632</v>
      </c>
      <c r="AO489">
        <f t="shared" si="440"/>
        <v>-1.1296885233380063</v>
      </c>
      <c r="AP489" s="41" t="str">
        <f t="shared" si="441"/>
        <v>0,0194451087018633-0,137703889594411i</v>
      </c>
      <c r="AQ489">
        <f t="shared" si="442"/>
        <v>-17.135328984352807</v>
      </c>
      <c r="AR489" s="43">
        <f t="shared" si="443"/>
        <v>-81.962429221463324</v>
      </c>
      <c r="AS489" t="str">
        <f t="shared" si="420"/>
        <v>-0,0000166666666666667</v>
      </c>
      <c r="AT489" t="str">
        <f t="shared" si="421"/>
        <v>0,00323207032185188i</v>
      </c>
      <c r="AU489">
        <f t="shared" si="444"/>
        <v>3.2320703218518799E-3</v>
      </c>
      <c r="AV489">
        <f t="shared" si="445"/>
        <v>1.5707963267948966</v>
      </c>
      <c r="AW489" t="str">
        <f t="shared" si="422"/>
        <v>1+2,1204247799197i</v>
      </c>
      <c r="AX489">
        <f t="shared" si="446"/>
        <v>2.3443978432206225</v>
      </c>
      <c r="AY489">
        <f t="shared" si="447"/>
        <v>1.1301227777758007</v>
      </c>
      <c r="AZ489" t="str">
        <f t="shared" si="423"/>
        <v>1+708,928684753152i</v>
      </c>
      <c r="BA489">
        <f t="shared" si="448"/>
        <v>708.92939004236086</v>
      </c>
      <c r="BB489">
        <f t="shared" si="449"/>
        <v>1.569385748610852</v>
      </c>
      <c r="BC489" s="41" t="str">
        <f t="shared" si="450"/>
        <v>-0,663142615809141+1,41130068866058i</v>
      </c>
      <c r="BD489">
        <f t="shared" si="451"/>
        <v>3.8587923262331412</v>
      </c>
      <c r="BE489" s="43">
        <f t="shared" si="452"/>
        <v>115.16791432522659</v>
      </c>
      <c r="BF489" s="41" t="str">
        <f t="shared" si="453"/>
        <v>0,0883695104521524-0,0908959908657022i</v>
      </c>
      <c r="BG489" s="20">
        <f t="shared" si="454"/>
        <v>-17.939503016612719</v>
      </c>
      <c r="BH489" s="43">
        <f t="shared" si="455"/>
        <v>-45.807445273070023</v>
      </c>
      <c r="BI489" s="41" t="str">
        <f t="shared" si="409"/>
        <v>0,181446713966586+0,11876021285475i</v>
      </c>
      <c r="BJ489" s="20">
        <f t="shared" si="456"/>
        <v>-13.276536658119673</v>
      </c>
      <c r="BK489" s="43">
        <f t="shared" si="410"/>
        <v>33.205485103763209</v>
      </c>
      <c r="BL489">
        <f t="shared" si="457"/>
        <v>-17.939503016612719</v>
      </c>
      <c r="BM489" s="43">
        <f t="shared" si="458"/>
        <v>-45.807445273070023</v>
      </c>
    </row>
    <row r="490" spans="14:65" x14ac:dyDescent="0.25">
      <c r="N490" s="9">
        <v>72</v>
      </c>
      <c r="O490" s="34">
        <f t="shared" si="459"/>
        <v>524807.46024977288</v>
      </c>
      <c r="P490" s="33" t="str">
        <f t="shared" si="411"/>
        <v>66,7780509511648</v>
      </c>
      <c r="Q490" s="4" t="str">
        <f t="shared" si="412"/>
        <v>1+12851,5630265808i</v>
      </c>
      <c r="R490" s="4">
        <f t="shared" si="424"/>
        <v>12851.563065486573</v>
      </c>
      <c r="S490" s="4">
        <f t="shared" si="425"/>
        <v>1.57071851524809</v>
      </c>
      <c r="T490" s="4" t="str">
        <f t="shared" si="413"/>
        <v>1+3,29746252333961i</v>
      </c>
      <c r="U490" s="4">
        <f t="shared" si="426"/>
        <v>3.4457595814028044</v>
      </c>
      <c r="V490" s="4">
        <f t="shared" si="427"/>
        <v>1.2763481986114515</v>
      </c>
      <c r="W490" t="str">
        <f t="shared" si="414"/>
        <v>1-7,17320731730125i</v>
      </c>
      <c r="X490" s="4">
        <f t="shared" si="428"/>
        <v>7.2425757308421836</v>
      </c>
      <c r="Y490" s="4">
        <f t="shared" si="429"/>
        <v>-1.4322813922171433</v>
      </c>
      <c r="Z490" t="str">
        <f t="shared" si="415"/>
        <v>0,724577129666184+1,40989635927839i</v>
      </c>
      <c r="AA490" s="4">
        <f t="shared" si="430"/>
        <v>1.585187610581708</v>
      </c>
      <c r="AB490" s="4">
        <f t="shared" si="431"/>
        <v>1.0960730410283206</v>
      </c>
      <c r="AC490" s="47" t="str">
        <f t="shared" si="432"/>
        <v>-0,0776804428994573-0,0256449129204372i</v>
      </c>
      <c r="AD490" s="20">
        <f t="shared" si="433"/>
        <v>-21.744497289066821</v>
      </c>
      <c r="AE490" s="43">
        <f t="shared" si="434"/>
        <v>-161.73021489536544</v>
      </c>
      <c r="AF490" t="str">
        <f t="shared" si="416"/>
        <v>223,849857273222</v>
      </c>
      <c r="AG490" t="str">
        <f t="shared" si="417"/>
        <v>1+13016,6760632698i</v>
      </c>
      <c r="AH490">
        <f t="shared" si="435"/>
        <v>13016.676101682066</v>
      </c>
      <c r="AI490">
        <f t="shared" si="436"/>
        <v>1.5707195022666398</v>
      </c>
      <c r="AJ490" t="str">
        <f t="shared" si="418"/>
        <v>1+3,29746252333961i</v>
      </c>
      <c r="AK490">
        <f t="shared" si="437"/>
        <v>3.4457595814028044</v>
      </c>
      <c r="AL490">
        <f t="shared" si="438"/>
        <v>1.2763481986114515</v>
      </c>
      <c r="AM490" t="str">
        <f t="shared" si="419"/>
        <v>1-2,16737572032134i</v>
      </c>
      <c r="AN490">
        <f t="shared" si="439"/>
        <v>2.3869473209600685</v>
      </c>
      <c r="AO490">
        <f t="shared" si="440"/>
        <v>-1.1385130343792271</v>
      </c>
      <c r="AP490" s="41" t="str">
        <f t="shared" si="441"/>
        <v>0,0194450464427461-0,140101018471895i</v>
      </c>
      <c r="AQ490">
        <f t="shared" si="442"/>
        <v>-16.988309392783584</v>
      </c>
      <c r="AR490" s="43">
        <f t="shared" si="443"/>
        <v>-82.098225099768769</v>
      </c>
      <c r="AS490" t="str">
        <f t="shared" si="420"/>
        <v>-0,0000166666666666667</v>
      </c>
      <c r="AT490" t="str">
        <f t="shared" si="421"/>
        <v>0,00330735491090963i</v>
      </c>
      <c r="AU490">
        <f t="shared" si="444"/>
        <v>3.30735491090963E-3</v>
      </c>
      <c r="AV490">
        <f t="shared" si="445"/>
        <v>1.5707963267948966</v>
      </c>
      <c r="AW490" t="str">
        <f t="shared" si="422"/>
        <v>1+2,16981581795029i</v>
      </c>
      <c r="AX490">
        <f t="shared" si="446"/>
        <v>2.3891631764756647</v>
      </c>
      <c r="AY490">
        <f t="shared" si="447"/>
        <v>1.1389409110119055</v>
      </c>
      <c r="AZ490" t="str">
        <f t="shared" si="423"/>
        <v>1+725,441755134714i</v>
      </c>
      <c r="BA490">
        <f t="shared" si="448"/>
        <v>725.44244436959582</v>
      </c>
      <c r="BB490">
        <f t="shared" si="449"/>
        <v>1.5694178572492314</v>
      </c>
      <c r="BC490" s="41" t="str">
        <f t="shared" si="450"/>
        <v>-0,638525049579631+1,39052102644975i</v>
      </c>
      <c r="BD490">
        <f t="shared" si="451"/>
        <v>3.6945019514648294</v>
      </c>
      <c r="BE490" s="43">
        <f t="shared" si="452"/>
        <v>114.66451219707889</v>
      </c>
      <c r="BF490" s="41" t="str">
        <f t="shared" si="453"/>
        <v>0,0852606992910845-0,0916413699016371i</v>
      </c>
      <c r="BG490" s="20">
        <f t="shared" si="454"/>
        <v>-18.049995337601988</v>
      </c>
      <c r="BH490" s="43">
        <f t="shared" si="455"/>
        <v>-47.065702698286529</v>
      </c>
      <c r="BI490" s="41" t="str">
        <f t="shared" si="409"/>
        <v>0,182397262768262+0,116496755704854i</v>
      </c>
      <c r="BJ490" s="20">
        <f t="shared" si="456"/>
        <v>-13.293807441318757</v>
      </c>
      <c r="BK490" s="43">
        <f t="shared" si="410"/>
        <v>32.566287097310159</v>
      </c>
      <c r="BL490">
        <f t="shared" si="457"/>
        <v>-18.049995337601988</v>
      </c>
      <c r="BM490" s="43">
        <f t="shared" si="458"/>
        <v>-47.065702698286529</v>
      </c>
    </row>
    <row r="491" spans="14:65" x14ac:dyDescent="0.25">
      <c r="N491" s="9">
        <v>73</v>
      </c>
      <c r="O491" s="34">
        <f t="shared" si="459"/>
        <v>537031.7963702539</v>
      </c>
      <c r="P491" s="33" t="str">
        <f t="shared" si="411"/>
        <v>66,7780509511648</v>
      </c>
      <c r="Q491" s="4" t="str">
        <f t="shared" si="412"/>
        <v>1+13150,9143849546i</v>
      </c>
      <c r="R491" s="4">
        <f t="shared" si="424"/>
        <v>13150.914422974767</v>
      </c>
      <c r="S491" s="4">
        <f t="shared" si="425"/>
        <v>1.5707202864551302</v>
      </c>
      <c r="T491" s="4" t="str">
        <f t="shared" si="413"/>
        <v>1+3,37427029244184i</v>
      </c>
      <c r="U491" s="4">
        <f t="shared" si="426"/>
        <v>3.5193323239579897</v>
      </c>
      <c r="V491" s="4">
        <f t="shared" si="427"/>
        <v>1.2826819761277894</v>
      </c>
      <c r="W491" t="str">
        <f t="shared" si="414"/>
        <v>1-7,34029277997141i</v>
      </c>
      <c r="X491" s="4">
        <f t="shared" si="428"/>
        <v>7.4080967930839297</v>
      </c>
      <c r="Y491" s="4">
        <f t="shared" si="429"/>
        <v>-1.4353955432703807</v>
      </c>
      <c r="Z491" t="str">
        <f t="shared" si="415"/>
        <v>0,711596849687339+1,44273706429172i</v>
      </c>
      <c r="AA491" s="4">
        <f t="shared" si="430"/>
        <v>1.6086827882357777</v>
      </c>
      <c r="AB491" s="4">
        <f t="shared" si="431"/>
        <v>1.11258179730204</v>
      </c>
      <c r="AC491" s="47" t="str">
        <f t="shared" si="432"/>
        <v>-0,0784827161100868-0,0247579640347615i</v>
      </c>
      <c r="AD491" s="20">
        <f t="shared" si="433"/>
        <v>-21.692514023992526</v>
      </c>
      <c r="AE491" s="43">
        <f t="shared" si="434"/>
        <v>-162.49172742960343</v>
      </c>
      <c r="AF491" t="str">
        <f t="shared" si="416"/>
        <v>223,849857273222</v>
      </c>
      <c r="AG491" t="str">
        <f t="shared" si="417"/>
        <v>1+13319,8733983327i</v>
      </c>
      <c r="AH491">
        <f t="shared" si="435"/>
        <v>13319.873435870595</v>
      </c>
      <c r="AI491">
        <f t="shared" si="436"/>
        <v>1.570721251006395</v>
      </c>
      <c r="AJ491" t="str">
        <f t="shared" si="418"/>
        <v>1+3,37427029244184i</v>
      </c>
      <c r="AK491">
        <f t="shared" si="437"/>
        <v>3.5193323239579897</v>
      </c>
      <c r="AL491">
        <f t="shared" si="438"/>
        <v>1.2826819761277894</v>
      </c>
      <c r="AM491" t="str">
        <f t="shared" si="419"/>
        <v>1-2,21786038624428i</v>
      </c>
      <c r="AN491">
        <f t="shared" si="439"/>
        <v>2.4328799174787945</v>
      </c>
      <c r="AO491">
        <f t="shared" si="440"/>
        <v>-1.1472066703193804</v>
      </c>
      <c r="AP491" s="41" t="str">
        <f t="shared" si="441"/>
        <v>0,0194449869857508-0,142572430763399i</v>
      </c>
      <c r="AQ491">
        <f t="shared" si="442"/>
        <v>-16.839246491121713</v>
      </c>
      <c r="AR491" s="43">
        <f t="shared" si="443"/>
        <v>-82.233535223109271</v>
      </c>
      <c r="AS491" t="str">
        <f t="shared" si="420"/>
        <v>-0,0000166666666666667</v>
      </c>
      <c r="AT491" t="str">
        <f t="shared" si="421"/>
        <v>0,00338439310331916i</v>
      </c>
      <c r="AU491">
        <f t="shared" si="444"/>
        <v>3.3843931033191599E-3</v>
      </c>
      <c r="AV491">
        <f t="shared" si="445"/>
        <v>1.5707963267948966</v>
      </c>
      <c r="AW491" t="str">
        <f t="shared" si="422"/>
        <v>1+2,22035732104847i</v>
      </c>
      <c r="AX491">
        <f t="shared" si="446"/>
        <v>2.43515638781856</v>
      </c>
      <c r="AY491">
        <f t="shared" si="447"/>
        <v>1.1476281335434897</v>
      </c>
      <c r="AZ491" t="str">
        <f t="shared" si="423"/>
        <v>1+742,339464337204i</v>
      </c>
      <c r="BA491">
        <f t="shared" si="448"/>
        <v>742.34013788319908</v>
      </c>
      <c r="BB491">
        <f t="shared" si="449"/>
        <v>1.5694492350085165</v>
      </c>
      <c r="BC491" s="41" t="str">
        <f t="shared" si="450"/>
        <v>-0,614632965912838+1,36962937146258i</v>
      </c>
      <c r="BD491">
        <f t="shared" si="451"/>
        <v>3.5288806851568766</v>
      </c>
      <c r="BE491" s="43">
        <f t="shared" si="452"/>
        <v>114.16856882350568</v>
      </c>
      <c r="BF491" s="41" t="str">
        <f t="shared" si="453"/>
        <v>0,0821472992952615-0,0922751722718854i</v>
      </c>
      <c r="BG491" s="20">
        <f t="shared" si="454"/>
        <v>-18.163633338835648</v>
      </c>
      <c r="BH491" s="43">
        <f t="shared" si="455"/>
        <v>-48.323158606097721</v>
      </c>
      <c r="BI491" s="41" t="str">
        <f t="shared" si="409"/>
        <v>0,183319858711178+0,114262141280903i</v>
      </c>
      <c r="BJ491" s="20">
        <f t="shared" si="456"/>
        <v>-13.310365805964823</v>
      </c>
      <c r="BK491" s="43">
        <f t="shared" si="410"/>
        <v>31.935033600396491</v>
      </c>
      <c r="BL491">
        <f t="shared" si="457"/>
        <v>-18.163633338835648</v>
      </c>
      <c r="BM491" s="43">
        <f t="shared" si="458"/>
        <v>-48.323158606097721</v>
      </c>
    </row>
    <row r="492" spans="14:65" x14ac:dyDescent="0.25">
      <c r="N492" s="9">
        <v>74</v>
      </c>
      <c r="O492" s="34">
        <f t="shared" si="459"/>
        <v>549540.87385762564</v>
      </c>
      <c r="P492" s="33" t="str">
        <f t="shared" si="411"/>
        <v>66,7780509511648</v>
      </c>
      <c r="Q492" s="4" t="str">
        <f t="shared" si="412"/>
        <v>1+13457,2385322082i</v>
      </c>
      <c r="R492" s="4">
        <f t="shared" si="424"/>
        <v>13457.238569362924</v>
      </c>
      <c r="S492" s="4">
        <f t="shared" si="425"/>
        <v>1.5707220173445762</v>
      </c>
      <c r="T492" s="4" t="str">
        <f t="shared" si="413"/>
        <v>1+3,45286714431686i</v>
      </c>
      <c r="U492" s="4">
        <f t="shared" si="426"/>
        <v>3.5947588954341385</v>
      </c>
      <c r="V492" s="4">
        <f t="shared" si="427"/>
        <v>1.2888946406021433</v>
      </c>
      <c r="W492" t="str">
        <f t="shared" si="414"/>
        <v>1-7,51127016303374i</v>
      </c>
      <c r="X492" s="4">
        <f t="shared" si="428"/>
        <v>7.5775444216501242</v>
      </c>
      <c r="Y492" s="4">
        <f t="shared" si="429"/>
        <v>-1.4384413630168984</v>
      </c>
      <c r="Z492" t="str">
        <f t="shared" si="415"/>
        <v>0,698004827959798+1,47634272759342i</v>
      </c>
      <c r="AA492" s="4">
        <f t="shared" si="430"/>
        <v>1.6330335542092107</v>
      </c>
      <c r="AB492" s="4">
        <f t="shared" si="431"/>
        <v>1.1291500663158147</v>
      </c>
      <c r="AC492" s="47" t="str">
        <f t="shared" si="432"/>
        <v>-0,0792636638154126-0,023841063998291i</v>
      </c>
      <c r="AD492" s="20">
        <f t="shared" si="433"/>
        <v>-21.642381254888534</v>
      </c>
      <c r="AE492" s="43">
        <f t="shared" si="434"/>
        <v>-163.25967165331184</v>
      </c>
      <c r="AF492" t="str">
        <f t="shared" si="416"/>
        <v>223,849857273222</v>
      </c>
      <c r="AG492" t="str">
        <f t="shared" si="417"/>
        <v>1+13630,1331065806i</v>
      </c>
      <c r="AH492">
        <f t="shared" si="435"/>
        <v>13630.133143264027</v>
      </c>
      <c r="AI492">
        <f t="shared" si="436"/>
        <v>1.5707229599399741</v>
      </c>
      <c r="AJ492" t="str">
        <f t="shared" si="418"/>
        <v>1+3,45286714431686i</v>
      </c>
      <c r="AK492">
        <f t="shared" si="437"/>
        <v>3.5947588954341385</v>
      </c>
      <c r="AL492">
        <f t="shared" si="438"/>
        <v>1.2888946406021433</v>
      </c>
      <c r="AM492" t="str">
        <f t="shared" si="419"/>
        <v>1-2,26952099110085i</v>
      </c>
      <c r="AN492">
        <f t="shared" si="439"/>
        <v>2.4800656299879207</v>
      </c>
      <c r="AO492">
        <f t="shared" si="440"/>
        <v>-1.1557687831351062</v>
      </c>
      <c r="AP492" s="41" t="str">
        <f t="shared" si="441"/>
        <v>0,0194449302047612-0,14511943684446i</v>
      </c>
      <c r="AQ492">
        <f t="shared" si="442"/>
        <v>-16.688206711518372</v>
      </c>
      <c r="AR492" s="43">
        <f t="shared" si="443"/>
        <v>-82.368246611935405</v>
      </c>
      <c r="AS492" t="str">
        <f t="shared" si="420"/>
        <v>-0,0000166666666666667</v>
      </c>
      <c r="AT492" t="str">
        <f t="shared" si="421"/>
        <v>0,00346322574574981i</v>
      </c>
      <c r="AU492">
        <f t="shared" si="444"/>
        <v>3.4632257457498099E-3</v>
      </c>
      <c r="AV492">
        <f t="shared" si="445"/>
        <v>1.5707963267948966</v>
      </c>
      <c r="AW492" t="str">
        <f t="shared" si="422"/>
        <v>1+2,27207608698816i</v>
      </c>
      <c r="AX492">
        <f t="shared" si="446"/>
        <v>2.4824040253478943</v>
      </c>
      <c r="AY492">
        <f t="shared" si="447"/>
        <v>1.1561838055708005</v>
      </c>
      <c r="AZ492" t="str">
        <f t="shared" si="423"/>
        <v>1+759,630771749709i</v>
      </c>
      <c r="BA492">
        <f t="shared" si="448"/>
        <v>759.63142996393879</v>
      </c>
      <c r="BB492">
        <f t="shared" si="449"/>
        <v>1.5694798985253633</v>
      </c>
      <c r="BC492" s="41" t="str">
        <f t="shared" si="450"/>
        <v>-0,591458981088463+1,34865227640164i</v>
      </c>
      <c r="BD492">
        <f t="shared" si="451"/>
        <v>3.3619681384585798</v>
      </c>
      <c r="BE492" s="43">
        <f t="shared" si="452"/>
        <v>113.68012181554305</v>
      </c>
      <c r="BF492" s="41" t="str">
        <f t="shared" si="453"/>
        <v>0,0790345110707348-0,0927981092200965i</v>
      </c>
      <c r="BG492" s="20">
        <f t="shared" si="454"/>
        <v>-18.280413116429944</v>
      </c>
      <c r="BH492" s="43">
        <f t="shared" si="455"/>
        <v>-49.579549837768795</v>
      </c>
      <c r="BI492" s="41" t="str">
        <f t="shared" si="409"/>
        <v>0,184214780244161+0,112056643637278i</v>
      </c>
      <c r="BJ492" s="20">
        <f t="shared" si="456"/>
        <v>-13.326238573059783</v>
      </c>
      <c r="BK492" s="43">
        <f t="shared" si="410"/>
        <v>31.311875203607592</v>
      </c>
      <c r="BL492">
        <f t="shared" si="457"/>
        <v>-18.280413116429944</v>
      </c>
      <c r="BM492" s="43">
        <f t="shared" si="458"/>
        <v>-49.579549837768795</v>
      </c>
    </row>
    <row r="493" spans="14:65" x14ac:dyDescent="0.25">
      <c r="N493" s="9">
        <v>75</v>
      </c>
      <c r="O493" s="34">
        <f t="shared" si="459"/>
        <v>562341.32519035018</v>
      </c>
      <c r="P493" s="33" t="str">
        <f t="shared" si="411"/>
        <v>66,7780509511648</v>
      </c>
      <c r="Q493" s="4" t="str">
        <f t="shared" si="412"/>
        <v>1+13770,6978854592i</v>
      </c>
      <c r="R493" s="4">
        <f t="shared" si="424"/>
        <v>13770.697921768178</v>
      </c>
      <c r="S493" s="4">
        <f t="shared" si="425"/>
        <v>1.5707237088341688</v>
      </c>
      <c r="T493" s="4" t="str">
        <f t="shared" si="413"/>
        <v>1+3,53329475205591i</v>
      </c>
      <c r="U493" s="4">
        <f t="shared" si="426"/>
        <v>3.6720800379220817</v>
      </c>
      <c r="V493" s="4">
        <f t="shared" si="427"/>
        <v>1.2949875670082267</v>
      </c>
      <c r="W493" t="str">
        <f t="shared" si="414"/>
        <v>1-7,68623012095996i</v>
      </c>
      <c r="X493" s="4">
        <f t="shared" si="428"/>
        <v>7.7510085454960098</v>
      </c>
      <c r="Y493" s="4">
        <f t="shared" si="429"/>
        <v>-1.4414202402222773</v>
      </c>
      <c r="Z493" t="str">
        <f t="shared" si="415"/>
        <v>0,683772233983162+1,51073116735101i</v>
      </c>
      <c r="AA493" s="4">
        <f t="shared" si="430"/>
        <v>1.6582681110037876</v>
      </c>
      <c r="AB493" s="4">
        <f t="shared" si="431"/>
        <v>1.1457739337026092</v>
      </c>
      <c r="AC493" s="47" t="str">
        <f t="shared" si="432"/>
        <v>-0,0800218273174209-0,0228947738721937i</v>
      </c>
      <c r="AD493" s="20">
        <f t="shared" si="433"/>
        <v>-21.594132145065387</v>
      </c>
      <c r="AE493" s="43">
        <f t="shared" si="434"/>
        <v>-164.03382413257862</v>
      </c>
      <c r="AF493" t="str">
        <f t="shared" si="416"/>
        <v>223,849857273222</v>
      </c>
      <c r="AG493" t="str">
        <f t="shared" si="417"/>
        <v>1+13947,6196918179i</v>
      </c>
      <c r="AH493">
        <f t="shared" si="435"/>
        <v>13947.619727666312</v>
      </c>
      <c r="AI493">
        <f t="shared" si="436"/>
        <v>1.5707246299734761</v>
      </c>
      <c r="AJ493" t="str">
        <f t="shared" si="418"/>
        <v>1+3,53329475205591i</v>
      </c>
      <c r="AK493">
        <f t="shared" si="437"/>
        <v>3.6720800379220817</v>
      </c>
      <c r="AL493">
        <f t="shared" si="438"/>
        <v>1.2949875670082267</v>
      </c>
      <c r="AM493" t="str">
        <f t="shared" si="419"/>
        <v>1-2,32238492602758i</v>
      </c>
      <c r="AN493">
        <f t="shared" si="439"/>
        <v>2.5285315391824019</v>
      </c>
      <c r="AO493">
        <f t="shared" si="440"/>
        <v>-1.1641988900361018</v>
      </c>
      <c r="AP493" s="41" t="str">
        <f t="shared" si="441"/>
        <v>0,0194448759793368-0,147743387171444i</v>
      </c>
      <c r="AQ493">
        <f t="shared" si="442"/>
        <v>-16.53525525097265</v>
      </c>
      <c r="AR493" s="43">
        <f t="shared" si="443"/>
        <v>-82.502252876125453</v>
      </c>
      <c r="AS493" t="str">
        <f t="shared" si="420"/>
        <v>-0,0000166666666666667</v>
      </c>
      <c r="AT493" t="str">
        <f t="shared" si="421"/>
        <v>0,00354389463631207i</v>
      </c>
      <c r="AU493">
        <f t="shared" si="444"/>
        <v>3.54389463631207E-3</v>
      </c>
      <c r="AV493">
        <f t="shared" si="445"/>
        <v>1.5707963267948966</v>
      </c>
      <c r="AW493" t="str">
        <f t="shared" si="422"/>
        <v>1+2,32499953774367i</v>
      </c>
      <c r="AX493">
        <f t="shared" si="446"/>
        <v>2.5309331975594058</v>
      </c>
      <c r="AY493">
        <f t="shared" si="447"/>
        <v>1.1646074522117584</v>
      </c>
      <c r="AZ493" t="str">
        <f t="shared" si="423"/>
        <v>1+777,324845452299i</v>
      </c>
      <c r="BA493">
        <f t="shared" si="448"/>
        <v>777.32548868375636</v>
      </c>
      <c r="BB493">
        <f t="shared" si="449"/>
        <v>1.5695098640577434</v>
      </c>
      <c r="BC493" s="41" t="str">
        <f t="shared" si="450"/>
        <v>-0,568994671900976+1,32761527301522i</v>
      </c>
      <c r="BD493">
        <f t="shared" si="451"/>
        <v>3.1938034884567323</v>
      </c>
      <c r="BE493" s="43">
        <f t="shared" si="452"/>
        <v>113.19919931344275</v>
      </c>
      <c r="BF493" s="41" t="str">
        <f t="shared" si="453"/>
        <v>0,0759274448443466-0,0932111957735386i</v>
      </c>
      <c r="BG493" s="20">
        <f t="shared" si="454"/>
        <v>-18.400328656608657</v>
      </c>
      <c r="BH493" s="43">
        <f t="shared" si="455"/>
        <v>-50.834624819135882</v>
      </c>
      <c r="BI493" s="41" t="str">
        <f t="shared" si="409"/>
        <v>0,185082346467792+0,109880514441209i</v>
      </c>
      <c r="BJ493" s="20">
        <f t="shared" si="456"/>
        <v>-13.341451762515922</v>
      </c>
      <c r="BK493" s="43">
        <f t="shared" si="410"/>
        <v>30.696946437317308</v>
      </c>
      <c r="BL493">
        <f t="shared" si="457"/>
        <v>-18.400328656608657</v>
      </c>
      <c r="BM493" s="43">
        <f t="shared" si="458"/>
        <v>-50.834624819135882</v>
      </c>
    </row>
    <row r="494" spans="14:65" x14ac:dyDescent="0.25">
      <c r="N494" s="9">
        <v>76</v>
      </c>
      <c r="O494" s="34">
        <f t="shared" si="459"/>
        <v>575439.93733715697</v>
      </c>
      <c r="P494" s="33" t="str">
        <f t="shared" si="411"/>
        <v>66,7780509511648</v>
      </c>
      <c r="Q494" s="4" t="str">
        <f t="shared" si="412"/>
        <v>1+14091,4586450058i</v>
      </c>
      <c r="R494" s="4">
        <f t="shared" si="424"/>
        <v>14091.458680488287</v>
      </c>
      <c r="S494" s="4">
        <f t="shared" si="425"/>
        <v>1.5707253618207577</v>
      </c>
      <c r="T494" s="4" t="str">
        <f t="shared" si="413"/>
        <v>1+3,61559575944117i</v>
      </c>
      <c r="U494" s="4">
        <f t="shared" si="426"/>
        <v>3.7513374542540121</v>
      </c>
      <c r="V494" s="4">
        <f t="shared" si="427"/>
        <v>1.3009621756544933</v>
      </c>
      <c r="W494" t="str">
        <f t="shared" si="414"/>
        <v>1-7,86526541983557i</v>
      </c>
      <c r="X494" s="4">
        <f t="shared" si="428"/>
        <v>7.9285812176240711</v>
      </c>
      <c r="Y494" s="4">
        <f t="shared" si="429"/>
        <v>-1.4443335427450166</v>
      </c>
      <c r="Z494" t="str">
        <f t="shared" si="415"/>
        <v>0,668868878517408+1,54592061677041i</v>
      </c>
      <c r="AA494" s="4">
        <f t="shared" si="430"/>
        <v>1.6844156642601433</v>
      </c>
      <c r="AB494" s="4">
        <f t="shared" si="431"/>
        <v>1.162449602333427</v>
      </c>
      <c r="AC494" s="47" t="str">
        <f t="shared" si="432"/>
        <v>-0,0807557787651226-0,0219197258777903i</v>
      </c>
      <c r="AD494" s="20">
        <f t="shared" si="433"/>
        <v>-21.54779742736638</v>
      </c>
      <c r="AE494" s="43">
        <f t="shared" si="434"/>
        <v>-164.81396435416269</v>
      </c>
      <c r="AF494" t="str">
        <f t="shared" si="416"/>
        <v>223,849857273222</v>
      </c>
      <c r="AG494" t="str">
        <f t="shared" si="417"/>
        <v>1+14272,5014896343i</v>
      </c>
      <c r="AH494">
        <f t="shared" si="435"/>
        <v>14272.501524666699</v>
      </c>
      <c r="AI494">
        <f t="shared" si="436"/>
        <v>1.5707262619923748</v>
      </c>
      <c r="AJ494" t="str">
        <f t="shared" si="418"/>
        <v>1+3,61559575944117i</v>
      </c>
      <c r="AK494">
        <f t="shared" si="437"/>
        <v>3.7513374542540121</v>
      </c>
      <c r="AL494">
        <f t="shared" si="438"/>
        <v>1.3009621756544933</v>
      </c>
      <c r="AM494" t="str">
        <f t="shared" si="419"/>
        <v>1-2,37648022018248i</v>
      </c>
      <c r="AN494">
        <f t="shared" si="439"/>
        <v>2.5783053032793788</v>
      </c>
      <c r="AO494">
        <f t="shared" si="440"/>
        <v>-1.172496666927916</v>
      </c>
      <c r="AP494" s="41" t="str">
        <f t="shared" si="441"/>
        <v>0,0194448241944585-0,150445672997572i</v>
      </c>
      <c r="AQ494">
        <f t="shared" si="442"/>
        <v>-16.380456023434668</v>
      </c>
      <c r="AR494" s="43">
        <f t="shared" si="443"/>
        <v>-82.635454119489197</v>
      </c>
      <c r="AS494" t="str">
        <f t="shared" si="420"/>
        <v>-0,0000166666666666667</v>
      </c>
      <c r="AT494" t="str">
        <f t="shared" si="421"/>
        <v>0,00362644254671949i</v>
      </c>
      <c r="AU494">
        <f t="shared" si="444"/>
        <v>3.6264425467194901E-3</v>
      </c>
      <c r="AV494">
        <f t="shared" si="445"/>
        <v>1.5707963267948966</v>
      </c>
      <c r="AW494" t="str">
        <f t="shared" si="422"/>
        <v>1+2,37915573402908i</v>
      </c>
      <c r="AX494">
        <f t="shared" si="446"/>
        <v>2.5807715913585709</v>
      </c>
      <c r="AY494">
        <f t="shared" si="447"/>
        <v>1.1728987569565867</v>
      </c>
      <c r="AZ494" t="str">
        <f t="shared" si="423"/>
        <v>1+795,431067077057i</v>
      </c>
      <c r="BA494">
        <f t="shared" si="448"/>
        <v>795.43169566679046</v>
      </c>
      <c r="BB494">
        <f t="shared" si="449"/>
        <v>1.5695391474935634</v>
      </c>
      <c r="BC494" s="41" t="str">
        <f t="shared" si="450"/>
        <v>-0,547230664614308+1,30654284580367i</v>
      </c>
      <c r="BD494">
        <f t="shared" si="451"/>
        <v>3.0244254235805554</v>
      </c>
      <c r="BE494" s="43">
        <f t="shared" si="452"/>
        <v>112.72582036218948</v>
      </c>
      <c r="BF494" s="41" t="str">
        <f t="shared" si="453"/>
        <v>0,0728310995126886-0,0935157388426082i</v>
      </c>
      <c r="BG494" s="20">
        <f t="shared" si="454"/>
        <v>-18.523372003785823</v>
      </c>
      <c r="BH494" s="43">
        <f t="shared" si="455"/>
        <v>-52.08814399197319</v>
      </c>
      <c r="BI494" s="41" t="str">
        <f t="shared" si="409"/>
        <v>0,185922913669854+0,107733981561988i</v>
      </c>
      <c r="BJ494" s="20">
        <f t="shared" si="456"/>
        <v>-13.356030599854119</v>
      </c>
      <c r="BK494" s="43">
        <f t="shared" si="410"/>
        <v>30.090366242700306</v>
      </c>
      <c r="BL494">
        <f t="shared" si="457"/>
        <v>-18.523372003785823</v>
      </c>
      <c r="BM494" s="43">
        <f t="shared" si="458"/>
        <v>-52.08814399197319</v>
      </c>
    </row>
    <row r="495" spans="14:65" x14ac:dyDescent="0.25">
      <c r="N495" s="9">
        <v>77</v>
      </c>
      <c r="O495" s="34">
        <f t="shared" si="459"/>
        <v>588843.65535558888</v>
      </c>
      <c r="P495" s="33" t="str">
        <f t="shared" si="411"/>
        <v>66,7780509511648</v>
      </c>
      <c r="Q495" s="4" t="str">
        <f t="shared" si="412"/>
        <v>1+14419,6908824484i</v>
      </c>
      <c r="R495" s="4">
        <f t="shared" si="424"/>
        <v>14419.690917123206</v>
      </c>
      <c r="S495" s="4">
        <f t="shared" si="425"/>
        <v>1.5707269771807788</v>
      </c>
      <c r="T495" s="4" t="str">
        <f t="shared" si="413"/>
        <v>1+3,69981380355616i</v>
      </c>
      <c r="U495" s="4">
        <f t="shared" si="426"/>
        <v>3.8325738324244583</v>
      </c>
      <c r="V495" s="4">
        <f t="shared" si="427"/>
        <v>1.3068199275275025</v>
      </c>
      <c r="W495" t="str">
        <f t="shared" si="414"/>
        <v>1-8,04847098654588i</v>
      </c>
      <c r="X495" s="4">
        <f t="shared" si="428"/>
        <v>8.1103566642454634</v>
      </c>
      <c r="Y495" s="4">
        <f t="shared" si="429"/>
        <v>-1.4471826173421201</v>
      </c>
      <c r="Z495" t="str">
        <f t="shared" si="415"/>
        <v>0,653263149547468+1,5819297337635i</v>
      </c>
      <c r="AA495" s="4">
        <f t="shared" si="430"/>
        <v>1.7115064782587694</v>
      </c>
      <c r="AB495" s="4">
        <f t="shared" si="431"/>
        <v>1.1791734007784038</v>
      </c>
      <c r="AC495" s="47" t="str">
        <f t="shared" si="432"/>
        <v>-0,081464124768797-0,020916620913684i</v>
      </c>
      <c r="AD495" s="20">
        <f t="shared" si="433"/>
        <v>-21.50340552518939</v>
      </c>
      <c r="AE495" s="43">
        <f t="shared" si="434"/>
        <v>-165.59987546597253</v>
      </c>
      <c r="AF495" t="str">
        <f t="shared" si="416"/>
        <v>223,849857273222</v>
      </c>
      <c r="AG495" t="str">
        <f t="shared" si="417"/>
        <v>1+14604,9507566594i</v>
      </c>
      <c r="AH495">
        <f t="shared" si="435"/>
        <v>14604.950790894367</v>
      </c>
      <c r="AI495">
        <f t="shared" si="436"/>
        <v>1.5707278568619882</v>
      </c>
      <c r="AJ495" t="str">
        <f t="shared" si="418"/>
        <v>1+3,69981380355616i</v>
      </c>
      <c r="AK495">
        <f t="shared" si="437"/>
        <v>3.8325738324244583</v>
      </c>
      <c r="AL495">
        <f t="shared" si="438"/>
        <v>1.3068199275275025</v>
      </c>
      <c r="AM495" t="str">
        <f t="shared" si="419"/>
        <v>1-2,43183555560655i</v>
      </c>
      <c r="AN495">
        <f t="shared" si="439"/>
        <v>2.6294151763295615</v>
      </c>
      <c r="AO495">
        <f t="shared" si="440"/>
        <v>-1.1806619417288369</v>
      </c>
      <c r="AP495" s="41" t="str">
        <f t="shared" si="441"/>
        <v>0,0194447747402839-0,15322772711058i</v>
      </c>
      <c r="AQ495">
        <f t="shared" si="442"/>
        <v>-16.223871618322633</v>
      </c>
      <c r="AR495" s="43">
        <f t="shared" si="443"/>
        <v>-82.767756823685914</v>
      </c>
      <c r="AS495" t="str">
        <f t="shared" si="420"/>
        <v>-0,0000166666666666667</v>
      </c>
      <c r="AT495" t="str">
        <f t="shared" si="421"/>
        <v>0,00371091324496683i</v>
      </c>
      <c r="AU495">
        <f t="shared" si="444"/>
        <v>3.71091324496683E-3</v>
      </c>
      <c r="AV495">
        <f t="shared" si="445"/>
        <v>1.5707963267948966</v>
      </c>
      <c r="AW495" t="str">
        <f t="shared" si="422"/>
        <v>1+2,43457339017654i</v>
      </c>
      <c r="AX495">
        <f t="shared" si="446"/>
        <v>2.63194749038724</v>
      </c>
      <c r="AY495">
        <f t="shared" si="447"/>
        <v>1.1810575549786877</v>
      </c>
      <c r="AZ495" t="str">
        <f t="shared" si="423"/>
        <v>1+813,959036782354i</v>
      </c>
      <c r="BA495">
        <f t="shared" si="448"/>
        <v>813.95965106364906</v>
      </c>
      <c r="BB495">
        <f t="shared" si="449"/>
        <v>1.5695677643590877</v>
      </c>
      <c r="BC495" s="41" t="str">
        <f t="shared" si="450"/>
        <v>-0,526156722324449+1,28545841265906i</v>
      </c>
      <c r="BD495">
        <f t="shared" si="451"/>
        <v>2.8538720938470563</v>
      </c>
      <c r="BE495" s="43">
        <f t="shared" si="452"/>
        <v>112.25999529524087</v>
      </c>
      <c r="BF495" s="41" t="str">
        <f t="shared" si="453"/>
        <v>0,0697503431932757-0,0937133238119104i</v>
      </c>
      <c r="BG495" s="20">
        <f t="shared" si="454"/>
        <v>-18.649533431342334</v>
      </c>
      <c r="BH495" s="43">
        <f t="shared" si="455"/>
        <v>-53.339880170731668</v>
      </c>
      <c r="BI495" s="41" t="str">
        <f t="shared" si="409"/>
        <v>0,186736871923237+0,105617247937886i</v>
      </c>
      <c r="BJ495" s="20">
        <f t="shared" si="456"/>
        <v>-13.36999952447557</v>
      </c>
      <c r="BK495" s="43">
        <f t="shared" si="410"/>
        <v>29.492238471554881</v>
      </c>
      <c r="BL495">
        <f t="shared" si="457"/>
        <v>-18.649533431342334</v>
      </c>
      <c r="BM495" s="43">
        <f t="shared" si="458"/>
        <v>-53.339880170731668</v>
      </c>
    </row>
    <row r="496" spans="14:65" x14ac:dyDescent="0.25">
      <c r="N496" s="9">
        <v>78</v>
      </c>
      <c r="O496" s="34">
        <f t="shared" si="459"/>
        <v>602559.58607435878</v>
      </c>
      <c r="P496" s="33" t="str">
        <f t="shared" si="411"/>
        <v>66,7780509511648</v>
      </c>
      <c r="Q496" s="4" t="str">
        <f t="shared" si="412"/>
        <v>1+14755,5686308642i</v>
      </c>
      <c r="R496" s="4">
        <f t="shared" si="424"/>
        <v>14755.568664749713</v>
      </c>
      <c r="S496" s="4">
        <f t="shared" si="425"/>
        <v>1.5707285557707169</v>
      </c>
      <c r="T496" s="4" t="str">
        <f t="shared" si="413"/>
        <v>1+3,78599353792262i</v>
      </c>
      <c r="U496" s="4">
        <f t="shared" si="426"/>
        <v>3.9158328704366121</v>
      </c>
      <c r="V496" s="4">
        <f t="shared" si="427"/>
        <v>1.3125623198487593</v>
      </c>
      <c r="W496" t="str">
        <f t="shared" si="414"/>
        <v>1-8,23594395910736i</v>
      </c>
      <c r="X496" s="4">
        <f t="shared" si="428"/>
        <v>8.2964313350715457</v>
      </c>
      <c r="Y496" s="4">
        <f t="shared" si="429"/>
        <v>-1.4499687895192159</v>
      </c>
      <c r="Z496" t="str">
        <f t="shared" si="415"/>
        <v>0,6369219452299+1,61877761084075i</v>
      </c>
      <c r="AA496" s="4">
        <f t="shared" si="430"/>
        <v>1.7395719351825398</v>
      </c>
      <c r="AB496" s="4">
        <f t="shared" si="431"/>
        <v>1.1959417907142933</v>
      </c>
      <c r="AC496" s="47" t="str">
        <f t="shared" si="432"/>
        <v>-0,0821455097354025-0,0198862258840657i</v>
      </c>
      <c r="AD496" s="20">
        <f t="shared" si="433"/>
        <v>-21.460982680074242</v>
      </c>
      <c r="AE496" s="43">
        <f t="shared" si="434"/>
        <v>-166.39134494749769</v>
      </c>
      <c r="AF496" t="str">
        <f t="shared" si="416"/>
        <v>223,849857273222</v>
      </c>
      <c r="AG496" t="str">
        <f t="shared" si="417"/>
        <v>1+14945,143761895i</v>
      </c>
      <c r="AH496">
        <f t="shared" si="435"/>
        <v>14945.143795350685</v>
      </c>
      <c r="AI496">
        <f t="shared" si="436"/>
        <v>1.5707294154279376</v>
      </c>
      <c r="AJ496" t="str">
        <f t="shared" si="418"/>
        <v>1+3,78599353792262i</v>
      </c>
      <c r="AK496">
        <f t="shared" si="437"/>
        <v>3.9158328704366121</v>
      </c>
      <c r="AL496">
        <f t="shared" si="438"/>
        <v>1.3125623198487593</v>
      </c>
      <c r="AM496" t="str">
        <f t="shared" si="419"/>
        <v>1-2,48848028243136i</v>
      </c>
      <c r="AN496">
        <f t="shared" si="439"/>
        <v>2.6818900268373542</v>
      </c>
      <c r="AO496">
        <f t="shared" si="440"/>
        <v>-1.1886946875834026</v>
      </c>
      <c r="AP496" s="41" t="str">
        <f t="shared" si="441"/>
        <v>0,0194447275119137-0,156091024592406i</v>
      </c>
      <c r="AQ496">
        <f t="shared" si="442"/>
        <v>-16.065563265192093</v>
      </c>
      <c r="AR496" s="43">
        <f t="shared" si="443"/>
        <v>-82.899073713988358</v>
      </c>
      <c r="AS496" t="str">
        <f t="shared" si="420"/>
        <v>-0,0000166666666666667</v>
      </c>
      <c r="AT496" t="str">
        <f t="shared" si="421"/>
        <v>0,00379735151853639i</v>
      </c>
      <c r="AU496">
        <f t="shared" si="444"/>
        <v>3.7973515185363901E-3</v>
      </c>
      <c r="AV496">
        <f t="shared" si="445"/>
        <v>1.5707963267948966</v>
      </c>
      <c r="AW496" t="str">
        <f t="shared" si="422"/>
        <v>1+2,49128188936085i</v>
      </c>
      <c r="AX496">
        <f t="shared" si="446"/>
        <v>2.6844897936586327</v>
      </c>
      <c r="AY496">
        <f t="shared" si="447"/>
        <v>1.1890838263441301</v>
      </c>
      <c r="AZ496" t="str">
        <f t="shared" si="423"/>
        <v>1+832,918578342976i</v>
      </c>
      <c r="BA496">
        <f t="shared" si="448"/>
        <v>832.91917864153197</v>
      </c>
      <c r="BB496">
        <f t="shared" si="449"/>
        <v>1.5695957298271694</v>
      </c>
      <c r="BC496" s="41" t="str">
        <f t="shared" si="450"/>
        <v>-0,505761830269796+1,26438431200618i</v>
      </c>
      <c r="BD496">
        <f t="shared" si="451"/>
        <v>2.682181065845783</v>
      </c>
      <c r="BE496" s="43">
        <f t="shared" si="452"/>
        <v>111.80172612406756</v>
      </c>
      <c r="BF496" s="41" t="str">
        <f t="shared" si="453"/>
        <v>0,0666898953850464-0,0938057998109102i</v>
      </c>
      <c r="BG496" s="20">
        <f t="shared" si="454"/>
        <v>-18.778801614228456</v>
      </c>
      <c r="BH496" s="43">
        <f t="shared" si="455"/>
        <v>-54.58961882343015</v>
      </c>
      <c r="BI496" s="41" t="str">
        <f t="shared" si="409"/>
        <v>0,187524641764086+0,103530490703842i</v>
      </c>
      <c r="BJ496" s="20">
        <f t="shared" si="456"/>
        <v>-13.383382199346304</v>
      </c>
      <c r="BK496" s="43">
        <f t="shared" si="410"/>
        <v>28.902652410079302</v>
      </c>
      <c r="BL496">
        <f t="shared" si="457"/>
        <v>-18.778801614228456</v>
      </c>
      <c r="BM496" s="43">
        <f t="shared" si="458"/>
        <v>-54.58961882343015</v>
      </c>
    </row>
    <row r="497" spans="14:65" x14ac:dyDescent="0.25">
      <c r="N497" s="9">
        <v>79</v>
      </c>
      <c r="O497" s="34">
        <f t="shared" si="459"/>
        <v>616595.00186148309</v>
      </c>
      <c r="P497" s="33" t="str">
        <f t="shared" si="411"/>
        <v>66,7780509511648</v>
      </c>
      <c r="Q497" s="4" t="str">
        <f t="shared" si="412"/>
        <v>1+15099,269977081i</v>
      </c>
      <c r="R497" s="4">
        <f t="shared" si="424"/>
        <v>15099.270010195183</v>
      </c>
      <c r="S497" s="4">
        <f t="shared" si="425"/>
        <v>1.5707300984275612</v>
      </c>
      <c r="T497" s="4" t="str">
        <f t="shared" si="413"/>
        <v>1+3,87418065617644i</v>
      </c>
      <c r="U497" s="4">
        <f t="shared" si="426"/>
        <v>4.0011593015889417</v>
      </c>
      <c r="V497" s="4">
        <f t="shared" si="427"/>
        <v>1.3181908818440584</v>
      </c>
      <c r="W497" t="str">
        <f t="shared" si="414"/>
        <v>1-8,42778373817158i</v>
      </c>
      <c r="X497" s="4">
        <f t="shared" si="428"/>
        <v>8.4869039547640313</v>
      </c>
      <c r="Y497" s="4">
        <f t="shared" si="429"/>
        <v>-1.4526933634220043</v>
      </c>
      <c r="Z497" t="str">
        <f t="shared" si="415"/>
        <v>0,619810603679439+1,65648378523432i</v>
      </c>
      <c r="AA497" s="4">
        <f t="shared" si="430"/>
        <v>1.7686445983231598</v>
      </c>
      <c r="AB497" s="4">
        <f t="shared" si="431"/>
        <v>1.2127513732279409</v>
      </c>
      <c r="AC497" s="47" t="str">
        <f t="shared" si="432"/>
        <v>-0,0827986189162808-0,0188293708739163i</v>
      </c>
      <c r="AD497" s="20">
        <f t="shared" si="433"/>
        <v>-21.420553084850003</v>
      </c>
      <c r="AE497" s="43">
        <f t="shared" si="434"/>
        <v>-167.18816520717598</v>
      </c>
      <c r="AF497" t="str">
        <f t="shared" si="416"/>
        <v>223,849857273222</v>
      </c>
      <c r="AG497" t="str">
        <f t="shared" si="417"/>
        <v>1+15293,2608801756i</v>
      </c>
      <c r="AH497">
        <f t="shared" si="435"/>
        <v>15293.260912869739</v>
      </c>
      <c r="AI497">
        <f t="shared" si="436"/>
        <v>1.5707309385165948</v>
      </c>
      <c r="AJ497" t="str">
        <f t="shared" si="418"/>
        <v>1+3,87418065617644i</v>
      </c>
      <c r="AK497">
        <f t="shared" si="437"/>
        <v>4.0011593015889417</v>
      </c>
      <c r="AL497">
        <f t="shared" si="438"/>
        <v>1.3181908818440584</v>
      </c>
      <c r="AM497" t="str">
        <f t="shared" si="419"/>
        <v>1-2,54644443444084i</v>
      </c>
      <c r="AN497">
        <f t="shared" si="439"/>
        <v>2.7357593566859513</v>
      </c>
      <c r="AO497">
        <f t="shared" si="440"/>
        <v>-1.1965950160123484</v>
      </c>
      <c r="AP497" s="41" t="str">
        <f t="shared" si="441"/>
        <v>0,0194446824091703-0,159037083601295i</v>
      </c>
      <c r="AQ497">
        <f t="shared" si="442"/>
        <v>-15.905590804280719</v>
      </c>
      <c r="AR497" s="43">
        <f t="shared" si="443"/>
        <v>-83.029323609227689</v>
      </c>
      <c r="AS497" t="str">
        <f t="shared" si="420"/>
        <v>-0,0000166666666666667</v>
      </c>
      <c r="AT497" t="str">
        <f t="shared" si="421"/>
        <v>0,00388580319814497i</v>
      </c>
      <c r="AU497">
        <f t="shared" si="444"/>
        <v>3.8858031981449698E-3</v>
      </c>
      <c r="AV497">
        <f t="shared" si="445"/>
        <v>1.5707963267948966</v>
      </c>
      <c r="AW497" t="str">
        <f t="shared" si="422"/>
        <v>1+2,54931129917891i</v>
      </c>
      <c r="AX497">
        <f t="shared" si="446"/>
        <v>2.7384280344973941</v>
      </c>
      <c r="AY497">
        <f t="shared" si="447"/>
        <v>1.1969776891594783</v>
      </c>
      <c r="AZ497" t="str">
        <f t="shared" si="423"/>
        <v>1+852,319744358816i</v>
      </c>
      <c r="BA497">
        <f t="shared" si="448"/>
        <v>852.32033099291812</v>
      </c>
      <c r="BB497">
        <f t="shared" si="449"/>
        <v>1.5696230587252948</v>
      </c>
      <c r="BC497" s="41" t="str">
        <f t="shared" si="450"/>
        <v>-0,486034278689868+1,24334179599557i</v>
      </c>
      <c r="BD497">
        <f t="shared" si="451"/>
        <v>2.5093892823390314</v>
      </c>
      <c r="BE497" s="43">
        <f t="shared" si="452"/>
        <v>111.35100693121414</v>
      </c>
      <c r="BF497" s="41" t="str">
        <f t="shared" si="453"/>
        <v>0,0636543108213336-0,0937952638584334i</v>
      </c>
      <c r="BG497" s="20">
        <f t="shared" si="454"/>
        <v>-18.91116380251097</v>
      </c>
      <c r="BH497" s="43">
        <f t="shared" si="455"/>
        <v>-55.837158275961812</v>
      </c>
      <c r="BI497" s="41" t="str">
        <f t="shared" si="409"/>
        <v>0,188286670965637+0,101473860562277i</v>
      </c>
      <c r="BJ497" s="20">
        <f t="shared" si="456"/>
        <v>-13.396201521941688</v>
      </c>
      <c r="BK497" s="43">
        <f t="shared" si="410"/>
        <v>28.321683321986495</v>
      </c>
      <c r="BL497">
        <f t="shared" si="457"/>
        <v>-18.91116380251097</v>
      </c>
      <c r="BM497" s="43">
        <f t="shared" si="458"/>
        <v>-55.837158275961812</v>
      </c>
    </row>
    <row r="498" spans="14:65" x14ac:dyDescent="0.25">
      <c r="N498" s="9">
        <v>80</v>
      </c>
      <c r="O498" s="34">
        <f t="shared" si="459"/>
        <v>630957.34448019415</v>
      </c>
      <c r="P498" s="33" t="str">
        <f t="shared" si="411"/>
        <v>66,7780509511648</v>
      </c>
      <c r="Q498" s="4" t="str">
        <f t="shared" si="412"/>
        <v>1+15450,9771561022i</v>
      </c>
      <c r="R498" s="4">
        <f t="shared" si="424"/>
        <v>15450.977188462613</v>
      </c>
      <c r="S498" s="4">
        <f t="shared" si="425"/>
        <v>1.5707316059692491</v>
      </c>
      <c r="T498" s="4" t="str">
        <f t="shared" si="413"/>
        <v>1+3,964421916295i</v>
      </c>
      <c r="U498" s="4">
        <f t="shared" si="426"/>
        <v>4.088598920217061</v>
      </c>
      <c r="V498" s="4">
        <f t="shared" si="427"/>
        <v>1.3237071707233365</v>
      </c>
      <c r="W498" t="str">
        <f t="shared" si="414"/>
        <v>1-8,62409203972867i</v>
      </c>
      <c r="X498" s="4">
        <f t="shared" si="428"/>
        <v>8.6818755755718708</v>
      </c>
      <c r="Y498" s="4">
        <f t="shared" si="429"/>
        <v>-1.4553576217659874</v>
      </c>
      <c r="Z498" t="str">
        <f t="shared" si="415"/>
        <v>0,601892829446504+1,69506824925697i</v>
      </c>
      <c r="AA498" s="4">
        <f t="shared" si="430"/>
        <v>1.7987582794189463</v>
      </c>
      <c r="AB498" s="4">
        <f t="shared" si="431"/>
        <v>1.2295988939751621</v>
      </c>
      <c r="AC498" s="47" t="str">
        <f t="shared" si="432"/>
        <v>-0,0834221811629836-0,0177469462068773i</v>
      </c>
      <c r="AD498" s="20">
        <f t="shared" si="433"/>
        <v>-21.38213902132059</v>
      </c>
      <c r="AE498" s="43">
        <f t="shared" si="434"/>
        <v>-167.99013410431206</v>
      </c>
      <c r="AF498" t="str">
        <f t="shared" si="416"/>
        <v>223,849857273222</v>
      </c>
      <c r="AG498" t="str">
        <f t="shared" si="417"/>
        <v>1+15649,4866878051i</v>
      </c>
      <c r="AH498">
        <f t="shared" si="435"/>
        <v>15649.486719755028</v>
      </c>
      <c r="AI498">
        <f t="shared" si="436"/>
        <v>1.5707324269355218</v>
      </c>
      <c r="AJ498" t="str">
        <f t="shared" si="418"/>
        <v>1+3,964421916295i</v>
      </c>
      <c r="AK498">
        <f t="shared" si="437"/>
        <v>4.088598920217061</v>
      </c>
      <c r="AL498">
        <f t="shared" si="438"/>
        <v>1.3237071707233365</v>
      </c>
      <c r="AM498" t="str">
        <f t="shared" si="419"/>
        <v>1-2,60575874499564i</v>
      </c>
      <c r="AN498">
        <f t="shared" si="439"/>
        <v>2.7910533203651364</v>
      </c>
      <c r="AO498">
        <f t="shared" si="440"/>
        <v>-1.2043631700359236</v>
      </c>
      <c r="AP498" s="41" t="str">
        <f t="shared" si="441"/>
        <v>0,0194446393363846-0,162067466176748i</v>
      </c>
      <c r="AQ498">
        <f t="shared" si="442"/>
        <v>-15.744012662638657</v>
      </c>
      <c r="AR498" s="43">
        <f t="shared" si="443"/>
        <v>-83.158431258151154</v>
      </c>
      <c r="AS498" t="str">
        <f t="shared" si="420"/>
        <v>-0,0000166666666666667</v>
      </c>
      <c r="AT498" t="str">
        <f t="shared" si="421"/>
        <v>0,00397631518204389i</v>
      </c>
      <c r="AU498">
        <f t="shared" si="444"/>
        <v>3.9763151820438897E-3</v>
      </c>
      <c r="AV498">
        <f t="shared" si="445"/>
        <v>1.5707963267948966</v>
      </c>
      <c r="AW498" t="str">
        <f t="shared" si="422"/>
        <v>1+2,60869238759192i</v>
      </c>
      <c r="AX498">
        <f t="shared" si="446"/>
        <v>2.7937923997820651</v>
      </c>
      <c r="AY498">
        <f t="shared" si="447"/>
        <v>1.204739392694691</v>
      </c>
      <c r="AZ498" t="str">
        <f t="shared" si="423"/>
        <v>1+872,172821584899i</v>
      </c>
      <c r="BA498">
        <f t="shared" si="448"/>
        <v>872.17339486558751</v>
      </c>
      <c r="BB498">
        <f t="shared" si="449"/>
        <v>1.5696497655434443</v>
      </c>
      <c r="BC498" s="41" t="str">
        <f t="shared" si="450"/>
        <v>-0,466961742892489+1,22235102928859i</v>
      </c>
      <c r="BD498">
        <f t="shared" si="451"/>
        <v>2.3355330263341014</v>
      </c>
      <c r="BE498" s="43">
        <f t="shared" si="452"/>
        <v>110.90782426477868</v>
      </c>
      <c r="BF498" s="41" t="str">
        <f t="shared" si="453"/>
        <v>0,0606479650744655-0,0936840440782895i</v>
      </c>
      <c r="BG498" s="20">
        <f t="shared" si="454"/>
        <v>-19.046605994986493</v>
      </c>
      <c r="BH498" s="43">
        <f t="shared" si="455"/>
        <v>-57.082309839533366</v>
      </c>
      <c r="BI498" s="41" t="str">
        <f t="shared" ref="BI498:BI560" si="460">IMPRODUCT(AP498,BC498)</f>
        <v>0,189023431420908+0,0994474813790389i</v>
      </c>
      <c r="BJ498" s="20">
        <f t="shared" si="456"/>
        <v>-13.408479636304541</v>
      </c>
      <c r="BK498" s="43">
        <f t="shared" ref="BK498:BK560" si="461">(180/PI())*IMARGUMENT(BI498)</f>
        <v>27.749393006627496</v>
      </c>
      <c r="BL498">
        <f t="shared" si="457"/>
        <v>-19.046605994986493</v>
      </c>
      <c r="BM498" s="43">
        <f t="shared" si="458"/>
        <v>-57.082309839533366</v>
      </c>
    </row>
    <row r="499" spans="14:65" x14ac:dyDescent="0.25">
      <c r="N499" s="9">
        <v>81</v>
      </c>
      <c r="O499" s="34">
        <f t="shared" si="459"/>
        <v>645654.22903465747</v>
      </c>
      <c r="P499" s="33" t="str">
        <f t="shared" si="411"/>
        <v>66,7780509511648</v>
      </c>
      <c r="Q499" s="4" t="str">
        <f t="shared" si="412"/>
        <v>1+15810,8766477294i</v>
      </c>
      <c r="R499" s="4">
        <f t="shared" si="424"/>
        <v>15810.876679353198</v>
      </c>
      <c r="S499" s="4">
        <f t="shared" si="425"/>
        <v>1.5707330791950989</v>
      </c>
      <c r="T499" s="4" t="str">
        <f t="shared" si="413"/>
        <v>1+4,05676516538892i</v>
      </c>
      <c r="U499" s="4">
        <f t="shared" si="426"/>
        <v>4.1781986079066407</v>
      </c>
      <c r="V499" s="4">
        <f t="shared" si="427"/>
        <v>1.3291127678681849</v>
      </c>
      <c r="W499" t="str">
        <f t="shared" si="414"/>
        <v>1-8,8249729490386i</v>
      </c>
      <c r="X499" s="4">
        <f t="shared" si="428"/>
        <v>8.8814496311842603</v>
      </c>
      <c r="Y499" s="4">
        <f t="shared" si="429"/>
        <v>-1.4579628258016066</v>
      </c>
      <c r="Z499" t="str">
        <f t="shared" si="415"/>
        <v>0,583130616529663+1,73455146090227i</v>
      </c>
      <c r="AA499" s="4">
        <f t="shared" si="430"/>
        <v>1.8299481103169195</v>
      </c>
      <c r="AB499" s="4">
        <f t="shared" si="431"/>
        <v>1.2464812471645323</v>
      </c>
      <c r="AC499" s="47" t="str">
        <f t="shared" si="432"/>
        <v>-0,0840149713917957-0,0166398994209997i</v>
      </c>
      <c r="AD499" s="20">
        <f t="shared" si="433"/>
        <v>-21.345761001445336</v>
      </c>
      <c r="AE499" s="43">
        <f t="shared" si="434"/>
        <v>-168.79705539379941</v>
      </c>
      <c r="AF499" t="str">
        <f t="shared" si="416"/>
        <v>223,849857273222</v>
      </c>
      <c r="AG499" t="str">
        <f t="shared" si="417"/>
        <v>1+16014,010060422i</v>
      </c>
      <c r="AH499">
        <f t="shared" si="435"/>
        <v>16014.010091644661</v>
      </c>
      <c r="AI499">
        <f t="shared" si="436"/>
        <v>1.5707338814738978</v>
      </c>
      <c r="AJ499" t="str">
        <f t="shared" si="418"/>
        <v>1+4,05676516538892i</v>
      </c>
      <c r="AK499">
        <f t="shared" si="437"/>
        <v>4.1781986079066407</v>
      </c>
      <c r="AL499">
        <f t="shared" si="438"/>
        <v>1.3291127678681849</v>
      </c>
      <c r="AM499" t="str">
        <f t="shared" si="419"/>
        <v>1-2,66645466332833i</v>
      </c>
      <c r="AN499">
        <f t="shared" si="439"/>
        <v>2.8478027445006435</v>
      </c>
      <c r="AO499">
        <f t="shared" si="440"/>
        <v>-1.2119995173045568</v>
      </c>
      <c r="AP499" s="41" t="str">
        <f t="shared" si="441"/>
        <v>0,0194445982021937-0,165183779067737i</v>
      </c>
      <c r="AQ499">
        <f t="shared" si="442"/>
        <v>-15.580885835546566</v>
      </c>
      <c r="AR499" s="43">
        <f t="shared" si="443"/>
        <v>-83.286327164302406</v>
      </c>
      <c r="AS499" t="str">
        <f t="shared" si="420"/>
        <v>-0,0000166666666666667</v>
      </c>
      <c r="AT499" t="str">
        <f t="shared" si="421"/>
        <v>0,00406893546088509i</v>
      </c>
      <c r="AU499">
        <f t="shared" si="444"/>
        <v>4.0689354608850897E-3</v>
      </c>
      <c r="AV499">
        <f t="shared" si="445"/>
        <v>1.5707963267948966</v>
      </c>
      <c r="AW499" t="str">
        <f t="shared" si="422"/>
        <v>1+2,66945663923897i</v>
      </c>
      <c r="AX499">
        <f t="shared" si="446"/>
        <v>2.850613749489225</v>
      </c>
      <c r="AY499">
        <f t="shared" si="447"/>
        <v>1.2123693105149718</v>
      </c>
      <c r="AZ499" t="str">
        <f t="shared" si="423"/>
        <v>1+892,488336385562i</v>
      </c>
      <c r="BA499">
        <f t="shared" si="448"/>
        <v>892.48889661679709</v>
      </c>
      <c r="BB499">
        <f t="shared" si="449"/>
        <v>1.5696758644417736</v>
      </c>
      <c r="BC499" s="41" t="str">
        <f t="shared" si="450"/>
        <v>-0,448531360246009+1,20143109296995i</v>
      </c>
      <c r="BD499">
        <f t="shared" si="451"/>
        <v>2.1606478894656727</v>
      </c>
      <c r="BE499" s="43">
        <f t="shared" si="452"/>
        <v>110.47215753236921</v>
      </c>
      <c r="BF499" s="41" t="str">
        <f t="shared" si="453"/>
        <v>0,0576750419476734-0,0934746821834264i</v>
      </c>
      <c r="BG499" s="20">
        <f t="shared" si="454"/>
        <v>-19.185113111979664</v>
      </c>
      <c r="BH499" s="43">
        <f t="shared" si="455"/>
        <v>-58.324897861430152</v>
      </c>
      <c r="BI499" s="41" t="str">
        <f t="shared" si="460"/>
        <v>0,189735416145191+0,0974514499862514i</v>
      </c>
      <c r="BJ499" s="20">
        <f t="shared" si="456"/>
        <v>-13.420237946080892</v>
      </c>
      <c r="BK499" s="43">
        <f t="shared" si="461"/>
        <v>27.18583036806681</v>
      </c>
      <c r="BL499">
        <f t="shared" si="457"/>
        <v>-19.185113111979664</v>
      </c>
      <c r="BM499" s="43">
        <f t="shared" si="458"/>
        <v>-58.324897861430152</v>
      </c>
    </row>
    <row r="500" spans="14:65" x14ac:dyDescent="0.25">
      <c r="N500" s="9">
        <v>82</v>
      </c>
      <c r="O500" s="34">
        <f t="shared" si="459"/>
        <v>660693.44800759677</v>
      </c>
      <c r="P500" s="33" t="str">
        <f t="shared" si="411"/>
        <v>66,7780509511648</v>
      </c>
      <c r="Q500" s="4" t="str">
        <f t="shared" si="412"/>
        <v>1+16179,1592754369i</v>
      </c>
      <c r="R500" s="4">
        <f t="shared" si="424"/>
        <v>16179.159306340853</v>
      </c>
      <c r="S500" s="4">
        <f t="shared" si="425"/>
        <v>1.5707345188862345</v>
      </c>
      <c r="T500" s="4" t="str">
        <f t="shared" si="413"/>
        <v>1+4,15125936507115i</v>
      </c>
      <c r="U500" s="4">
        <f t="shared" si="426"/>
        <v>4.2700063601932641</v>
      </c>
      <c r="V500" s="4">
        <f t="shared" si="427"/>
        <v>1.3344092752233949</v>
      </c>
      <c r="W500" t="str">
        <f t="shared" si="414"/>
        <v>1-9,0305329758184i</v>
      </c>
      <c r="X500" s="4">
        <f t="shared" si="428"/>
        <v>9.0857319918289203</v>
      </c>
      <c r="Y500" s="4">
        <f t="shared" si="429"/>
        <v>-1.4605102153120704</v>
      </c>
      <c r="Z500" t="str">
        <f t="shared" si="415"/>
        <v>0,563484167759835+1,77495435469164i</v>
      </c>
      <c r="AA500" s="4">
        <f t="shared" si="430"/>
        <v>1.8622506191581225</v>
      </c>
      <c r="AB500" s="4">
        <f t="shared" si="431"/>
        <v>1.2633954783456049</v>
      </c>
      <c r="AC500" s="47" t="str">
        <f t="shared" si="432"/>
        <v>-0,0845758127619489-0,0155092321963802i</v>
      </c>
      <c r="AD500" s="20">
        <f t="shared" si="433"/>
        <v>-21.311437910972892</v>
      </c>
      <c r="AE500" s="43">
        <f t="shared" si="434"/>
        <v>-169.60873909252123</v>
      </c>
      <c r="AF500" t="str">
        <f t="shared" si="416"/>
        <v>223,849857273222</v>
      </c>
      <c r="AG500" t="str">
        <f t="shared" si="417"/>
        <v>1+16387,0242731433i</v>
      </c>
      <c r="AH500">
        <f t="shared" si="435"/>
        <v>16387.024303655246</v>
      </c>
      <c r="AI500">
        <f t="shared" si="436"/>
        <v>1.5707353029029385</v>
      </c>
      <c r="AJ500" t="str">
        <f t="shared" si="418"/>
        <v>1+4,15125936507115i</v>
      </c>
      <c r="AK500">
        <f t="shared" si="437"/>
        <v>4.2700063601932641</v>
      </c>
      <c r="AL500">
        <f t="shared" si="438"/>
        <v>1.3344092752233949</v>
      </c>
      <c r="AM500" t="str">
        <f t="shared" si="419"/>
        <v>1-2,72856437121822i</v>
      </c>
      <c r="AN500">
        <f t="shared" si="439"/>
        <v>2.90603914768564</v>
      </c>
      <c r="AO500">
        <f t="shared" si="440"/>
        <v>-1.2195045432679528</v>
      </c>
      <c r="AP500" s="41" t="str">
        <f t="shared" si="441"/>
        <v>0,0194445589193462-0,168387674584623i</v>
      </c>
      <c r="AQ500">
        <f t="shared" si="442"/>
        <v>-15.416265872917545</v>
      </c>
      <c r="AR500" s="43">
        <f t="shared" si="443"/>
        <v>-83.412947401412495</v>
      </c>
      <c r="AS500" t="str">
        <f t="shared" si="420"/>
        <v>-0,0000166666666666667</v>
      </c>
      <c r="AT500" t="str">
        <f t="shared" si="421"/>
        <v>0,00416371314316637i</v>
      </c>
      <c r="AU500">
        <f t="shared" si="444"/>
        <v>4.1637131431663697E-3</v>
      </c>
      <c r="AV500">
        <f t="shared" si="445"/>
        <v>1.5707963267948966</v>
      </c>
      <c r="AW500" t="str">
        <f t="shared" si="422"/>
        <v>1+2,73163627213057i</v>
      </c>
      <c r="AX500">
        <f t="shared" si="446"/>
        <v>2.9089236365397078</v>
      </c>
      <c r="AY500">
        <f t="shared" si="447"/>
        <v>1.2198679336524807</v>
      </c>
      <c r="AZ500" t="str">
        <f t="shared" si="423"/>
        <v>1+913,277060315652i</v>
      </c>
      <c r="BA500">
        <f t="shared" si="448"/>
        <v>913.27760779447499</v>
      </c>
      <c r="BB500">
        <f t="shared" si="449"/>
        <v>1.5697013692581221</v>
      </c>
      <c r="BC500" s="41" t="str">
        <f t="shared" si="450"/>
        <v>-0,430729803866939+1,18059999312445i</v>
      </c>
      <c r="BD500">
        <f t="shared" si="451"/>
        <v>1.984768744513745</v>
      </c>
      <c r="BE500" s="43">
        <f t="shared" si="452"/>
        <v>110.04397939276492</v>
      </c>
      <c r="BF500" s="41" t="str">
        <f t="shared" si="453"/>
        <v>0,0547395226672532-0,093169915423178i</v>
      </c>
      <c r="BG500" s="20">
        <f t="shared" si="454"/>
        <v>-19.326669166459144</v>
      </c>
      <c r="BH500" s="43">
        <f t="shared" si="455"/>
        <v>-59.564759699756301</v>
      </c>
      <c r="BI500" s="41" t="str">
        <f t="shared" si="460"/>
        <v>0,190423136407239+0,0954858361739327i</v>
      </c>
      <c r="BJ500" s="20">
        <f t="shared" si="456"/>
        <v>-13.431497128403795</v>
      </c>
      <c r="BK500" s="43">
        <f t="shared" si="461"/>
        <v>26.631031991352426</v>
      </c>
      <c r="BL500">
        <f t="shared" si="457"/>
        <v>-19.326669166459144</v>
      </c>
      <c r="BM500" s="43">
        <f t="shared" si="458"/>
        <v>-59.564759699756301</v>
      </c>
    </row>
    <row r="501" spans="14:65" x14ac:dyDescent="0.25">
      <c r="N501" s="9">
        <v>83</v>
      </c>
      <c r="O501" s="34">
        <f t="shared" si="459"/>
        <v>676082.97539198259</v>
      </c>
      <c r="P501" s="33" t="str">
        <f t="shared" si="411"/>
        <v>66,7780509511648</v>
      </c>
      <c r="Q501" s="4" t="str">
        <f t="shared" si="412"/>
        <v>1+16556,0203075488i</v>
      </c>
      <c r="R501" s="4">
        <f t="shared" si="424"/>
        <v>16556.020337749294</v>
      </c>
      <c r="S501" s="4">
        <f t="shared" si="425"/>
        <v>1.570735925805999</v>
      </c>
      <c r="T501" s="4" t="str">
        <f t="shared" si="413"/>
        <v>1+4,24795461741716i</v>
      </c>
      <c r="U501" s="4">
        <f t="shared" si="426"/>
        <v>4.3640713137660541</v>
      </c>
      <c r="V501" s="4">
        <f t="shared" si="427"/>
        <v>1.3395983118882944</v>
      </c>
      <c r="W501" t="str">
        <f t="shared" si="414"/>
        <v>1-9,24088111071524i</v>
      </c>
      <c r="X501" s="4">
        <f t="shared" si="428"/>
        <v>9.2948310206465674</v>
      </c>
      <c r="Y501" s="4">
        <f t="shared" si="429"/>
        <v>-1.4630010086413128</v>
      </c>
      <c r="Z501" t="str">
        <f t="shared" si="415"/>
        <v>0,542911810385124+1,81629835277416i</v>
      </c>
      <c r="AA501" s="4">
        <f t="shared" si="430"/>
        <v>1.8957038112916742</v>
      </c>
      <c r="AB501" s="4">
        <f t="shared" si="431"/>
        <v>1.280338785991247</v>
      </c>
      <c r="AC501" s="47" t="str">
        <f t="shared" si="432"/>
        <v>-0,0851035785767686-0,0143559972669125i</v>
      </c>
      <c r="AD501" s="20">
        <f t="shared" si="433"/>
        <v>-21.279187154487747</v>
      </c>
      <c r="AE501" s="43">
        <f t="shared" si="434"/>
        <v>-170.42500176694045</v>
      </c>
      <c r="AF501" t="str">
        <f t="shared" si="416"/>
        <v>223,849857273222</v>
      </c>
      <c r="AG501" t="str">
        <f t="shared" si="417"/>
        <v>1+16768,7271030421i</v>
      </c>
      <c r="AH501">
        <f t="shared" si="435"/>
        <v>16768.727132859509</v>
      </c>
      <c r="AI501">
        <f t="shared" si="436"/>
        <v>1.5707366919763042</v>
      </c>
      <c r="AJ501" t="str">
        <f t="shared" si="418"/>
        <v>1+4,24795461741716i</v>
      </c>
      <c r="AK501">
        <f t="shared" si="437"/>
        <v>4.3640713137660541</v>
      </c>
      <c r="AL501">
        <f t="shared" si="438"/>
        <v>1.3395983118882944</v>
      </c>
      <c r="AM501" t="str">
        <f t="shared" si="419"/>
        <v>1-2,79212080005454i</v>
      </c>
      <c r="AN501">
        <f t="shared" si="439"/>
        <v>2.9657947606159811</v>
      </c>
      <c r="AO501">
        <f t="shared" si="440"/>
        <v>-1.2268788444107648</v>
      </c>
      <c r="AP501" s="41" t="str">
        <f t="shared" si="441"/>
        <v>0,0194445214045182-0,171680851475232i</v>
      </c>
      <c r="AQ501">
        <f t="shared" si="442"/>
        <v>-15.250206870375804</v>
      </c>
      <c r="AR501" s="43">
        <f t="shared" si="443"/>
        <v>-83.538233421158083</v>
      </c>
      <c r="AS501" t="str">
        <f t="shared" si="420"/>
        <v>-0,0000166666666666667</v>
      </c>
      <c r="AT501" t="str">
        <f t="shared" si="421"/>
        <v>0,00426069848126942i</v>
      </c>
      <c r="AU501">
        <f t="shared" si="444"/>
        <v>4.2606984812694204E-3</v>
      </c>
      <c r="AV501">
        <f t="shared" si="445"/>
        <v>1.5707963267948966</v>
      </c>
      <c r="AW501" t="str">
        <f t="shared" si="422"/>
        <v>1+2,79526425473113i</v>
      </c>
      <c r="AX501">
        <f t="shared" si="446"/>
        <v>2.9687543269488601</v>
      </c>
      <c r="AY501">
        <f t="shared" si="447"/>
        <v>1.2272358638459426</v>
      </c>
      <c r="AZ501" t="str">
        <f t="shared" si="423"/>
        <v>1+934,550015831774i</v>
      </c>
      <c r="BA501">
        <f t="shared" si="448"/>
        <v>934.5505508484647</v>
      </c>
      <c r="BB501">
        <f t="shared" si="449"/>
        <v>1.5697262935153478</v>
      </c>
      <c r="BC501" s="41" t="str">
        <f t="shared" si="450"/>
        <v>-0,413543352823693+1,15987467362042i</v>
      </c>
      <c r="BD501">
        <f t="shared" si="451"/>
        <v>1.8079297218694093</v>
      </c>
      <c r="BE501" s="43">
        <f t="shared" si="452"/>
        <v>109.62325614367909</v>
      </c>
      <c r="BF501" s="41" t="str">
        <f t="shared" si="453"/>
        <v>0,0518451768663873-0,0927726581827725i</v>
      </c>
      <c r="BG501" s="20">
        <f t="shared" si="454"/>
        <v>-19.471257432618337</v>
      </c>
      <c r="BH501" s="43">
        <f t="shared" si="455"/>
        <v>-60.801745623261354</v>
      </c>
      <c r="BI501" s="41" t="str">
        <f t="shared" si="460"/>
        <v>0,191087118996034+0,0935506828524647i</v>
      </c>
      <c r="BJ501" s="20">
        <f t="shared" si="456"/>
        <v>-13.442277148506394</v>
      </c>
      <c r="BK501" s="43">
        <f t="shared" si="461"/>
        <v>26.085022722521014</v>
      </c>
      <c r="BL501">
        <f t="shared" si="457"/>
        <v>-19.471257432618337</v>
      </c>
      <c r="BM501" s="43">
        <f t="shared" si="458"/>
        <v>-60.801745623261354</v>
      </c>
    </row>
    <row r="502" spans="14:65" x14ac:dyDescent="0.25">
      <c r="N502" s="9">
        <v>84</v>
      </c>
      <c r="O502" s="34">
        <f t="shared" si="459"/>
        <v>691830.97091893724</v>
      </c>
      <c r="P502" s="33" t="str">
        <f t="shared" si="411"/>
        <v>66,7780509511648</v>
      </c>
      <c r="Q502" s="4" t="str">
        <f t="shared" si="412"/>
        <v>1+16941,6595607725i</v>
      </c>
      <c r="R502" s="4">
        <f t="shared" si="424"/>
        <v>16941.659590285544</v>
      </c>
      <c r="S502" s="4">
        <f t="shared" si="425"/>
        <v>1.5707373007003602</v>
      </c>
      <c r="T502" s="4" t="str">
        <f t="shared" si="413"/>
        <v>1+4,34690219152965i</v>
      </c>
      <c r="U502" s="4">
        <f t="shared" si="426"/>
        <v>4.4604437741916749</v>
      </c>
      <c r="V502" s="4">
        <f t="shared" si="427"/>
        <v>1.3446815109030295</v>
      </c>
      <c r="W502" t="str">
        <f t="shared" si="414"/>
        <v>1-9,45612888309449i</v>
      </c>
      <c r="X502" s="4">
        <f t="shared" si="428"/>
        <v>9.5088576313715958</v>
      </c>
      <c r="Y502" s="4">
        <f t="shared" si="429"/>
        <v>-1.4654364027496629</v>
      </c>
      <c r="Z502" t="str">
        <f t="shared" si="415"/>
        <v>0,521369907677362+1,85860537628487i</v>
      </c>
      <c r="AA502" s="4">
        <f t="shared" si="430"/>
        <v>1.9303472551296372</v>
      </c>
      <c r="AB502" s="4">
        <f t="shared" si="431"/>
        <v>1.2973085218734148</v>
      </c>
      <c r="AC502" s="47" t="str">
        <f t="shared" si="432"/>
        <v>-0,0855971939208458-0,0131812953461074i</v>
      </c>
      <c r="AD502" s="20">
        <f t="shared" si="433"/>
        <v>-21.24902480084296</v>
      </c>
      <c r="AE502" s="43">
        <f t="shared" si="434"/>
        <v>-171.24566674197467</v>
      </c>
      <c r="AF502" t="str">
        <f t="shared" si="416"/>
        <v>223,849857273222</v>
      </c>
      <c r="AG502" t="str">
        <f t="shared" si="417"/>
        <v>1+17159,3209340113i</v>
      </c>
      <c r="AH502">
        <f t="shared" si="435"/>
        <v>17159.320963149981</v>
      </c>
      <c r="AI502">
        <f t="shared" si="436"/>
        <v>1.5707380494305001</v>
      </c>
      <c r="AJ502" t="str">
        <f t="shared" si="418"/>
        <v>1+4,34690219152965i</v>
      </c>
      <c r="AK502">
        <f t="shared" si="437"/>
        <v>4.4604437741916749</v>
      </c>
      <c r="AL502">
        <f t="shared" si="438"/>
        <v>1.3446815109030295</v>
      </c>
      <c r="AM502" t="str">
        <f t="shared" si="419"/>
        <v>1-2,85715764829715i</v>
      </c>
      <c r="AN502">
        <f t="shared" si="439"/>
        <v>3.0271025465323933</v>
      </c>
      <c r="AO502">
        <f t="shared" si="440"/>
        <v>-1.2341231215801467</v>
      </c>
      <c r="AP502" s="41" t="str">
        <f t="shared" si="441"/>
        <v>0,0194444855781355-0,175065055825557i</v>
      </c>
      <c r="AQ502">
        <f t="shared" si="442"/>
        <v>-15.082761464704662</v>
      </c>
      <c r="AR502" s="43">
        <f t="shared" si="443"/>
        <v>-83.662131855013556</v>
      </c>
      <c r="AS502" t="str">
        <f t="shared" si="420"/>
        <v>-0,0000166666666666667</v>
      </c>
      <c r="AT502" t="str">
        <f t="shared" si="421"/>
        <v>0,00435994289810424i</v>
      </c>
      <c r="AU502">
        <f t="shared" si="444"/>
        <v>4.3599428981042397E-3</v>
      </c>
      <c r="AV502">
        <f t="shared" si="445"/>
        <v>1.5707963267948966</v>
      </c>
      <c r="AW502" t="str">
        <f t="shared" si="422"/>
        <v>1+2,86037432343925i</v>
      </c>
      <c r="AX502">
        <f t="shared" si="446"/>
        <v>3.0301388202837414</v>
      </c>
      <c r="AY502">
        <f t="shared" si="447"/>
        <v>1.2344738068732779</v>
      </c>
      <c r="AZ502" t="str">
        <f t="shared" si="423"/>
        <v>1+956,318482136522i</v>
      </c>
      <c r="BA502">
        <f t="shared" si="448"/>
        <v>956.31900497475272</v>
      </c>
      <c r="BB502">
        <f t="shared" si="449"/>
        <v>1.5697506504284982</v>
      </c>
      <c r="BC502" s="41" t="str">
        <f t="shared" si="450"/>
        <v>-0,396957958723954+1,13927103265302i</v>
      </c>
      <c r="BD502">
        <f t="shared" si="451"/>
        <v>1.6301641897550914</v>
      </c>
      <c r="BE502" s="43">
        <f t="shared" si="452"/>
        <v>109.20994810418205</v>
      </c>
      <c r="BF502" s="41" t="str">
        <f t="shared" si="453"/>
        <v>0,0489955553319816-0,0922859834164745i</v>
      </c>
      <c r="BG502" s="20">
        <f t="shared" si="454"/>
        <v>-19.618860611087868</v>
      </c>
      <c r="BH502" s="43">
        <f t="shared" si="455"/>
        <v>-62.035718637792669</v>
      </c>
      <c r="BI502" s="41" t="str">
        <f t="shared" si="460"/>
        <v>0,191727903628307+0,0916460063684173i</v>
      </c>
      <c r="BJ502" s="20">
        <f t="shared" si="456"/>
        <v>-13.45259727494957</v>
      </c>
      <c r="BK502" s="43">
        <f t="shared" si="461"/>
        <v>25.547816249168466</v>
      </c>
      <c r="BL502">
        <f t="shared" si="457"/>
        <v>-19.618860611087868</v>
      </c>
      <c r="BM502" s="43">
        <f t="shared" si="458"/>
        <v>-62.035718637792669</v>
      </c>
    </row>
    <row r="503" spans="14:65" x14ac:dyDescent="0.25">
      <c r="N503" s="9">
        <v>85</v>
      </c>
      <c r="O503" s="34">
        <f t="shared" si="459"/>
        <v>707945.78438413853</v>
      </c>
      <c r="P503" s="33" t="str">
        <f t="shared" si="411"/>
        <v>66,7780509511648</v>
      </c>
      <c r="Q503" s="4" t="str">
        <f t="shared" si="412"/>
        <v>1+17336,2815061448i</v>
      </c>
      <c r="R503" s="4">
        <f t="shared" si="424"/>
        <v>17336.281534986047</v>
      </c>
      <c r="S503" s="4">
        <f t="shared" si="425"/>
        <v>1.5707386442983049</v>
      </c>
      <c r="T503" s="4" t="str">
        <f t="shared" si="413"/>
        <v>1+4,44815455072215i</v>
      </c>
      <c r="U503" s="4">
        <f t="shared" si="426"/>
        <v>4.5591752441763163</v>
      </c>
      <c r="V503" s="4">
        <f t="shared" si="427"/>
        <v>1.3496605162245363</v>
      </c>
      <c r="W503" t="str">
        <f t="shared" si="414"/>
        <v>1-9,67639042017424i</v>
      </c>
      <c r="X503" s="4">
        <f t="shared" si="428"/>
        <v>9.7279253473512934</v>
      </c>
      <c r="Y503" s="4">
        <f t="shared" si="429"/>
        <v>-1.4678175732949614</v>
      </c>
      <c r="Z503" t="str">
        <f t="shared" si="415"/>
        <v>0,498812766372726+1,90189785696765i</v>
      </c>
      <c r="AA503" s="4">
        <f t="shared" si="430"/>
        <v>1.9662221731621661</v>
      </c>
      <c r="AB503" s="4">
        <f t="shared" si="431"/>
        <v>1.3143021902414112</v>
      </c>
      <c r="AC503" s="47" t="str">
        <f t="shared" si="432"/>
        <v>-0,0860556370498021-0,0119862720941613i</v>
      </c>
      <c r="AD503" s="20">
        <f t="shared" si="433"/>
        <v>-21.220965727972775</v>
      </c>
      <c r="AE503" s="43">
        <f t="shared" si="434"/>
        <v>-172.07056423184832</v>
      </c>
      <c r="AF503" t="str">
        <f t="shared" si="416"/>
        <v>223,849857273222</v>
      </c>
      <c r="AG503" t="str">
        <f t="shared" si="417"/>
        <v>1+17559,0128640703i</v>
      </c>
      <c r="AH503">
        <f t="shared" si="435"/>
        <v>17559.012892545703</v>
      </c>
      <c r="AI503">
        <f t="shared" si="436"/>
        <v>1.5707393759852661</v>
      </c>
      <c r="AJ503" t="str">
        <f t="shared" si="418"/>
        <v>1+4,44815455072215i</v>
      </c>
      <c r="AK503">
        <f t="shared" si="437"/>
        <v>4.5591752441763163</v>
      </c>
      <c r="AL503">
        <f t="shared" si="438"/>
        <v>1.3496605162245363</v>
      </c>
      <c r="AM503" t="str">
        <f t="shared" si="419"/>
        <v>1-2,92370939934383i</v>
      </c>
      <c r="AN503">
        <f t="shared" si="439"/>
        <v>3.0899962219736548</v>
      </c>
      <c r="AO503">
        <f t="shared" si="440"/>
        <v>-1.2412381734276674</v>
      </c>
      <c r="AP503" s="41" t="str">
        <f t="shared" si="441"/>
        <v>0,0194444513642057-0,178542081985551i</v>
      </c>
      <c r="AQ503">
        <f t="shared" si="442"/>
        <v>-14.913980833358973</v>
      </c>
      <c r="AR503" s="43">
        <f t="shared" si="443"/>
        <v>-83.784594311787117</v>
      </c>
      <c r="AS503" t="str">
        <f t="shared" si="420"/>
        <v>-0,0000166666666666667</v>
      </c>
      <c r="AT503" t="str">
        <f t="shared" si="421"/>
        <v>0,00446149901437431i</v>
      </c>
      <c r="AU503">
        <f t="shared" si="444"/>
        <v>4.4614990143743097E-3</v>
      </c>
      <c r="AV503">
        <f t="shared" si="445"/>
        <v>1.5707963267948966</v>
      </c>
      <c r="AW503" t="str">
        <f t="shared" si="422"/>
        <v>1+2,92700100047519i</v>
      </c>
      <c r="AX503">
        <f t="shared" si="446"/>
        <v>3.0931108704317025</v>
      </c>
      <c r="AY503">
        <f t="shared" si="447"/>
        <v>1.2415825659996431</v>
      </c>
      <c r="AZ503" t="str">
        <f t="shared" si="423"/>
        <v>1+978,594001158872i</v>
      </c>
      <c r="BA503">
        <f t="shared" si="448"/>
        <v>978.59451209585802</v>
      </c>
      <c r="BB503">
        <f t="shared" si="449"/>
        <v>1.5697744529118149</v>
      </c>
      <c r="BC503" s="41" t="str">
        <f t="shared" si="450"/>
        <v>-0,380959308595996+1,11880394261401i</v>
      </c>
      <c r="BD503">
        <f t="shared" si="451"/>
        <v>1.4515047379971191</v>
      </c>
      <c r="BE503" s="43">
        <f t="shared" si="452"/>
        <v>108.80400999050215</v>
      </c>
      <c r="BF503" s="41" t="str">
        <f t="shared" si="453"/>
        <v>0,0461939844674725-0,0917131040858437i</v>
      </c>
      <c r="BG503" s="20">
        <f t="shared" si="454"/>
        <v>-19.769460989975656</v>
      </c>
      <c r="BH503" s="43">
        <f t="shared" si="455"/>
        <v>-63.266554241346185</v>
      </c>
      <c r="BI503" s="41" t="str">
        <f t="shared" si="460"/>
        <v>0,192346040500212+0,0897717969567448i</v>
      </c>
      <c r="BJ503" s="20">
        <f t="shared" si="456"/>
        <v>-13.462476095361852</v>
      </c>
      <c r="BK503" s="43">
        <f t="shared" si="461"/>
        <v>25.019415678715021</v>
      </c>
      <c r="BL503">
        <f t="shared" si="457"/>
        <v>-19.769460989975656</v>
      </c>
      <c r="BM503" s="43">
        <f t="shared" si="458"/>
        <v>-63.266554241346185</v>
      </c>
    </row>
    <row r="504" spans="14:65" x14ac:dyDescent="0.25">
      <c r="N504" s="9">
        <v>86</v>
      </c>
      <c r="O504" s="34">
        <f t="shared" si="459"/>
        <v>724435.96007499192</v>
      </c>
      <c r="P504" s="33" t="str">
        <f t="shared" si="411"/>
        <v>66,7780509511648</v>
      </c>
      <c r="Q504" s="4" t="str">
        <f t="shared" si="412"/>
        <v>1+17740,0953774444i</v>
      </c>
      <c r="R504" s="4">
        <f t="shared" si="424"/>
        <v>17740.095405629141</v>
      </c>
      <c r="S504" s="4">
        <f t="shared" si="425"/>
        <v>1.5707399573122267</v>
      </c>
      <c r="T504" s="4" t="str">
        <f t="shared" si="413"/>
        <v>1+4,55176538033573i</v>
      </c>
      <c r="U504" s="4">
        <f t="shared" si="426"/>
        <v>4.6603184523831489</v>
      </c>
      <c r="V504" s="4">
        <f t="shared" si="427"/>
        <v>1.3545369798865285</v>
      </c>
      <c r="W504" t="str">
        <f t="shared" si="414"/>
        <v>1-9,90178250753694i</v>
      </c>
      <c r="X504" s="4">
        <f t="shared" si="428"/>
        <v>9.9521503619350771</v>
      </c>
      <c r="Y504" s="4">
        <f t="shared" si="429"/>
        <v>-1.4701456747369783</v>
      </c>
      <c r="Z504" t="str">
        <f t="shared" si="415"/>
        <v>0,475192539750224+1,94619874906878i</v>
      </c>
      <c r="AA504" s="4">
        <f t="shared" si="430"/>
        <v>2.0033715383600597</v>
      </c>
      <c r="AB504" s="4">
        <f t="shared" si="431"/>
        <v>1.3313174458206687</v>
      </c>
      <c r="AC504" s="47" t="str">
        <f t="shared" si="432"/>
        <v>-0,0864779405522266-0,0107721151503154i</v>
      </c>
      <c r="AD504" s="20">
        <f t="shared" si="433"/>
        <v>-21.195023766106296</v>
      </c>
      <c r="AE504" s="43">
        <f t="shared" si="434"/>
        <v>-172.89953139415721</v>
      </c>
      <c r="AF504" t="str">
        <f t="shared" si="416"/>
        <v>223,849857273222</v>
      </c>
      <c r="AG504" t="str">
        <f t="shared" si="417"/>
        <v>1+17968,0148151707i</v>
      </c>
      <c r="AH504">
        <f t="shared" si="435"/>
        <v>17968.014842997924</v>
      </c>
      <c r="AI504">
        <f t="shared" si="436"/>
        <v>1.5707406723439596</v>
      </c>
      <c r="AJ504" t="str">
        <f t="shared" si="418"/>
        <v>1+4,55176538033573i</v>
      </c>
      <c r="AK504">
        <f t="shared" si="437"/>
        <v>4.6603184523831489</v>
      </c>
      <c r="AL504">
        <f t="shared" si="438"/>
        <v>1.3545369798865285</v>
      </c>
      <c r="AM504" t="str">
        <f t="shared" si="419"/>
        <v>1-2,99181133981392i</v>
      </c>
      <c r="AN504">
        <f t="shared" si="439"/>
        <v>3.1545102778464931</v>
      </c>
      <c r="AO504">
        <f t="shared" si="440"/>
        <v>-1.2482248899854373</v>
      </c>
      <c r="AP504" s="41" t="str">
        <f>(IMDIV(IMPRODUCT(AF504,AJ504,AM504),IMPRODUCT(AG504)))</f>
        <v>0,0194444186901565-0,182113773520524i</v>
      </c>
      <c r="AQ504">
        <f t="shared" si="442"/>
        <v>-14.743914697739285</v>
      </c>
      <c r="AR504" s="43">
        <f t="shared" si="443"/>
        <v>-83.905577172302273</v>
      </c>
      <c r="AS504" t="str">
        <f t="shared" si="420"/>
        <v>-0,0000166666666666667</v>
      </c>
      <c r="AT504" t="str">
        <f t="shared" si="421"/>
        <v>0,00456542067647673i</v>
      </c>
      <c r="AU504">
        <f t="shared" si="444"/>
        <v>4.5654206764767303E-3</v>
      </c>
      <c r="AV504">
        <f t="shared" si="445"/>
        <v>1.5707963267948966</v>
      </c>
      <c r="AW504" t="str">
        <f t="shared" si="422"/>
        <v>1+2,99517961218503i</v>
      </c>
      <c r="AX504">
        <f t="shared" si="446"/>
        <v>3.157705006685847</v>
      </c>
      <c r="AY504">
        <f t="shared" si="447"/>
        <v>1.2485630355605704</v>
      </c>
      <c r="AZ504" t="str">
        <f t="shared" si="423"/>
        <v>1+1001,38838367386i</v>
      </c>
      <c r="BA504">
        <f t="shared" si="448"/>
        <v>1001.388882980506</v>
      </c>
      <c r="BB504">
        <f t="shared" si="449"/>
        <v>1.5697977135855825</v>
      </c>
      <c r="BC504" s="41" t="str">
        <f t="shared" si="450"/>
        <v>-0,365532884013397+1,09848727287148i</v>
      </c>
      <c r="BD504">
        <f t="shared" si="451"/>
        <v>1.2719831651453684</v>
      </c>
      <c r="BE504" s="43">
        <f t="shared" si="452"/>
        <v>108.40539128407706</v>
      </c>
      <c r="BF504" s="41" t="str">
        <f t="shared" si="453"/>
        <v>0,043443562408122-0,0910573547629382i</v>
      </c>
      <c r="BG504" s="20">
        <f t="shared" si="454"/>
        <v>-19.923040600960924</v>
      </c>
      <c r="BH504" s="43">
        <f t="shared" si="455"/>
        <v>-64.494140110080153</v>
      </c>
      <c r="BI504" s="41" t="str">
        <f t="shared" si="460"/>
        <v>0,192942087985118+0,087928019313041i</v>
      </c>
      <c r="BJ504" s="20">
        <f t="shared" si="456"/>
        <v>-13.47193153259391</v>
      </c>
      <c r="BK504" s="43">
        <f t="shared" si="461"/>
        <v>24.499814111774771</v>
      </c>
      <c r="BL504">
        <f t="shared" si="457"/>
        <v>-19.923040600960924</v>
      </c>
      <c r="BM504" s="43">
        <f t="shared" si="458"/>
        <v>-64.494140110080153</v>
      </c>
    </row>
    <row r="505" spans="14:65" x14ac:dyDescent="0.25">
      <c r="N505" s="9">
        <v>87</v>
      </c>
      <c r="O505" s="34">
        <f t="shared" si="459"/>
        <v>741310.24130091805</v>
      </c>
      <c r="P505" s="33" t="str">
        <f t="shared" si="411"/>
        <v>66,7780509511648</v>
      </c>
      <c r="Q505" s="4" t="str">
        <f t="shared" si="412"/>
        <v>1+18153,315282131i</v>
      </c>
      <c r="R505" s="4">
        <f t="shared" si="424"/>
        <v>18153.315309674177</v>
      </c>
      <c r="S505" s="4">
        <f t="shared" si="425"/>
        <v>1.570741240438303</v>
      </c>
      <c r="T505" s="4" t="str">
        <f t="shared" si="413"/>
        <v>1+4,65778961620368i</v>
      </c>
      <c r="U505" s="4">
        <f t="shared" si="426"/>
        <v>4.7639273828234225</v>
      </c>
      <c r="V505" s="4">
        <f t="shared" si="427"/>
        <v>1.3593125593375541</v>
      </c>
      <c r="W505" t="str">
        <f t="shared" si="414"/>
        <v>1-10,1324246510507i</v>
      </c>
      <c r="X505" s="4">
        <f t="shared" si="428"/>
        <v>10.181651600267017</v>
      </c>
      <c r="Y505" s="4">
        <f t="shared" si="429"/>
        <v>-1.4724218404631297</v>
      </c>
      <c r="Z505" t="str">
        <f t="shared" si="415"/>
        <v>0,450459126142377+1,99153154150765i</v>
      </c>
      <c r="AA505" s="4">
        <f t="shared" si="430"/>
        <v>2.0418401762000844</v>
      </c>
      <c r="AB505" s="4">
        <f t="shared" si="431"/>
        <v>1.3483520906589406</v>
      </c>
      <c r="AC505" s="47" t="str">
        <f t="shared" si="432"/>
        <v>-0,0868631923058643-0,00954005125106214i</v>
      </c>
      <c r="AD505" s="20">
        <f t="shared" si="433"/>
        <v>-21.171211838439152</v>
      </c>
      <c r="AE505" s="43">
        <f t="shared" si="434"/>
        <v>-173.73241230891088</v>
      </c>
      <c r="AF505" t="str">
        <f t="shared" si="416"/>
        <v>223,849857273222</v>
      </c>
      <c r="AG505" t="str">
        <f t="shared" si="417"/>
        <v>1+18386,5436455609i</v>
      </c>
      <c r="AH505">
        <f t="shared" si="435"/>
        <v>18386.543672754702</v>
      </c>
      <c r="AI505">
        <f t="shared" si="436"/>
        <v>1.5707419391939266</v>
      </c>
      <c r="AJ505" t="str">
        <f t="shared" si="418"/>
        <v>1+4,65778961620368i</v>
      </c>
      <c r="AK505">
        <f t="shared" si="437"/>
        <v>4.7639273828234225</v>
      </c>
      <c r="AL505">
        <f t="shared" si="438"/>
        <v>1.3593125593375541</v>
      </c>
      <c r="AM505" t="str">
        <f t="shared" si="419"/>
        <v>1-3,06149957825767i</v>
      </c>
      <c r="AN505">
        <f t="shared" si="439"/>
        <v>3.2206800008184442</v>
      </c>
      <c r="AO505">
        <f t="shared" si="440"/>
        <v>-1.2550842463936467</v>
      </c>
      <c r="AP505" s="41" t="str">
        <f t="shared" si="441"/>
        <v>0,0194443874866816-0,185782024188614i</v>
      </c>
      <c r="AQ505">
        <f t="shared" si="442"/>
        <v>-14.572611329933519</v>
      </c>
      <c r="AR505" s="43">
        <f t="shared" si="443"/>
        <v>-84.025041382551919</v>
      </c>
      <c r="AS505" t="str">
        <f t="shared" si="420"/>
        <v>-0,0000166666666666667</v>
      </c>
      <c r="AT505" t="str">
        <f t="shared" si="421"/>
        <v>0,00467176298505229i</v>
      </c>
      <c r="AU505">
        <f t="shared" si="444"/>
        <v>4.67176298505229E-3</v>
      </c>
      <c r="AV505">
        <f t="shared" si="445"/>
        <v>1.5707963267948966</v>
      </c>
      <c r="AW505" t="str">
        <f t="shared" si="422"/>
        <v>1+3,06494630777111i</v>
      </c>
      <c r="AX505">
        <f t="shared" si="446"/>
        <v>3.2239565551538933</v>
      </c>
      <c r="AY505">
        <f t="shared" si="447"/>
        <v>1.2554161946973057</v>
      </c>
      <c r="AZ505" t="str">
        <f t="shared" si="423"/>
        <v>1+1024,71371556481i</v>
      </c>
      <c r="BA505">
        <f t="shared" si="448"/>
        <v>1024.7142035058546</v>
      </c>
      <c r="BB505">
        <f t="shared" si="449"/>
        <v>1.5698204447828166</v>
      </c>
      <c r="BC505" s="41" t="str">
        <f t="shared" si="450"/>
        <v>-0,350664016447832+1,07833391506243i</v>
      </c>
      <c r="BD505">
        <f t="shared" si="451"/>
        <v>1.0916304687348606</v>
      </c>
      <c r="BE505" s="43">
        <f t="shared" si="452"/>
        <v>108.01403659087529</v>
      </c>
      <c r="BF505" s="41" t="str">
        <f t="shared" si="453"/>
        <v>0,0407471567109089-0,0903221735451878i</v>
      </c>
      <c r="BG505" s="20">
        <f t="shared" si="454"/>
        <v>-20.079581369704286</v>
      </c>
      <c r="BH505" s="43">
        <f t="shared" si="455"/>
        <v>-65.718375718035588</v>
      </c>
      <c r="BI505" s="41" t="str">
        <f t="shared" si="460"/>
        <v>0,193516610478083+0,086114613270292i</v>
      </c>
      <c r="BJ505" s="20">
        <f t="shared" si="456"/>
        <v>-13.480980861198672</v>
      </c>
      <c r="BK505" s="43">
        <f t="shared" si="461"/>
        <v>23.988995208323448</v>
      </c>
      <c r="BL505">
        <f t="shared" si="457"/>
        <v>-20.079581369704286</v>
      </c>
      <c r="BM505" s="43">
        <f t="shared" si="458"/>
        <v>-65.718375718035588</v>
      </c>
    </row>
    <row r="506" spans="14:65" x14ac:dyDescent="0.25">
      <c r="N506" s="9">
        <v>88</v>
      </c>
      <c r="O506" s="34">
        <f t="shared" si="459"/>
        <v>758577.57502918423</v>
      </c>
      <c r="P506" s="33" t="str">
        <f t="shared" si="411"/>
        <v>66,7780509511648</v>
      </c>
      <c r="Q506" s="4" t="str">
        <f t="shared" si="412"/>
        <v>1+18576,1603148678i</v>
      </c>
      <c r="R506" s="4">
        <f t="shared" si="424"/>
        <v>18576.16034178402</v>
      </c>
      <c r="S506" s="4">
        <f t="shared" si="425"/>
        <v>1.570742494356864</v>
      </c>
      <c r="T506" s="4" t="str">
        <f t="shared" si="413"/>
        <v>1+4,76628347377929i</v>
      </c>
      <c r="U506" s="4">
        <f t="shared" si="426"/>
        <v>4.8700573048396034</v>
      </c>
      <c r="V506" s="4">
        <f t="shared" si="427"/>
        <v>1.363988914950925</v>
      </c>
      <c r="W506" t="str">
        <f t="shared" si="414"/>
        <v>1-10,3684391402329i</v>
      </c>
      <c r="X506" s="4">
        <f t="shared" si="428"/>
        <v>10.416550782514983</v>
      </c>
      <c r="Y506" s="4">
        <f t="shared" si="429"/>
        <v>-1.4746471829336094</v>
      </c>
      <c r="Z506" t="str">
        <f t="shared" si="415"/>
        <v>0,424560062662843+2,03792027033086i</v>
      </c>
      <c r="AA506" s="4">
        <f t="shared" si="430"/>
        <v>2.081674872556635</v>
      </c>
      <c r="AB506" s="4">
        <f t="shared" si="431"/>
        <v>1.3654040698548624</v>
      </c>
      <c r="AC506" s="47" t="str">
        <f t="shared" si="432"/>
        <v>-0,0872105362521504-0,00829134345103773i</v>
      </c>
      <c r="AD506" s="20">
        <f t="shared" si="433"/>
        <v>-21.149542098357568</v>
      </c>
      <c r="AE506" s="43">
        <f t="shared" si="434"/>
        <v>-174.56905788480472</v>
      </c>
      <c r="AF506" t="str">
        <f t="shared" si="416"/>
        <v>223,849857273222</v>
      </c>
      <c r="AG506" t="str">
        <f t="shared" si="417"/>
        <v>1+18814,8212647667i</v>
      </c>
      <c r="AH506">
        <f t="shared" si="435"/>
        <v>18814.82129134149</v>
      </c>
      <c r="AI506">
        <f t="shared" si="436"/>
        <v>1.5707431772068678</v>
      </c>
      <c r="AJ506" t="str">
        <f t="shared" si="418"/>
        <v>1+4,76628347377929i</v>
      </c>
      <c r="AK506">
        <f t="shared" si="437"/>
        <v>4.8700573048396034</v>
      </c>
      <c r="AL506">
        <f t="shared" si="438"/>
        <v>1.363988914950925</v>
      </c>
      <c r="AM506" t="str">
        <f t="shared" si="419"/>
        <v>1-3,13281106430156i</v>
      </c>
      <c r="AN506">
        <f t="shared" si="439"/>
        <v>3.2885414950415743</v>
      </c>
      <c r="AO506">
        <f t="shared" si="440"/>
        <v>-1.2618172967943369</v>
      </c>
      <c r="AP506" s="41" t="str">
        <f t="shared" si="441"/>
        <v>0,0194443576875944-0,189548778944891i</v>
      </c>
      <c r="AQ506">
        <f t="shared" si="442"/>
        <v>-14.400117562635433</v>
      </c>
      <c r="AR506" s="43">
        <f t="shared" si="443"/>
        <v>-84.142952246528381</v>
      </c>
      <c r="AS506" t="str">
        <f t="shared" si="420"/>
        <v>-0,0000166666666666667</v>
      </c>
      <c r="AT506" t="str">
        <f t="shared" si="421"/>
        <v>0,00478058232420063i</v>
      </c>
      <c r="AU506">
        <f t="shared" si="444"/>
        <v>4.7805823242006301E-3</v>
      </c>
      <c r="AV506">
        <f t="shared" si="445"/>
        <v>1.5707963267948966</v>
      </c>
      <c r="AW506" t="str">
        <f t="shared" si="422"/>
        <v>1+3,13633807845895i</v>
      </c>
      <c r="AX506">
        <f t="shared" si="446"/>
        <v>3.2919016604983171</v>
      </c>
      <c r="AY506">
        <f t="shared" si="447"/>
        <v>1.2621431012590478</v>
      </c>
      <c r="AZ506" t="str">
        <f t="shared" si="423"/>
        <v>1+1048,58236423144i</v>
      </c>
      <c r="BA506">
        <f t="shared" si="448"/>
        <v>1048.5828410655954</v>
      </c>
      <c r="BB506">
        <f t="shared" si="449"/>
        <v>1.5698426585558052</v>
      </c>
      <c r="BC506" s="41" t="str">
        <f t="shared" si="450"/>
        <v>-0,336337938865737+1,05835581052156i</v>
      </c>
      <c r="BD506">
        <f t="shared" si="451"/>
        <v>0.91047683848037031</v>
      </c>
      <c r="BE506" s="43">
        <f t="shared" si="452"/>
        <v>107.62988599114794</v>
      </c>
      <c r="BF506" s="41" t="str">
        <f t="shared" si="453"/>
        <v>0,0381074035288596-0,0895110844144146i</v>
      </c>
      <c r="BG506" s="20">
        <f t="shared" si="454"/>
        <v>-20.239065259877194</v>
      </c>
      <c r="BH506" s="43">
        <f t="shared" si="455"/>
        <v>-66.939171893656791</v>
      </c>
      <c r="BI506" s="41" t="str">
        <f t="shared" si="460"/>
        <v>0,194070176386378+0,084331494565367i</v>
      </c>
      <c r="BJ506" s="20">
        <f t="shared" si="456"/>
        <v>-13.48964072415508</v>
      </c>
      <c r="BK506" s="43">
        <f t="shared" si="461"/>
        <v>23.486933744619638</v>
      </c>
      <c r="BL506">
        <f t="shared" si="457"/>
        <v>-20.239065259877194</v>
      </c>
      <c r="BM506" s="43">
        <f t="shared" si="458"/>
        <v>-66.939171893656791</v>
      </c>
    </row>
    <row r="507" spans="14:65" x14ac:dyDescent="0.25">
      <c r="N507" s="9">
        <v>89</v>
      </c>
      <c r="O507" s="34">
        <f t="shared" si="459"/>
        <v>776247.11662869214</v>
      </c>
      <c r="P507" s="33" t="str">
        <f t="shared" si="411"/>
        <v>66,7780509511648</v>
      </c>
      <c r="Q507" s="4" t="str">
        <f t="shared" si="412"/>
        <v>1+19008,854673688i</v>
      </c>
      <c r="R507" s="4">
        <f t="shared" si="424"/>
        <v>19008.854699991531</v>
      </c>
      <c r="S507" s="4">
        <f t="shared" si="425"/>
        <v>1.5707437197327541</v>
      </c>
      <c r="T507" s="4" t="str">
        <f t="shared" si="413"/>
        <v>1+4,87730447794192i</v>
      </c>
      <c r="U507" s="4">
        <f t="shared" si="426"/>
        <v>4.9787648036990371</v>
      </c>
      <c r="V507" s="4">
        <f t="shared" si="427"/>
        <v>1.3685677077001581</v>
      </c>
      <c r="W507" t="str">
        <f t="shared" si="414"/>
        <v>1-10,6099511130898i</v>
      </c>
      <c r="X507" s="4">
        <f t="shared" si="428"/>
        <v>10.656972488570826</v>
      </c>
      <c r="Y507" s="4">
        <f t="shared" si="429"/>
        <v>-1.4768227938441651</v>
      </c>
      <c r="Z507" t="str">
        <f t="shared" si="415"/>
        <v>0,397440413925642+2,08538953145648i</v>
      </c>
      <c r="AA507" s="4">
        <f t="shared" si="430"/>
        <v>2.1229244877125666</v>
      </c>
      <c r="AB507" s="4">
        <f t="shared" si="431"/>
        <v>1.3824714662115094</v>
      </c>
      <c r="AC507" s="47" t="str">
        <f t="shared" si="432"/>
        <v>-0,0875191730146002-0,00702728845953766i</v>
      </c>
      <c r="AD507" s="20">
        <f t="shared" si="433"/>
        <v>-21.130026062357118</v>
      </c>
      <c r="AE507" s="43">
        <f t="shared" si="434"/>
        <v>-175.40932569542568</v>
      </c>
      <c r="AF507" t="str">
        <f t="shared" si="416"/>
        <v>223,849857273222</v>
      </c>
      <c r="AG507" t="str">
        <f t="shared" si="417"/>
        <v>1+19253,0747512507i</v>
      </c>
      <c r="AH507">
        <f t="shared" si="435"/>
        <v>19253.074777220576</v>
      </c>
      <c r="AI507">
        <f t="shared" si="436"/>
        <v>1.5707443870391942</v>
      </c>
      <c r="AJ507" t="str">
        <f t="shared" si="418"/>
        <v>1+4,87730447794192i</v>
      </c>
      <c r="AK507">
        <f t="shared" si="437"/>
        <v>4.9787648036990371</v>
      </c>
      <c r="AL507">
        <f t="shared" si="438"/>
        <v>1.3685677077001581</v>
      </c>
      <c r="AM507" t="str">
        <f t="shared" si="419"/>
        <v>1-3,2057836082394i</v>
      </c>
      <c r="AN507">
        <f t="shared" si="439"/>
        <v>3.3581317042153702</v>
      </c>
      <c r="AO507">
        <f t="shared" si="440"/>
        <v>-1.2684251684038481</v>
      </c>
      <c r="AP507" s="41" t="str">
        <f t="shared" si="441"/>
        <v>0,019444329229687-0,193416034972598i</v>
      </c>
      <c r="AQ507">
        <f t="shared" si="442"/>
        <v>-14.226478801961138</v>
      </c>
      <c r="AR507" s="43">
        <f t="shared" si="443"/>
        <v>-84.259279219807794</v>
      </c>
      <c r="AS507" t="str">
        <f t="shared" si="420"/>
        <v>-0,0000166666666666667</v>
      </c>
      <c r="AT507" t="str">
        <f t="shared" si="421"/>
        <v>0,00489193639137574i</v>
      </c>
      <c r="AU507">
        <f t="shared" si="444"/>
        <v>4.8919363913757404E-3</v>
      </c>
      <c r="AV507">
        <f t="shared" si="445"/>
        <v>1.5707963267948966</v>
      </c>
      <c r="AW507" t="str">
        <f t="shared" si="422"/>
        <v>1+3,20939277711034i</v>
      </c>
      <c r="AX507">
        <f t="shared" si="446"/>
        <v>3.3615773080159883</v>
      </c>
      <c r="AY507">
        <f t="shared" si="447"/>
        <v>1.2687448858843984</v>
      </c>
      <c r="AZ507" t="str">
        <f t="shared" si="423"/>
        <v>1+1073,00698514722i</v>
      </c>
      <c r="BA507">
        <f t="shared" si="448"/>
        <v>1073.0074511273097</v>
      </c>
      <c r="BB507">
        <f t="shared" si="449"/>
        <v>1.569864366682497</v>
      </c>
      <c r="BC507" s="41" t="str">
        <f t="shared" si="450"/>
        <v>-0,322539833612377+1,03856397949257i</v>
      </c>
      <c r="BD507">
        <f t="shared" si="451"/>
        <v>0.72855165220142082</v>
      </c>
      <c r="BE507" s="43">
        <f t="shared" si="452"/>
        <v>107.25287537890161</v>
      </c>
      <c r="BF507" s="41" t="str">
        <f t="shared" si="453"/>
        <v>0,0355267081696016-0,0886276801574565i</v>
      </c>
      <c r="BG507" s="20">
        <f t="shared" si="454"/>
        <v>-20.401474410155696</v>
      </c>
      <c r="BH507" s="43">
        <f t="shared" si="455"/>
        <v>-68.156450316524101</v>
      </c>
      <c r="BI507" s="41" t="str">
        <f t="shared" si="460"/>
        <v>0,194603356264368+0,0825785556813749i</v>
      </c>
      <c r="BJ507" s="20">
        <f t="shared" si="456"/>
        <v>-13.497927149759711</v>
      </c>
      <c r="BK507" s="43">
        <f t="shared" si="461"/>
        <v>22.993596159093819</v>
      </c>
      <c r="BL507">
        <f t="shared" si="457"/>
        <v>-20.401474410155696</v>
      </c>
      <c r="BM507" s="43">
        <f t="shared" si="458"/>
        <v>-68.156450316524101</v>
      </c>
    </row>
    <row r="508" spans="14:65" x14ac:dyDescent="0.25">
      <c r="N508" s="9">
        <v>90</v>
      </c>
      <c r="O508" s="34">
        <f t="shared" si="459"/>
        <v>794328.23472428333</v>
      </c>
      <c r="P508" s="33" t="str">
        <f t="shared" si="411"/>
        <v>66,7780509511648</v>
      </c>
      <c r="Q508" s="4" t="str">
        <f t="shared" si="412"/>
        <v>1+19451,6277788683i</v>
      </c>
      <c r="R508" s="4">
        <f t="shared" si="424"/>
        <v>19451.627804573087</v>
      </c>
      <c r="S508" s="4">
        <f t="shared" si="425"/>
        <v>1.5707449172156835</v>
      </c>
      <c r="T508" s="4" t="str">
        <f t="shared" si="413"/>
        <v>1+4,99091149349752i</v>
      </c>
      <c r="U508" s="4">
        <f t="shared" si="426"/>
        <v>5.0901078118175098</v>
      </c>
      <c r="V508" s="4">
        <f t="shared" si="427"/>
        <v>1.3730505969934614</v>
      </c>
      <c r="W508" t="str">
        <f t="shared" si="414"/>
        <v>1-10,8570886224662i</v>
      </c>
      <c r="X508" s="4">
        <f t="shared" si="428"/>
        <v>10.903044224256133</v>
      </c>
      <c r="Y508" s="4">
        <f t="shared" si="429"/>
        <v>-1.4789497443048683</v>
      </c>
      <c r="Z508" t="str">
        <f t="shared" si="415"/>
        <v>0,369042655519805+2,13396449371506i</v>
      </c>
      <c r="AA508" s="4">
        <f t="shared" si="430"/>
        <v>2.1656400767509085</v>
      </c>
      <c r="AB508" s="4">
        <f t="shared" si="431"/>
        <v>1.3995524938646735</v>
      </c>
      <c r="AC508" s="47" t="str">
        <f t="shared" si="432"/>
        <v>-0,0877883603874799-0,00574921410159028i</v>
      </c>
      <c r="AD508" s="20">
        <f t="shared" si="433"/>
        <v>-21.11267473784563</v>
      </c>
      <c r="AE508" s="43">
        <f t="shared" si="434"/>
        <v>-176.25307974851717</v>
      </c>
      <c r="AF508" t="str">
        <f t="shared" si="416"/>
        <v>223,849857273222</v>
      </c>
      <c r="AG508" t="str">
        <f t="shared" si="417"/>
        <v>1+19701,5364728124i</v>
      </c>
      <c r="AH508">
        <f t="shared" si="435"/>
        <v>19701.536498191133</v>
      </c>
      <c r="AI508">
        <f t="shared" si="436"/>
        <v>1.5707455693323749</v>
      </c>
      <c r="AJ508" t="str">
        <f t="shared" si="418"/>
        <v>1+4,99091149349752i</v>
      </c>
      <c r="AK508">
        <f t="shared" si="437"/>
        <v>5.0901078118175098</v>
      </c>
      <c r="AL508">
        <f t="shared" si="438"/>
        <v>1.3730505969934614</v>
      </c>
      <c r="AM508" t="str">
        <f t="shared" si="419"/>
        <v>1-3,2804559010799i</v>
      </c>
      <c r="AN508">
        <f t="shared" si="439"/>
        <v>3.4294884339985661</v>
      </c>
      <c r="AO508">
        <f t="shared" si="440"/>
        <v>-1.2749090557742655</v>
      </c>
      <c r="AP508" s="41" t="str">
        <f t="shared" si="441"/>
        <v>0,0194443020525965-0,197385842742078i</v>
      </c>
      <c r="AQ508">
        <f t="shared" si="442"/>
        <v>-14.051739042892894</v>
      </c>
      <c r="AR508" s="43">
        <f t="shared" si="443"/>
        <v>-84.373995704849591</v>
      </c>
      <c r="AS508" t="str">
        <f t="shared" si="420"/>
        <v>-0,0000166666666666667</v>
      </c>
      <c r="AT508" t="str">
        <f t="shared" si="421"/>
        <v>0,00500588422797801i</v>
      </c>
      <c r="AU508">
        <f t="shared" si="444"/>
        <v>5.0058842279780101E-3</v>
      </c>
      <c r="AV508">
        <f t="shared" si="445"/>
        <v>1.5707963267948966</v>
      </c>
      <c r="AW508" t="str">
        <f t="shared" si="422"/>
        <v>1+3,28414913829348i</v>
      </c>
      <c r="AX508">
        <f t="shared" si="446"/>
        <v>3.4330213460673105</v>
      </c>
      <c r="AY508">
        <f t="shared" si="447"/>
        <v>1.2752227462722749</v>
      </c>
      <c r="AZ508" t="str">
        <f t="shared" si="423"/>
        <v>1+1098,00052856945i</v>
      </c>
      <c r="BA508">
        <f t="shared" si="448"/>
        <v>1098.0009839425425</v>
      </c>
      <c r="BB508">
        <f t="shared" si="449"/>
        <v>1.5698855806727461</v>
      </c>
      <c r="BC508" s="41" t="str">
        <f t="shared" si="450"/>
        <v>-0,309254876650586+1,01896855179088i</v>
      </c>
      <c r="BD508">
        <f t="shared" si="451"/>
        <v>0.54588347427353301</v>
      </c>
      <c r="BE508" s="43">
        <f t="shared" si="452"/>
        <v>106.88293679050936</v>
      </c>
      <c r="BF508" s="41" t="str">
        <f t="shared" si="453"/>
        <v>0,0330072469300204-0,0876756059503011i</v>
      </c>
      <c r="BG508" s="20">
        <f t="shared" si="454"/>
        <v>-20.5667912635721</v>
      </c>
      <c r="BH508" s="43">
        <f t="shared" si="455"/>
        <v>-69.370142958007833</v>
      </c>
      <c r="BI508" s="41" t="str">
        <f t="shared" si="460"/>
        <v>0,195116721090085+0,080855666752892i</v>
      </c>
      <c r="BJ508" s="20">
        <f t="shared" si="456"/>
        <v>-13.505855568619365</v>
      </c>
      <c r="BK508" s="43">
        <f t="shared" si="461"/>
        <v>22.508941085659792</v>
      </c>
      <c r="BL508">
        <f t="shared" si="457"/>
        <v>-20.5667912635721</v>
      </c>
      <c r="BM508" s="43">
        <f t="shared" si="458"/>
        <v>-69.370142958007833</v>
      </c>
    </row>
    <row r="509" spans="14:65" x14ac:dyDescent="0.25">
      <c r="N509" s="9">
        <v>91</v>
      </c>
      <c r="O509" s="34">
        <f t="shared" si="459"/>
        <v>812830.51616410096</v>
      </c>
      <c r="P509" s="33" t="str">
        <f t="shared" si="411"/>
        <v>66,7780509511648</v>
      </c>
      <c r="Q509" s="4" t="str">
        <f t="shared" si="412"/>
        <v>1+19904,7143945695i</v>
      </c>
      <c r="R509" s="4">
        <f t="shared" si="424"/>
        <v>19904.714419689175</v>
      </c>
      <c r="S509" s="4">
        <f t="shared" si="425"/>
        <v>1.5707460874405741</v>
      </c>
      <c r="T509" s="4" t="str">
        <f t="shared" si="413"/>
        <v>1+5,10716475638948i</v>
      </c>
      <c r="U509" s="4">
        <f t="shared" si="426"/>
        <v>5.2041456406317854</v>
      </c>
      <c r="V509" s="4">
        <f t="shared" si="427"/>
        <v>1.3774392386607253</v>
      </c>
      <c r="W509" t="str">
        <f t="shared" si="414"/>
        <v>1-11,1099827039408i</v>
      </c>
      <c r="X509" s="4">
        <f t="shared" si="428"/>
        <v>11.154896489069888</v>
      </c>
      <c r="Y509" s="4">
        <f t="shared" si="429"/>
        <v>-1.4810290850333248</v>
      </c>
      <c r="Z509" t="str">
        <f t="shared" si="415"/>
        <v>0,339306551992402+2,18367091219457i</v>
      </c>
      <c r="AA509" s="4">
        <f t="shared" si="430"/>
        <v>2.2098750165992729</v>
      </c>
      <c r="AB509" s="4">
        <f t="shared" si="431"/>
        <v>1.4166454909419479</v>
      </c>
      <c r="AC509" s="47" t="str">
        <f t="shared" si="432"/>
        <v>-0,0880174137215174-0,00445847690850167i</v>
      </c>
      <c r="AD509" s="20">
        <f t="shared" si="433"/>
        <v>-21.097498745073118</v>
      </c>
      <c r="AE509" s="43">
        <f t="shared" si="434"/>
        <v>-177.10019019180251</v>
      </c>
      <c r="AF509" t="str">
        <f t="shared" si="416"/>
        <v>223,849857273222</v>
      </c>
      <c r="AG509" t="str">
        <f t="shared" si="417"/>
        <v>1+20160,4442097926i</v>
      </c>
      <c r="AH509">
        <f t="shared" si="435"/>
        <v>20160.44423459364</v>
      </c>
      <c r="AI509">
        <f t="shared" si="436"/>
        <v>1.5707467247132771</v>
      </c>
      <c r="AJ509" t="str">
        <f t="shared" si="418"/>
        <v>1+5,10716475638948i</v>
      </c>
      <c r="AK509">
        <f t="shared" si="437"/>
        <v>5.2041456406317854</v>
      </c>
      <c r="AL509">
        <f t="shared" si="438"/>
        <v>1.3774392386607253</v>
      </c>
      <c r="AM509" t="str">
        <f t="shared" si="419"/>
        <v>1-3,3568675350611i</v>
      </c>
      <c r="AN509">
        <f t="shared" si="439"/>
        <v>3.5026503747801021</v>
      </c>
      <c r="AO509">
        <f t="shared" si="440"/>
        <v>-1.2812702152521307</v>
      </c>
      <c r="AP509" s="41" t="str">
        <f t="shared" si="441"/>
        <v>0,0194442760986766-0,201460307097965i</v>
      </c>
      <c r="AQ509">
        <f t="shared" si="442"/>
        <v>-13.87594088708947</v>
      </c>
      <c r="AR509" s="43">
        <f t="shared" si="443"/>
        <v>-84.487078848860861</v>
      </c>
      <c r="AS509" t="str">
        <f t="shared" si="420"/>
        <v>-0,0000166666666666667</v>
      </c>
      <c r="AT509" t="str">
        <f t="shared" si="421"/>
        <v>0,00512248625065865i</v>
      </c>
      <c r="AU509">
        <f t="shared" si="444"/>
        <v>5.12248625065865E-3</v>
      </c>
      <c r="AV509">
        <f t="shared" si="445"/>
        <v>1.5707963267948966</v>
      </c>
      <c r="AW509" t="str">
        <f t="shared" si="422"/>
        <v>1+3,36064679882059i</v>
      </c>
      <c r="AX509">
        <f t="shared" si="446"/>
        <v>3.5062725088650883</v>
      </c>
      <c r="AY509">
        <f t="shared" si="447"/>
        <v>1.2815779416504471</v>
      </c>
      <c r="AZ509" t="str">
        <f t="shared" si="423"/>
        <v>1+1123,57624640568i</v>
      </c>
      <c r="BA509">
        <f t="shared" si="448"/>
        <v>1123.5766914132196</v>
      </c>
      <c r="BB509">
        <f t="shared" si="449"/>
        <v>1.5699063117744148</v>
      </c>
      <c r="BC509" s="41" t="str">
        <f t="shared" si="450"/>
        <v>-0,296468278242041+0,99957879861092i</v>
      </c>
      <c r="BD509">
        <f t="shared" si="451"/>
        <v>0.36250005640990907</v>
      </c>
      <c r="BE509" s="43">
        <f t="shared" si="452"/>
        <v>106.51999872198921</v>
      </c>
      <c r="BF509" s="41" t="str">
        <f t="shared" si="453"/>
        <v>0,0305509700931703-0,0866585436919493i</v>
      </c>
      <c r="BG509" s="20">
        <f t="shared" si="454"/>
        <v>-20.734998688663211</v>
      </c>
      <c r="BH509" s="43">
        <f t="shared" si="455"/>
        <v>-70.5801914698133</v>
      </c>
      <c r="BI509" s="41" t="str">
        <f t="shared" si="460"/>
        <v>0,195610840680133+0,0791626765220207i</v>
      </c>
      <c r="BJ509" s="20">
        <f t="shared" si="456"/>
        <v>-13.513440830679572</v>
      </c>
      <c r="BK509" s="43">
        <f t="shared" si="461"/>
        <v>22.032919873128396</v>
      </c>
      <c r="BL509">
        <f t="shared" si="457"/>
        <v>-20.734998688663211</v>
      </c>
      <c r="BM509" s="43">
        <f t="shared" si="458"/>
        <v>-70.5801914698133</v>
      </c>
    </row>
    <row r="510" spans="14:65" x14ac:dyDescent="0.25">
      <c r="N510" s="9">
        <v>92</v>
      </c>
      <c r="O510" s="34">
        <f t="shared" si="459"/>
        <v>831763.77110267128</v>
      </c>
      <c r="P510" s="33" t="str">
        <f t="shared" si="411"/>
        <v>66,7780509511648</v>
      </c>
      <c r="Q510" s="4" t="str">
        <f t="shared" si="412"/>
        <v>1+20368,3547533128i</v>
      </c>
      <c r="R510" s="4">
        <f t="shared" si="424"/>
        <v>20368.354777860681</v>
      </c>
      <c r="S510" s="4">
        <f t="shared" si="425"/>
        <v>1.570747231027894</v>
      </c>
      <c r="T510" s="4" t="str">
        <f t="shared" si="413"/>
        <v>1+5,22612590563659i</v>
      </c>
      <c r="U510" s="4">
        <f t="shared" si="426"/>
        <v>5.3209390131409959</v>
      </c>
      <c r="V510" s="4">
        <f t="shared" si="427"/>
        <v>1.3817352830864666</v>
      </c>
      <c r="W510" t="str">
        <f t="shared" si="414"/>
        <v>1-11,368767445303i</v>
      </c>
      <c r="X510" s="4">
        <f t="shared" si="428"/>
        <v>11.412662845514243</v>
      </c>
      <c r="Y510" s="4">
        <f t="shared" si="429"/>
        <v>-1.4830618465608854</v>
      </c>
      <c r="Z510" t="str">
        <f t="shared" si="415"/>
        <v>0,308169029081063+2,23453514189602i</v>
      </c>
      <c r="AA510" s="4">
        <f t="shared" si="430"/>
        <v>2.2556851400080267</v>
      </c>
      <c r="AB510" s="4">
        <f t="shared" si="431"/>
        <v>1.4337489113145663</v>
      </c>
      <c r="AC510" s="47" t="str">
        <f t="shared" si="432"/>
        <v>-0,0882057062332127-0,00315645983880032i</v>
      </c>
      <c r="AD510" s="20">
        <f t="shared" si="433"/>
        <v>-21.084508432487553</v>
      </c>
      <c r="AE510" s="43">
        <f t="shared" si="434"/>
        <v>-177.95053295920863</v>
      </c>
      <c r="AF510" t="str">
        <f t="shared" si="416"/>
        <v>223,849857273222</v>
      </c>
      <c r="AG510" t="str">
        <f t="shared" si="417"/>
        <v>1+20630,0412811479i</v>
      </c>
      <c r="AH510">
        <f t="shared" si="435"/>
        <v>20630.041305384399</v>
      </c>
      <c r="AI510">
        <f t="shared" si="436"/>
        <v>1.5707478537944994</v>
      </c>
      <c r="AJ510" t="str">
        <f t="shared" si="418"/>
        <v>1+5,22612590563659i</v>
      </c>
      <c r="AK510">
        <f t="shared" si="437"/>
        <v>5.3209390131409959</v>
      </c>
      <c r="AL510">
        <f t="shared" si="438"/>
        <v>1.3817352830864666</v>
      </c>
      <c r="AM510" t="str">
        <f t="shared" si="419"/>
        <v>1-3,43505902464279i</v>
      </c>
      <c r="AN510">
        <f t="shared" si="439"/>
        <v>3.5776571248206377</v>
      </c>
      <c r="AO510">
        <f t="shared" si="440"/>
        <v>-1.2875099596408393</v>
      </c>
      <c r="AP510" s="41" t="str">
        <f t="shared" si="441"/>
        <v>0,0194442513128753-0,205641588375201i</v>
      </c>
      <c r="AQ510">
        <f t="shared" si="442"/>
        <v>-13.699125562814876</v>
      </c>
      <c r="AR510" s="43">
        <f t="shared" si="443"/>
        <v>-84.598509344967368</v>
      </c>
      <c r="AS510" t="str">
        <f t="shared" si="420"/>
        <v>-0,0000166666666666667</v>
      </c>
      <c r="AT510" t="str">
        <f t="shared" si="421"/>
        <v>0,0052418042833535i</v>
      </c>
      <c r="AU510">
        <f t="shared" si="444"/>
        <v>5.2418042833534996E-3</v>
      </c>
      <c r="AV510">
        <f t="shared" si="445"/>
        <v>1.5707963267948966</v>
      </c>
      <c r="AW510" t="str">
        <f t="shared" si="422"/>
        <v>1+3,43892631876386i</v>
      </c>
      <c r="AX510">
        <f t="shared" si="446"/>
        <v>3.5813704396343526</v>
      </c>
      <c r="AY510">
        <f t="shared" si="447"/>
        <v>1.2878117874480115</v>
      </c>
      <c r="AZ510" t="str">
        <f t="shared" si="423"/>
        <v>1+1149,74769924005i</v>
      </c>
      <c r="BA510">
        <f t="shared" si="448"/>
        <v>1149.748134117985</v>
      </c>
      <c r="BB510">
        <f t="shared" si="449"/>
        <v>1.569926570979336</v>
      </c>
      <c r="BC510" s="41" t="str">
        <f t="shared" si="450"/>
        <v>-0,284165320176099+0,980403165194479i</v>
      </c>
      <c r="BD510">
        <f t="shared" si="451"/>
        <v>0.17842834057908677</v>
      </c>
      <c r="BE510" s="43">
        <f t="shared" si="452"/>
        <v>106.16398643459171</v>
      </c>
      <c r="BF510" s="41" t="str">
        <f t="shared" si="453"/>
        <v>0,0281596059698889-0,0855801971585404i</v>
      </c>
      <c r="BG510" s="20">
        <f t="shared" si="454"/>
        <v>-20.906080091908468</v>
      </c>
      <c r="BH510" s="43">
        <f t="shared" si="455"/>
        <v>-71.786546524616924</v>
      </c>
      <c r="BI510" s="41" t="str">
        <f t="shared" si="460"/>
        <v>0,196086282238759+0,0774994133341404i</v>
      </c>
      <c r="BJ510" s="20">
        <f t="shared" si="456"/>
        <v>-13.520697222235807</v>
      </c>
      <c r="BK510" s="43">
        <f t="shared" si="461"/>
        <v>21.565477089624391</v>
      </c>
      <c r="BL510">
        <f t="shared" si="457"/>
        <v>-20.906080091908468</v>
      </c>
      <c r="BM510" s="43">
        <f t="shared" si="458"/>
        <v>-71.786546524616924</v>
      </c>
    </row>
    <row r="511" spans="14:65" x14ac:dyDescent="0.25">
      <c r="N511" s="9">
        <v>93</v>
      </c>
      <c r="O511" s="34">
        <f t="shared" si="459"/>
        <v>851138.03820237669</v>
      </c>
      <c r="P511" s="33" t="str">
        <f t="shared" si="411"/>
        <v>66,7780509511648</v>
      </c>
      <c r="Q511" s="4" t="str">
        <f t="shared" si="412"/>
        <v>1+20842,7946833534i</v>
      </c>
      <c r="R511" s="4">
        <f t="shared" si="424"/>
        <v>20842.794707342502</v>
      </c>
      <c r="S511" s="4">
        <f t="shared" si="425"/>
        <v>1.5707483485839886</v>
      </c>
      <c r="T511" s="4" t="str">
        <f t="shared" si="413"/>
        <v>1+5,34785801601483i</v>
      </c>
      <c r="U511" s="4">
        <f t="shared" si="426"/>
        <v>5.4405500971366925</v>
      </c>
      <c r="V511" s="4">
        <f t="shared" si="427"/>
        <v>1.3859403734821916</v>
      </c>
      <c r="W511" t="str">
        <f t="shared" si="414"/>
        <v>1-11,6335800576481i</v>
      </c>
      <c r="X511" s="4">
        <f t="shared" si="428"/>
        <v>11.676479990035848</v>
      </c>
      <c r="Y511" s="4">
        <f t="shared" si="429"/>
        <v>-1.4850490394504965</v>
      </c>
      <c r="Z511" t="str">
        <f t="shared" si="415"/>
        <v>0,27556403992501+2,28658415170728i</v>
      </c>
      <c r="AA511" s="4">
        <f t="shared" si="430"/>
        <v>2.30312887675412</v>
      </c>
      <c r="AB511" s="4">
        <f t="shared" si="431"/>
        <v>1.4508613155091741</v>
      </c>
      <c r="AC511" s="47" t="str">
        <f t="shared" si="432"/>
        <v>-0,0883526692635979-0,00184457012663567i</v>
      </c>
      <c r="AD511" s="20">
        <f t="shared" si="433"/>
        <v>-21.073713984872008</v>
      </c>
      <c r="AE511" s="43">
        <f t="shared" si="434"/>
        <v>-178.8039893616363</v>
      </c>
      <c r="AF511" t="str">
        <f t="shared" si="416"/>
        <v>223,849857273222</v>
      </c>
      <c r="AG511" t="str">
        <f t="shared" si="417"/>
        <v>1+21110,5766734613i</v>
      </c>
      <c r="AH511">
        <f t="shared" si="435"/>
        <v>21110.576697146105</v>
      </c>
      <c r="AI511">
        <f t="shared" si="436"/>
        <v>1.5707489571746953</v>
      </c>
      <c r="AJ511" t="str">
        <f t="shared" si="418"/>
        <v>1+5,34785801601483i</v>
      </c>
      <c r="AK511">
        <f t="shared" si="437"/>
        <v>5.4405500971366925</v>
      </c>
      <c r="AL511">
        <f t="shared" si="438"/>
        <v>1.3859403734821916</v>
      </c>
      <c r="AM511" t="str">
        <f t="shared" si="419"/>
        <v>1-3,51507182798772i</v>
      </c>
      <c r="AN511">
        <f t="shared" si="439"/>
        <v>3.6545492137762943</v>
      </c>
      <c r="AO511">
        <f t="shared" si="440"/>
        <v>-1.2936296530713882</v>
      </c>
      <c r="AP511" s="41" t="str">
        <f t="shared" si="441"/>
        <v>0,0194442276426191-0,209931903544475i</v>
      </c>
      <c r="AQ511">
        <f t="shared" si="442"/>
        <v>-13.521332946748213</v>
      </c>
      <c r="AR511" s="43">
        <f t="shared" si="443"/>
        <v>-84.708271237334145</v>
      </c>
      <c r="AS511" t="str">
        <f t="shared" si="420"/>
        <v>-0,0000166666666666667</v>
      </c>
      <c r="AT511" t="str">
        <f t="shared" si="421"/>
        <v>0,00536390159006288i</v>
      </c>
      <c r="AU511">
        <f t="shared" si="444"/>
        <v>5.3639015900628804E-3</v>
      </c>
      <c r="AV511">
        <f t="shared" si="445"/>
        <v>1.5707963267948966</v>
      </c>
      <c r="AW511" t="str">
        <f t="shared" si="422"/>
        <v>1+3,5190292029609i</v>
      </c>
      <c r="AX511">
        <f t="shared" si="446"/>
        <v>3.6583557141551486</v>
      </c>
      <c r="AY511">
        <f t="shared" si="447"/>
        <v>1.2939256501764187</v>
      </c>
      <c r="AZ511" t="str">
        <f t="shared" si="423"/>
        <v>1+1176,52876352326i</v>
      </c>
      <c r="BA511">
        <f t="shared" si="448"/>
        <v>1176.5291885021686</v>
      </c>
      <c r="BB511">
        <f t="shared" si="449"/>
        <v>1.5699463690291418</v>
      </c>
      <c r="BC511" s="41" t="str">
        <f t="shared" si="450"/>
        <v>-0,272331389665426+0,961449304100855i</v>
      </c>
      <c r="BD511">
        <f t="shared" si="451"/>
        <v>-6.3055361256407153E-3</v>
      </c>
      <c r="BE511" s="43">
        <f t="shared" si="452"/>
        <v>105.81482224842811</v>
      </c>
      <c r="BF511" s="41" t="str">
        <f t="shared" si="453"/>
        <v>0,0258346658658245-0,0844442780330172i</v>
      </c>
      <c r="BG511" s="20">
        <f t="shared" si="454"/>
        <v>-21.080019520997645</v>
      </c>
      <c r="BH511" s="43">
        <f t="shared" si="455"/>
        <v>-72.989167113208183</v>
      </c>
      <c r="BI511" s="41" t="str">
        <f t="shared" si="460"/>
        <v>0,196543609036518+0,0758656861631498i</v>
      </c>
      <c r="BJ511" s="20">
        <f t="shared" si="456"/>
        <v>-13.527638482873851</v>
      </c>
      <c r="BK511" s="43">
        <f t="shared" si="461"/>
        <v>21.106551011093973</v>
      </c>
      <c r="BL511">
        <f t="shared" si="457"/>
        <v>-21.080019520997645</v>
      </c>
      <c r="BM511" s="43">
        <f t="shared" si="458"/>
        <v>-72.989167113208183</v>
      </c>
    </row>
    <row r="512" spans="14:65" x14ac:dyDescent="0.25">
      <c r="N512" s="9">
        <v>94</v>
      </c>
      <c r="O512" s="34">
        <f t="shared" si="459"/>
        <v>870963.58995608077</v>
      </c>
      <c r="P512" s="33" t="str">
        <f t="shared" si="411"/>
        <v>66,7780509511648</v>
      </c>
      <c r="Q512" s="4" t="str">
        <f t="shared" si="412"/>
        <v>1+21328,2857390221i</v>
      </c>
      <c r="R512" s="4">
        <f t="shared" si="424"/>
        <v>21328.285762465144</v>
      </c>
      <c r="S512" s="4">
        <f t="shared" si="425"/>
        <v>1.5707494407014007</v>
      </c>
      <c r="T512" s="4" t="str">
        <f t="shared" si="413"/>
        <v>1+5,47242563150043i</v>
      </c>
      <c r="U512" s="4">
        <f t="shared" si="426"/>
        <v>5.5630425391419465</v>
      </c>
      <c r="V512" s="4">
        <f t="shared" si="427"/>
        <v>1.3900561442916941</v>
      </c>
      <c r="W512" t="str">
        <f t="shared" si="414"/>
        <v>1-11,9045609481284i</v>
      </c>
      <c r="X512" s="4">
        <f t="shared" si="428"/>
        <v>11.946487825620705</v>
      </c>
      <c r="Y512" s="4">
        <f t="shared" si="429"/>
        <v>-1.4869916545249324</v>
      </c>
      <c r="Z512" t="str">
        <f t="shared" si="415"/>
        <v>0,241422424970818+2,33984553870229i</v>
      </c>
      <c r="AA512" s="4">
        <f t="shared" si="430"/>
        <v>2.3522674023724006</v>
      </c>
      <c r="AB512" s="4">
        <f t="shared" si="431"/>
        <v>1.4679813608513068</v>
      </c>
      <c r="AC512" s="47" t="str">
        <f t="shared" si="432"/>
        <v>-0,0884577925110724-0,000524237250986406i</v>
      </c>
      <c r="AD512" s="20">
        <f t="shared" si="433"/>
        <v>-21.065125523679153</v>
      </c>
      <c r="AE512" s="43">
        <f t="shared" si="434"/>
        <v>-179.66044562668762</v>
      </c>
      <c r="AF512" t="str">
        <f t="shared" si="416"/>
        <v>223,849857273222</v>
      </c>
      <c r="AG512" t="str">
        <f t="shared" si="417"/>
        <v>1+21602,3051729585i</v>
      </c>
      <c r="AH512">
        <f t="shared" si="435"/>
        <v>21602.305196104175</v>
      </c>
      <c r="AI512">
        <f t="shared" si="436"/>
        <v>1.5707500354388919</v>
      </c>
      <c r="AJ512" t="str">
        <f t="shared" si="418"/>
        <v>1+5,47242563150043i</v>
      </c>
      <c r="AK512">
        <f t="shared" si="437"/>
        <v>5.5630425391419465</v>
      </c>
      <c r="AL512">
        <f t="shared" si="438"/>
        <v>1.3900561442916941</v>
      </c>
      <c r="AM512" t="str">
        <f t="shared" si="419"/>
        <v>1-3,59694836894334i</v>
      </c>
      <c r="AN512">
        <f t="shared" si="439"/>
        <v>3.7333681266175933</v>
      </c>
      <c r="AO512">
        <f t="shared" si="440"/>
        <v>-1.2996307060846111</v>
      </c>
      <c r="AP512" s="41" t="str">
        <f t="shared" si="441"/>
        <v>0,0194442050376997-0,214333527387685i</v>
      </c>
      <c r="AQ512">
        <f t="shared" si="442"/>
        <v>-13.34260158744997</v>
      </c>
      <c r="AR512" s="43">
        <f t="shared" si="443"/>
        <v>-84.81635173078611</v>
      </c>
      <c r="AS512" t="str">
        <f t="shared" si="420"/>
        <v>-0,0000166666666666667</v>
      </c>
      <c r="AT512" t="str">
        <f t="shared" si="421"/>
        <v>0,00548884290839493i</v>
      </c>
      <c r="AU512">
        <f t="shared" si="444"/>
        <v>5.4888429083949303E-3</v>
      </c>
      <c r="AV512">
        <f t="shared" si="445"/>
        <v>1.5707963267948966</v>
      </c>
      <c r="AW512" t="str">
        <f t="shared" si="422"/>
        <v>1+3,60099792302122i</v>
      </c>
      <c r="AX512">
        <f t="shared" si="446"/>
        <v>3.7372698647011213</v>
      </c>
      <c r="AY512">
        <f t="shared" si="447"/>
        <v>1.2999209425220954</v>
      </c>
      <c r="AZ512" t="str">
        <f t="shared" si="423"/>
        <v>1+1203,93363893009i</v>
      </c>
      <c r="BA512">
        <f t="shared" si="448"/>
        <v>1203.9340542353009</v>
      </c>
      <c r="BB512">
        <f t="shared" si="449"/>
        <v>1.5699657164209582</v>
      </c>
      <c r="BC512" s="41" t="str">
        <f t="shared" si="450"/>
        <v>-0,260952010039096+0,942724108842445i</v>
      </c>
      <c r="BD512">
        <f t="shared" si="451"/>
        <v>-0.19167623484532523</v>
      </c>
      <c r="BE512" s="43">
        <f t="shared" si="452"/>
        <v>105.47242582396946</v>
      </c>
      <c r="BF512" s="41" t="str">
        <f t="shared" si="453"/>
        <v>0,0235774498546438-0,0832544928507884i</v>
      </c>
      <c r="BG512" s="20">
        <f t="shared" si="454"/>
        <v>-21.256801758524478</v>
      </c>
      <c r="BH512" s="43">
        <f t="shared" si="455"/>
        <v>-74.188019802718159</v>
      </c>
      <c r="BI512" s="41" t="str">
        <f t="shared" si="460"/>
        <v>0,196983379213413+0,0742612856569013i</v>
      </c>
      <c r="BJ512" s="20">
        <f t="shared" si="456"/>
        <v>-13.534277822295298</v>
      </c>
      <c r="BK512" s="43">
        <f t="shared" si="461"/>
        <v>20.656074093183378</v>
      </c>
      <c r="BL512">
        <f t="shared" si="457"/>
        <v>-21.256801758524478</v>
      </c>
      <c r="BM512" s="43">
        <f t="shared" si="458"/>
        <v>-74.188019802718159</v>
      </c>
    </row>
    <row r="513" spans="14:65" x14ac:dyDescent="0.25">
      <c r="N513" s="9">
        <v>95</v>
      </c>
      <c r="O513" s="34">
        <f t="shared" si="459"/>
        <v>891250.93813374708</v>
      </c>
      <c r="P513" s="33" t="str">
        <f t="shared" si="411"/>
        <v>66,7780509511648</v>
      </c>
      <c r="Q513" s="4" t="str">
        <f t="shared" si="412"/>
        <v>1+21825,0853341029i</v>
      </c>
      <c r="R513" s="4">
        <f t="shared" si="424"/>
        <v>21825.085357012314</v>
      </c>
      <c r="S513" s="4">
        <f t="shared" si="425"/>
        <v>1.5707505079591857</v>
      </c>
      <c r="T513" s="4" t="str">
        <f t="shared" si="413"/>
        <v>1+5,59989479949198i</v>
      </c>
      <c r="U513" s="4">
        <f t="shared" si="426"/>
        <v>5.688481499080166</v>
      </c>
      <c r="V513" s="4">
        <f t="shared" si="427"/>
        <v>1.3940842197229051</v>
      </c>
      <c r="W513" t="str">
        <f t="shared" si="414"/>
        <v>1-12,181853794399i</v>
      </c>
      <c r="X513" s="4">
        <f t="shared" si="428"/>
        <v>12.222829536081788</v>
      </c>
      <c r="Y513" s="4">
        <f t="shared" si="429"/>
        <v>-1.4888906631042338</v>
      </c>
      <c r="Z513" t="str">
        <f t="shared" si="415"/>
        <v>0,205671765275718+2,39434754277344i</v>
      </c>
      <c r="AA513" s="4">
        <f t="shared" si="430"/>
        <v>2.4031647947273282</v>
      </c>
      <c r="AB513" s="4">
        <f t="shared" si="431"/>
        <v>1.485107790916445</v>
      </c>
      <c r="AC513" s="47" t="str">
        <f t="shared" si="432"/>
        <v>-0,0885206242612624+0,000803088984447376i</v>
      </c>
      <c r="AD513" s="20">
        <f t="shared" si="433"/>
        <v>-21.058753199039181</v>
      </c>
      <c r="AE513" s="43">
        <f t="shared" si="434"/>
        <v>179.4802076080029</v>
      </c>
      <c r="AF513" t="str">
        <f t="shared" si="416"/>
        <v>223,849857273222</v>
      </c>
      <c r="AG513" t="str">
        <f t="shared" si="417"/>
        <v>1+22105,4875005987i</v>
      </c>
      <c r="AH513">
        <f t="shared" si="435"/>
        <v>22105.487523217518</v>
      </c>
      <c r="AI513">
        <f t="shared" si="436"/>
        <v>1.5707510891587988</v>
      </c>
      <c r="AJ513" t="str">
        <f t="shared" si="418"/>
        <v>1+5,59989479949198i</v>
      </c>
      <c r="AK513">
        <f t="shared" si="437"/>
        <v>5.688481499080166</v>
      </c>
      <c r="AL513">
        <f t="shared" si="438"/>
        <v>1.3940842197229051</v>
      </c>
      <c r="AM513" t="str">
        <f t="shared" si="419"/>
        <v>1-3,68073205953541i</v>
      </c>
      <c r="AN513">
        <f t="shared" si="439"/>
        <v>3.814156327956653</v>
      </c>
      <c r="AO513">
        <f t="shared" si="440"/>
        <v>-1.3055145709265643</v>
      </c>
      <c r="AP513" s="41" t="str">
        <f t="shared" si="441"/>
        <v>0,0194441834501694-0,218848793704061i</v>
      </c>
      <c r="AQ513">
        <f t="shared" si="442"/>
        <v>-13.162968730271521</v>
      </c>
      <c r="AR513" s="43">
        <f t="shared" si="443"/>
        <v>-84.922741005390165</v>
      </c>
      <c r="AS513" t="str">
        <f t="shared" si="420"/>
        <v>-0,0000166666666666667</v>
      </c>
      <c r="AT513" t="str">
        <f t="shared" si="421"/>
        <v>0,00561669448389046i</v>
      </c>
      <c r="AU513">
        <f t="shared" si="444"/>
        <v>5.61669448389046E-3</v>
      </c>
      <c r="AV513">
        <f t="shared" si="445"/>
        <v>1.5707963267948966</v>
      </c>
      <c r="AW513" t="str">
        <f t="shared" si="422"/>
        <v>1+3,68487593984517i</v>
      </c>
      <c r="AX513">
        <f t="shared" si="446"/>
        <v>3.8181554043870225</v>
      </c>
      <c r="AY513">
        <f t="shared" si="447"/>
        <v>1.3057991186522675</v>
      </c>
      <c r="AZ513" t="str">
        <f t="shared" si="423"/>
        <v>1+1231,97685588823i</v>
      </c>
      <c r="BA513">
        <f t="shared" si="448"/>
        <v>1231.9772617399431</v>
      </c>
      <c r="BB513">
        <f t="shared" si="449"/>
        <v>1.5699846234129704</v>
      </c>
      <c r="BC513" s="41" t="str">
        <f t="shared" si="450"/>
        <v>-0,250012868372601+0,924233747672187i</v>
      </c>
      <c r="BD513">
        <f t="shared" si="451"/>
        <v>-0.37765920671542047</v>
      </c>
      <c r="BE513" s="43">
        <f t="shared" si="452"/>
        <v>105.13671443132158</v>
      </c>
      <c r="BF513" s="41" t="str">
        <f t="shared" si="453"/>
        <v>0,0213890532398814-0,0820145308878282i</v>
      </c>
      <c r="BG513" s="20">
        <f t="shared" si="454"/>
        <v>-21.436412405754602</v>
      </c>
      <c r="BH513" s="43">
        <f t="shared" si="455"/>
        <v>-75.383077960675507</v>
      </c>
      <c r="BI513" s="41" t="str">
        <f t="shared" si="460"/>
        <v>0,197406144701102+0,0726859851944115i</v>
      </c>
      <c r="BJ513" s="20">
        <f t="shared" si="456"/>
        <v>-13.54062793698693</v>
      </c>
      <c r="BK513" s="43">
        <f t="shared" si="461"/>
        <v>20.213973425931407</v>
      </c>
      <c r="BL513">
        <f t="shared" si="457"/>
        <v>-21.436412405754602</v>
      </c>
      <c r="BM513" s="43">
        <f t="shared" si="458"/>
        <v>-75.383077960675507</v>
      </c>
    </row>
    <row r="514" spans="14:65" x14ac:dyDescent="0.25">
      <c r="N514" s="9">
        <v>96</v>
      </c>
      <c r="O514" s="34">
        <f t="shared" si="459"/>
        <v>912010.83935591124</v>
      </c>
      <c r="P514" s="33" t="str">
        <f t="shared" si="411"/>
        <v>66,7780509511648</v>
      </c>
      <c r="Q514" s="4" t="str">
        <f t="shared" si="412"/>
        <v>1+22333,4568783169i</v>
      </c>
      <c r="R514" s="4">
        <f t="shared" si="424"/>
        <v>22333.456900704834</v>
      </c>
      <c r="S514" s="4">
        <f t="shared" si="425"/>
        <v>1.5707515509232177</v>
      </c>
      <c r="T514" s="4" t="str">
        <f t="shared" si="413"/>
        <v>1+5,73033310582958i</v>
      </c>
      <c r="U514" s="4">
        <f t="shared" si="426"/>
        <v>5.8169336856944209</v>
      </c>
      <c r="V514" s="4">
        <f t="shared" si="427"/>
        <v>1.398026212399994</v>
      </c>
      <c r="W514" t="str">
        <f t="shared" si="414"/>
        <v>1-12,4656056207972i</v>
      </c>
      <c r="X514" s="4">
        <f t="shared" si="428"/>
        <v>12.505651662078661</v>
      </c>
      <c r="Y514" s="4">
        <f t="shared" si="429"/>
        <v>-1.4907470172512498</v>
      </c>
      <c r="Z514" t="str">
        <f t="shared" si="415"/>
        <v>0,168236228897328+2,4501190616047i</v>
      </c>
      <c r="AA514" s="4">
        <f t="shared" si="430"/>
        <v>2.4558881987485282</v>
      </c>
      <c r="AB514" s="4">
        <f t="shared" si="431"/>
        <v>1.502239424367964</v>
      </c>
      <c r="AC514" s="47" t="str">
        <f t="shared" si="432"/>
        <v>-0,0885407716347479+0,00213594027398264i</v>
      </c>
      <c r="AD514" s="20">
        <f t="shared" si="433"/>
        <v>-21.054607272978394</v>
      </c>
      <c r="AE514" s="43">
        <f t="shared" si="434"/>
        <v>178.61807584299157</v>
      </c>
      <c r="AF514" t="str">
        <f t="shared" si="416"/>
        <v>223,849857273222</v>
      </c>
      <c r="AG514" t="str">
        <f t="shared" si="417"/>
        <v>1+22620,3904503125i</v>
      </c>
      <c r="AH514">
        <f t="shared" si="435"/>
        <v>22620.390472416449</v>
      </c>
      <c r="AI514">
        <f t="shared" si="436"/>
        <v>1.5707521188931124</v>
      </c>
      <c r="AJ514" t="str">
        <f t="shared" si="418"/>
        <v>1+5,73033310582958i</v>
      </c>
      <c r="AK514">
        <f t="shared" si="437"/>
        <v>5.8169336856944209</v>
      </c>
      <c r="AL514">
        <f t="shared" si="438"/>
        <v>1.398026212399994</v>
      </c>
      <c r="AM514" t="str">
        <f t="shared" si="419"/>
        <v>1-3,76646732298569i</v>
      </c>
      <c r="AN514">
        <f t="shared" si="439"/>
        <v>3.8969572867968405</v>
      </c>
      <c r="AO514">
        <f t="shared" si="440"/>
        <v>-1.3112827370574835</v>
      </c>
      <c r="AP514" s="41" t="str">
        <f t="shared" si="441"/>
        <v>0,0194441628342379-0,223480096547577i</v>
      </c>
      <c r="AQ514">
        <f t="shared" si="442"/>
        <v>-12.982470343508176</v>
      </c>
      <c r="AR514" s="43">
        <f t="shared" si="443"/>
        <v>-85.027432036383658</v>
      </c>
      <c r="AS514" t="str">
        <f t="shared" si="420"/>
        <v>-0,0000166666666666667</v>
      </c>
      <c r="AT514" t="str">
        <f t="shared" si="421"/>
        <v>0,00574752410514707i</v>
      </c>
      <c r="AU514">
        <f t="shared" si="444"/>
        <v>5.7475241051470703E-3</v>
      </c>
      <c r="AV514">
        <f t="shared" si="445"/>
        <v>1.5707963267948966</v>
      </c>
      <c r="AW514" t="str">
        <f t="shared" si="422"/>
        <v>1+3,77070772666752i</v>
      </c>
      <c r="AX514">
        <f t="shared" si="446"/>
        <v>3.9010558519393363</v>
      </c>
      <c r="AY514">
        <f t="shared" si="447"/>
        <v>1.3115616697343411</v>
      </c>
      <c r="AZ514" t="str">
        <f t="shared" si="423"/>
        <v>1+1260,67328328251i</v>
      </c>
      <c r="BA514">
        <f t="shared" si="448"/>
        <v>1260.6736798959134</v>
      </c>
      <c r="BB514">
        <f t="shared" si="449"/>
        <v>1.570003100029862</v>
      </c>
      <c r="BC514" s="41" t="str">
        <f t="shared" si="450"/>
        <v>-0,239499840200822+0,905983697331307i</v>
      </c>
      <c r="BD514">
        <f t="shared" si="451"/>
        <v>-0.56423068318995728</v>
      </c>
      <c r="BE514" s="43">
        <f t="shared" si="452"/>
        <v>104.80760320725774</v>
      </c>
      <c r="BF514" s="41" t="str">
        <f t="shared" si="453"/>
        <v>0,019270373591078-0,0807280530045131i</v>
      </c>
      <c r="BG514" s="20">
        <f t="shared" si="454"/>
        <v>-21.618837956168356</v>
      </c>
      <c r="BH514" s="43">
        <f t="shared" si="455"/>
        <v>-76.574320949750671</v>
      </c>
      <c r="BI514" s="41" t="str">
        <f t="shared" si="460"/>
        <v>0,197812450258493+0,0711395419472838i</v>
      </c>
      <c r="BJ514" s="20">
        <f t="shared" si="456"/>
        <v>-13.546701026698116</v>
      </c>
      <c r="BK514" s="43">
        <f t="shared" si="461"/>
        <v>19.78017117087402</v>
      </c>
      <c r="BL514">
        <f t="shared" si="457"/>
        <v>-21.618837956168356</v>
      </c>
      <c r="BM514" s="43">
        <f t="shared" si="458"/>
        <v>-76.574320949750671</v>
      </c>
    </row>
    <row r="515" spans="14:65" x14ac:dyDescent="0.25">
      <c r="N515" s="9">
        <v>97</v>
      </c>
      <c r="O515" s="34">
        <f t="shared" si="459"/>
        <v>933254.30079699249</v>
      </c>
      <c r="P515" s="33" t="str">
        <f t="shared" si="411"/>
        <v>66,7780509511648</v>
      </c>
      <c r="Q515" s="4" t="str">
        <f t="shared" si="412"/>
        <v>1+22853,6699169861i</v>
      </c>
      <c r="R515" s="4">
        <f t="shared" si="424"/>
        <v>22853.669938864419</v>
      </c>
      <c r="S515" s="4">
        <f t="shared" si="425"/>
        <v>1.5707525701464899</v>
      </c>
      <c r="T515" s="4" t="str">
        <f t="shared" si="413"/>
        <v>1+5,86380971062982i</v>
      </c>
      <c r="U515" s="4">
        <f t="shared" si="426"/>
        <v>5.9484673927387863</v>
      </c>
      <c r="V515" s="4">
        <f t="shared" si="427"/>
        <v>1.4018837221295797</v>
      </c>
      <c r="W515" t="str">
        <f t="shared" si="414"/>
        <v>1-12,7559668762974i</v>
      </c>
      <c r="X515" s="4">
        <f t="shared" si="428"/>
        <v>12.795104178911417</v>
      </c>
      <c r="Y515" s="4">
        <f t="shared" si="429"/>
        <v>-1.4925616500242795</v>
      </c>
      <c r="Z515" t="str">
        <f t="shared" si="415"/>
        <v>0,129036410043918+2,50718966599359i</v>
      </c>
      <c r="AA515" s="4">
        <f t="shared" si="430"/>
        <v>2.5105079996650224</v>
      </c>
      <c r="AB515" s="4">
        <f t="shared" si="431"/>
        <v>1.5193751432643399</v>
      </c>
      <c r="AC515" s="47" t="str">
        <f t="shared" si="432"/>
        <v>-0,0885179008710139+0,00347283155151646i</v>
      </c>
      <c r="AD515" s="20">
        <f t="shared" si="433"/>
        <v>-21.052698193446577</v>
      </c>
      <c r="AE515" s="43">
        <f t="shared" si="434"/>
        <v>177.75326130178996</v>
      </c>
      <c r="AF515" t="str">
        <f t="shared" si="416"/>
        <v>223,849857273222</v>
      </c>
      <c r="AG515" t="str">
        <f t="shared" si="417"/>
        <v>1+23147,2870304593i</v>
      </c>
      <c r="AH515">
        <f t="shared" si="435"/>
        <v>23147.287052060103</v>
      </c>
      <c r="AI515">
        <f t="shared" si="436"/>
        <v>1.5707531251878115</v>
      </c>
      <c r="AJ515" t="str">
        <f t="shared" si="418"/>
        <v>1+5,86380971062982i</v>
      </c>
      <c r="AK515">
        <f t="shared" si="437"/>
        <v>5.9484673927387863</v>
      </c>
      <c r="AL515">
        <f t="shared" si="438"/>
        <v>1.4018837221295797</v>
      </c>
      <c r="AM515" t="str">
        <f t="shared" si="419"/>
        <v>1-3,85419961726571i</v>
      </c>
      <c r="AN515">
        <f t="shared" si="439"/>
        <v>3.9818155017191779</v>
      </c>
      <c r="AO515">
        <f t="shared" si="440"/>
        <v>-1.3169367268735437</v>
      </c>
      <c r="AP515" s="41" t="str">
        <f t="shared" si="441"/>
        <v>0,0194441431461762-0,228229891496309i</v>
      </c>
      <c r="AQ515">
        <f t="shared" si="442"/>
        <v>-12.801141145608026</v>
      </c>
      <c r="AR515" s="43">
        <f t="shared" si="443"/>
        <v>-85.130420419757144</v>
      </c>
      <c r="AS515" t="str">
        <f t="shared" si="420"/>
        <v>-0,0000166666666666667</v>
      </c>
      <c r="AT515" t="str">
        <f t="shared" si="421"/>
        <v>0,00588140113976171i</v>
      </c>
      <c r="AU515">
        <f t="shared" si="444"/>
        <v>5.8814011397617097E-3</v>
      </c>
      <c r="AV515">
        <f t="shared" si="445"/>
        <v>1.5707963267948966</v>
      </c>
      <c r="AW515" t="str">
        <f t="shared" si="422"/>
        <v>1+3,85853879263777i</v>
      </c>
      <c r="AX515">
        <f t="shared" si="446"/>
        <v>3.9860157569044476</v>
      </c>
      <c r="AY515">
        <f t="shared" si="447"/>
        <v>1.3172101196680246</v>
      </c>
      <c r="AZ515" t="str">
        <f t="shared" si="423"/>
        <v>1+1290,03813633856i</v>
      </c>
      <c r="BA515">
        <f t="shared" si="448"/>
        <v>1290.0385239239426</v>
      </c>
      <c r="BB515">
        <f t="shared" si="449"/>
        <v>1.570021156068129</v>
      </c>
      <c r="BC515" s="41" t="str">
        <f t="shared" si="450"/>
        <v>-0,229399011464375+0,887978776586594i</v>
      </c>
      <c r="BD515">
        <f t="shared" si="451"/>
        <v>-0.75136766508652397</v>
      </c>
      <c r="BE515" s="43">
        <f t="shared" si="452"/>
        <v>104.48500540005411</v>
      </c>
      <c r="BF515" s="41" t="str">
        <f t="shared" si="453"/>
        <v>0,0172221182443052-0,0793986814463565i</v>
      </c>
      <c r="BG515" s="20">
        <f t="shared" si="454"/>
        <v>-21.8040658585331</v>
      </c>
      <c r="BH515" s="43">
        <f t="shared" si="455"/>
        <v>-77.761733298155946</v>
      </c>
      <c r="BI515" s="41" t="str">
        <f t="shared" si="460"/>
        <v>0,198202832614879+0,069621697938591i</v>
      </c>
      <c r="BJ515" s="20">
        <f t="shared" si="456"/>
        <v>-13.552508810694546</v>
      </c>
      <c r="BK515" s="43">
        <f t="shared" si="461"/>
        <v>19.354584980296966</v>
      </c>
      <c r="BL515">
        <f t="shared" si="457"/>
        <v>-21.8040658585331</v>
      </c>
      <c r="BM515" s="43">
        <f t="shared" si="458"/>
        <v>-77.761733298155946</v>
      </c>
    </row>
    <row r="516" spans="14:65" x14ac:dyDescent="0.25">
      <c r="N516" s="9">
        <v>98</v>
      </c>
      <c r="O516" s="34">
        <f t="shared" si="459"/>
        <v>954992.58602143743</v>
      </c>
      <c r="P516" s="33" t="str">
        <f t="shared" si="411"/>
        <v>66,7780509511648</v>
      </c>
      <c r="Q516" s="4" t="str">
        <f t="shared" si="412"/>
        <v>1+23386,0002739494i</v>
      </c>
      <c r="R516" s="4">
        <f t="shared" si="424"/>
        <v>23386.000295329715</v>
      </c>
      <c r="S516" s="4">
        <f t="shared" si="425"/>
        <v>1.5707535661694081</v>
      </c>
      <c r="T516" s="4" t="str">
        <f t="shared" si="413"/>
        <v>1+6,00039538495533i</v>
      </c>
      <c r="U516" s="4">
        <f t="shared" si="426"/>
        <v>6.0831525359630119</v>
      </c>
      <c r="V516" s="4">
        <f t="shared" si="427"/>
        <v>1.4056583347750333</v>
      </c>
      <c r="W516" t="str">
        <f t="shared" si="414"/>
        <v>1-13,0530915142805i</v>
      </c>
      <c r="X516" s="4">
        <f t="shared" si="428"/>
        <v>13.091340576128236</v>
      </c>
      <c r="Y516" s="4">
        <f t="shared" si="429"/>
        <v>-1.4943354757358427</v>
      </c>
      <c r="Z516" t="str">
        <f t="shared" si="415"/>
        <v>0,08798916064409+2,56558961552997i</v>
      </c>
      <c r="AA516" s="4">
        <f t="shared" si="430"/>
        <v>2.567098005083964</v>
      </c>
      <c r="AB516" s="4">
        <f t="shared" si="431"/>
        <v>1.5365138809204011</v>
      </c>
      <c r="AC516" s="47" t="str">
        <f t="shared" si="432"/>
        <v>-0,088451737664128+0,00481226266960911i</v>
      </c>
      <c r="AD516" s="20">
        <f t="shared" si="433"/>
        <v>-21.053036658814641</v>
      </c>
      <c r="AE516" s="43">
        <f t="shared" si="434"/>
        <v>176.88586354702306</v>
      </c>
      <c r="AF516" t="str">
        <f t="shared" si="416"/>
        <v>223,849857273222</v>
      </c>
      <c r="AG516" t="str">
        <f t="shared" si="417"/>
        <v>1+23686,4566085801i</v>
      </c>
      <c r="AH516">
        <f t="shared" si="435"/>
        <v>23686.456629689208</v>
      </c>
      <c r="AI516">
        <f t="shared" si="436"/>
        <v>1.5707541085764467</v>
      </c>
      <c r="AJ516" t="str">
        <f t="shared" si="418"/>
        <v>1+6,00039538495533i</v>
      </c>
      <c r="AK516">
        <f t="shared" si="437"/>
        <v>6.0831525359630119</v>
      </c>
      <c r="AL516">
        <f t="shared" si="438"/>
        <v>1.4056583347750333</v>
      </c>
      <c r="AM516" t="str">
        <f t="shared" si="419"/>
        <v>1-3,94397545919917i</v>
      </c>
      <c r="AN516">
        <f t="shared" si="439"/>
        <v>4.0687765265206322</v>
      </c>
      <c r="AO516">
        <f t="shared" si="440"/>
        <v>-1.322478091639657</v>
      </c>
      <c r="AP516" s="41" t="str">
        <f t="shared" si="441"/>
        <v>0,0194441243442233-0,233100696954417i</v>
      </c>
      <c r="AQ516">
        <f t="shared" si="442"/>
        <v>-12.619014633260919</v>
      </c>
      <c r="AR516" s="43">
        <f t="shared" si="443"/>
        <v>-85.231704203735163</v>
      </c>
      <c r="AS516" t="str">
        <f t="shared" si="420"/>
        <v>-0,0000166666666666667</v>
      </c>
      <c r="AT516" t="str">
        <f t="shared" si="421"/>
        <v>0,0060183965711102i</v>
      </c>
      <c r="AU516">
        <f t="shared" si="444"/>
        <v>6.0183965711101996E-3</v>
      </c>
      <c r="AV516">
        <f t="shared" si="445"/>
        <v>1.5707963267948966</v>
      </c>
      <c r="AW516" t="str">
        <f t="shared" si="422"/>
        <v>1+3,94841570694967i</v>
      </c>
      <c r="AX516">
        <f t="shared" si="446"/>
        <v>4.0730807253093895</v>
      </c>
      <c r="AY516">
        <f t="shared" si="447"/>
        <v>1.3227460210283795</v>
      </c>
      <c r="AZ516" t="str">
        <f t="shared" si="423"/>
        <v>1+1320,08698469017i</v>
      </c>
      <c r="BA516">
        <f t="shared" si="448"/>
        <v>1320.0873634530351</v>
      </c>
      <c r="BB516">
        <f t="shared" si="449"/>
        <v>1.5700388011012749</v>
      </c>
      <c r="BC516" s="41" t="str">
        <f t="shared" si="450"/>
        <v>-0,219696697842402+0,87022317940652i</v>
      </c>
      <c r="BD516">
        <f t="shared" si="451"/>
        <v>-0.93904791049877634</v>
      </c>
      <c r="BE516" s="43">
        <f t="shared" si="452"/>
        <v>104.16883260223382</v>
      </c>
      <c r="BF516" s="41" t="str">
        <f t="shared" si="453"/>
        <v>0,0152448121627448-0,0780299905917723i</v>
      </c>
      <c r="BG516" s="20">
        <f t="shared" si="454"/>
        <v>-21.992084569313413</v>
      </c>
      <c r="BH516" s="43">
        <f t="shared" si="455"/>
        <v>-78.945303850743116</v>
      </c>
      <c r="BI516" s="41" t="str">
        <f t="shared" si="460"/>
        <v>0,198577819714686+0,0681321810932536i</v>
      </c>
      <c r="BJ516" s="20">
        <f t="shared" si="456"/>
        <v>-13.558062543759677</v>
      </c>
      <c r="BK516" s="43">
        <f t="shared" si="461"/>
        <v>18.937128398498647</v>
      </c>
      <c r="BL516">
        <f t="shared" si="457"/>
        <v>-21.992084569313413</v>
      </c>
      <c r="BM516" s="43">
        <f t="shared" si="458"/>
        <v>-78.945303850743116</v>
      </c>
    </row>
    <row r="517" spans="14:65" x14ac:dyDescent="0.25">
      <c r="N517" s="9">
        <v>99</v>
      </c>
      <c r="O517" s="34">
        <f t="shared" si="459"/>
        <v>977237.22095581202</v>
      </c>
      <c r="P517" s="33" t="str">
        <f t="shared" si="411"/>
        <v>66,7780509511648</v>
      </c>
      <c r="Q517" s="4" t="str">
        <f t="shared" si="412"/>
        <v>1+23930,7301978082i</v>
      </c>
      <c r="R517" s="4">
        <f t="shared" si="424"/>
        <v>23930.730218701836</v>
      </c>
      <c r="S517" s="4">
        <f t="shared" si="425"/>
        <v>1.5707545395200766</v>
      </c>
      <c r="T517" s="4" t="str">
        <f t="shared" si="413"/>
        <v>1+6,14016254833857i</v>
      </c>
      <c r="U517" s="4">
        <f t="shared" si="426"/>
        <v>6.2210606909127319</v>
      </c>
      <c r="V517" s="4">
        <f t="shared" si="427"/>
        <v>1.409351621233039</v>
      </c>
      <c r="W517" t="str">
        <f t="shared" si="414"/>
        <v>1-13,3571370741626i</v>
      </c>
      <c r="X517" s="4">
        <f t="shared" si="428"/>
        <v>13.394517938991646</v>
      </c>
      <c r="Y517" s="4">
        <f t="shared" si="429"/>
        <v>-1.4960693902167235</v>
      </c>
      <c r="Z517" t="str">
        <f t="shared" si="415"/>
        <v>0,045007413978563+2,62534987464009i</v>
      </c>
      <c r="AA517" s="4">
        <f t="shared" si="430"/>
        <v>2.6257356362714384</v>
      </c>
      <c r="AB517" s="4">
        <f t="shared" si="431"/>
        <v>1.5536546094094832</v>
      </c>
      <c r="AC517" s="47" t="str">
        <f t="shared" si="432"/>
        <v>-0,088342067562533+0,00615272003689593i</v>
      </c>
      <c r="AD517" s="20">
        <f t="shared" si="433"/>
        <v>-21.05563367256395</v>
      </c>
      <c r="AE517" s="43">
        <f t="shared" si="434"/>
        <v>176.01598012271916</v>
      </c>
      <c r="AF517" t="str">
        <f t="shared" si="416"/>
        <v>223,849857273222</v>
      </c>
      <c r="AG517" t="str">
        <f t="shared" si="417"/>
        <v>1+24238,1850595222i</v>
      </c>
      <c r="AH517">
        <f t="shared" si="435"/>
        <v>24238.185080150804</v>
      </c>
      <c r="AI517">
        <f t="shared" si="436"/>
        <v>1.5707550695804238</v>
      </c>
      <c r="AJ517" t="str">
        <f t="shared" si="418"/>
        <v>1+6,14016254833857i</v>
      </c>
      <c r="AK517">
        <f t="shared" si="437"/>
        <v>6.2210606909127319</v>
      </c>
      <c r="AL517">
        <f t="shared" si="438"/>
        <v>1.409351621233039</v>
      </c>
      <c r="AM517" t="str">
        <f t="shared" si="419"/>
        <v>1-4,03584244912578i</v>
      </c>
      <c r="AN517">
        <f t="shared" si="439"/>
        <v>4.1578869963198342</v>
      </c>
      <c r="AO517">
        <f t="shared" si="440"/>
        <v>-1.3279084076306409</v>
      </c>
      <c r="AP517" s="41" t="str">
        <f t="shared" si="441"/>
        <v>0,0194441063884976-0,23809509548743i</v>
      </c>
      <c r="AQ517">
        <f t="shared" si="442"/>
        <v>-12.436123110204791</v>
      </c>
      <c r="AR517" s="43">
        <f t="shared" si="443"/>
        <v>-85.331283726336366</v>
      </c>
      <c r="AS517" t="str">
        <f t="shared" si="420"/>
        <v>-0,0000166666666666667</v>
      </c>
      <c r="AT517" t="str">
        <f t="shared" si="421"/>
        <v>0,00615858303598359i</v>
      </c>
      <c r="AU517">
        <f t="shared" si="444"/>
        <v>6.1585830359835898E-3</v>
      </c>
      <c r="AV517">
        <f t="shared" si="445"/>
        <v>1.5707963267948966</v>
      </c>
      <c r="AW517" t="str">
        <f t="shared" si="422"/>
        <v>1+4,04038612353286i</v>
      </c>
      <c r="AX517">
        <f t="shared" si="446"/>
        <v>4.1622974457908333</v>
      </c>
      <c r="AY517">
        <f t="shared" si="447"/>
        <v>1.3281709512170854</v>
      </c>
      <c r="AZ517" t="str">
        <f t="shared" si="423"/>
        <v>1+1350,83576063448i</v>
      </c>
      <c r="BA517">
        <f t="shared" si="448"/>
        <v>1350.8361307756518</v>
      </c>
      <c r="BB517">
        <f t="shared" si="449"/>
        <v>1.5700560444848861</v>
      </c>
      <c r="BC517" s="41" t="str">
        <f t="shared" si="450"/>
        <v>-0,210379461625714+0,852720507644083i</v>
      </c>
      <c r="BD517">
        <f t="shared" si="451"/>
        <v>-1.1272499217172323</v>
      </c>
      <c r="BE517" s="43">
        <f t="shared" si="452"/>
        <v>103.85899497137325</v>
      </c>
      <c r="BF517" s="41" t="str">
        <f t="shared" si="453"/>
        <v>0,0133388060594543-0,0766254986271469i</v>
      </c>
      <c r="BG517" s="20">
        <f t="shared" si="454"/>
        <v>-22.182883594281186</v>
      </c>
      <c r="BH517" s="43">
        <f t="shared" si="455"/>
        <v>-80.125024905907608</v>
      </c>
      <c r="BI517" s="41" t="str">
        <f t="shared" si="460"/>
        <v>0,198937930057802+0,0666707062746537i</v>
      </c>
      <c r="BJ517" s="20">
        <f t="shared" si="456"/>
        <v>-13.56337303192204</v>
      </c>
      <c r="BK517" s="43">
        <f t="shared" si="461"/>
        <v>18.527711245036926</v>
      </c>
      <c r="BL517">
        <f t="shared" si="457"/>
        <v>-22.182883594281186</v>
      </c>
      <c r="BM517" s="43">
        <f t="shared" si="458"/>
        <v>-80.125024905907608</v>
      </c>
    </row>
    <row r="518" spans="14:65" x14ac:dyDescent="0.25">
      <c r="N518" s="9">
        <v>100</v>
      </c>
      <c r="O518" s="34">
        <f t="shared" si="459"/>
        <v>1000000</v>
      </c>
      <c r="P518" s="33" t="str">
        <f t="shared" si="411"/>
        <v>66,7780509511648</v>
      </c>
      <c r="Q518" s="4" t="str">
        <f t="shared" si="412"/>
        <v>1+24488,1485115785i</v>
      </c>
      <c r="R518" s="4">
        <f t="shared" si="424"/>
        <v>24488.148531996536</v>
      </c>
      <c r="S518" s="4">
        <f t="shared" si="425"/>
        <v>1.5707554907145791</v>
      </c>
      <c r="T518" s="4" t="str">
        <f t="shared" si="413"/>
        <v>1+6,28318530717959i</v>
      </c>
      <c r="U518" s="4">
        <f t="shared" si="426"/>
        <v>6.362265131567332</v>
      </c>
      <c r="V518" s="4">
        <f t="shared" si="427"/>
        <v>1.4129651365067379</v>
      </c>
      <c r="W518" t="str">
        <f t="shared" si="414"/>
        <v>1-13,668264764924i</v>
      </c>
      <c r="X518" s="4">
        <f t="shared" si="428"/>
        <v>13.704797031844834</v>
      </c>
      <c r="Y518" s="4">
        <f t="shared" si="429"/>
        <v>-1.4977642710844508</v>
      </c>
      <c r="Z518" t="str">
        <f t="shared" si="415"/>
        <v>2,68650212900436i</v>
      </c>
      <c r="AA518" s="4">
        <f t="shared" si="430"/>
        <v>2.68650212900436</v>
      </c>
      <c r="AB518" s="4">
        <f t="shared" si="431"/>
        <v>1.5707963267948966</v>
      </c>
      <c r="AC518" s="47" t="str">
        <f t="shared" si="432"/>
        <v>-0,0881887364419464+0,00749267823631214i</v>
      </c>
      <c r="AD518" s="20">
        <f t="shared" si="433"/>
        <v>-21.060500587952102</v>
      </c>
      <c r="AE518" s="43">
        <f t="shared" si="434"/>
        <v>175.14370721738919</v>
      </c>
      <c r="AF518" t="str">
        <f t="shared" si="416"/>
        <v>223,849857273222</v>
      </c>
      <c r="AG518" t="str">
        <f t="shared" si="417"/>
        <v>1+24802,7649170131i</v>
      </c>
      <c r="AH518">
        <f t="shared" si="435"/>
        <v>24802.764937172145</v>
      </c>
      <c r="AI518">
        <f t="shared" si="436"/>
        <v>1.5707560087092798</v>
      </c>
      <c r="AJ518" t="str">
        <f t="shared" si="418"/>
        <v>1+6,28318530717959i</v>
      </c>
      <c r="AK518">
        <f t="shared" si="437"/>
        <v>6.362265131567332</v>
      </c>
      <c r="AL518">
        <f t="shared" si="438"/>
        <v>1.4129651365067379</v>
      </c>
      <c r="AM518" t="str">
        <f t="shared" si="419"/>
        <v>1-4,1298492961396i</v>
      </c>
      <c r="AN518">
        <f t="shared" si="439"/>
        <v>4.2491946541462129</v>
      </c>
      <c r="AO518">
        <f t="shared" si="440"/>
        <v>-1.3332292724772976</v>
      </c>
      <c r="AP518" s="41" t="str">
        <f t="shared" si="441"/>
        <v>0,0194440892409127-0,243215735191565i</v>
      </c>
      <c r="AQ518">
        <f t="shared" si="442"/>
        <v>-12.252497716596993</v>
      </c>
      <c r="AR518" s="43">
        <f t="shared" si="443"/>
        <v>-85.429161459140204</v>
      </c>
      <c r="AS518" t="str">
        <f t="shared" si="420"/>
        <v>-0,0000166666666666667</v>
      </c>
      <c r="AT518" t="str">
        <f t="shared" si="421"/>
        <v>0,00630203486310113i</v>
      </c>
      <c r="AU518">
        <f t="shared" si="444"/>
        <v>6.3020348631011303E-3</v>
      </c>
      <c r="AV518">
        <f t="shared" si="445"/>
        <v>1.5707963267948966</v>
      </c>
      <c r="AW518" t="str">
        <f t="shared" si="422"/>
        <v>1+4,13449880631957i</v>
      </c>
      <c r="AX518">
        <f t="shared" si="446"/>
        <v>4.2537137162082201</v>
      </c>
      <c r="AY518">
        <f t="shared" si="447"/>
        <v>1.3334865088184333</v>
      </c>
      <c r="AZ518" t="str">
        <f t="shared" si="423"/>
        <v>1+1382,30076757951i</v>
      </c>
      <c r="BA518">
        <f t="shared" si="448"/>
        <v>1382.3011292952424</v>
      </c>
      <c r="BB518">
        <f t="shared" si="449"/>
        <v>1.5700728953615914</v>
      </c>
      <c r="BC518" s="41" t="str">
        <f t="shared" si="450"/>
        <v>-0,201434126283877+0,83547380311226i</v>
      </c>
      <c r="BD518">
        <f t="shared" si="451"/>
        <v>-1.3159529312868581</v>
      </c>
      <c r="BE518" s="43">
        <f t="shared" si="452"/>
        <v>103.55540143917366</v>
      </c>
      <c r="BF518" s="41" t="str">
        <f t="shared" si="453"/>
        <v>0,0115042846916744-0,0751886601208755i</v>
      </c>
      <c r="BG518" s="20">
        <f t="shared" si="454"/>
        <v>-22.376453519238954</v>
      </c>
      <c r="BH518" s="43">
        <f t="shared" si="455"/>
        <v>-81.300891343437158</v>
      </c>
      <c r="BI518" s="41" t="str">
        <f t="shared" si="460"/>
        <v>0,199283672129612+0,0652369763029632i</v>
      </c>
      <c r="BJ518" s="20">
        <f t="shared" si="456"/>
        <v>-13.568450647883857</v>
      </c>
      <c r="BK518" s="43">
        <f t="shared" si="461"/>
        <v>18.126239980033478</v>
      </c>
      <c r="BL518">
        <f t="shared" si="457"/>
        <v>-22.376453519238954</v>
      </c>
      <c r="BM518" s="43">
        <f t="shared" si="458"/>
        <v>-81.300891343437158</v>
      </c>
    </row>
    <row r="519" spans="14:65" x14ac:dyDescent="0.25">
      <c r="N519" s="9">
        <v>1</v>
      </c>
      <c r="O519" s="34">
        <f>10^(6+(N519/100))</f>
        <v>1023292.9922807553</v>
      </c>
      <c r="P519" s="33" t="str">
        <f t="shared" si="411"/>
        <v>66,7780509511648</v>
      </c>
      <c r="Q519" s="4" t="str">
        <f t="shared" si="412"/>
        <v>1+25058,5507658287i</v>
      </c>
      <c r="R519" s="4">
        <f t="shared" si="424"/>
        <v>25058.550785781965</v>
      </c>
      <c r="S519" s="4">
        <f t="shared" si="425"/>
        <v>1.5707564202572515</v>
      </c>
      <c r="T519" s="4" t="str">
        <f t="shared" si="413"/>
        <v>1+6,42953949403828i</v>
      </c>
      <c r="U519" s="4">
        <f t="shared" si="426"/>
        <v>6.5068408698382978</v>
      </c>
      <c r="V519" s="4">
        <f t="shared" si="427"/>
        <v>1.4165004188699757</v>
      </c>
      <c r="W519" t="str">
        <f t="shared" si="414"/>
        <v>1-13,9866395505847i</v>
      </c>
      <c r="X519" s="4">
        <f t="shared" si="428"/>
        <v>14.022342383424396</v>
      </c>
      <c r="Y519" s="4">
        <f t="shared" si="429"/>
        <v>-1.4994209780154735</v>
      </c>
      <c r="Z519" t="str">
        <f t="shared" si="415"/>
        <v>-0,0471285480509001+2,74907880235749i</v>
      </c>
      <c r="AA519" s="4">
        <f t="shared" si="430"/>
        <v>2.7494827443744176</v>
      </c>
      <c r="AB519" s="4">
        <f t="shared" si="431"/>
        <v>1.5879380441803104</v>
      </c>
      <c r="AC519" s="47" t="str">
        <f t="shared" si="432"/>
        <v>-0,0879916510568174+0,00883060164784637i</v>
      </c>
      <c r="AD519" s="20">
        <f t="shared" si="433"/>
        <v>-21.067649142497984</v>
      </c>
      <c r="AE519" s="43">
        <f t="shared" si="434"/>
        <v>174.26914034248986</v>
      </c>
      <c r="AF519" t="str">
        <f t="shared" si="416"/>
        <v>223,849857273222</v>
      </c>
      <c r="AG519" t="str">
        <f t="shared" si="417"/>
        <v>1+25380,4955287665i</v>
      </c>
      <c r="AH519">
        <f t="shared" si="435"/>
        <v>25380.495548466664</v>
      </c>
      <c r="AI519">
        <f t="shared" si="436"/>
        <v>1.5707569264609531</v>
      </c>
      <c r="AJ519" t="str">
        <f t="shared" si="418"/>
        <v>1+6,42953949403828i</v>
      </c>
      <c r="AK519">
        <f t="shared" si="437"/>
        <v>6.5068408698382978</v>
      </c>
      <c r="AL519">
        <f t="shared" si="438"/>
        <v>1.4165004188699757</v>
      </c>
      <c r="AM519" t="str">
        <f t="shared" si="419"/>
        <v>1-4,22604584391526i</v>
      </c>
      <c r="AN519">
        <f t="shared" si="439"/>
        <v>4.3427483780289924</v>
      </c>
      <c r="AO519">
        <f t="shared" si="440"/>
        <v>-1.3384423017132825</v>
      </c>
      <c r="AP519" s="41" t="str">
        <f t="shared" si="441"/>
        <v>0,0194440728650963-0,248465331097777i</v>
      </c>
      <c r="AQ519">
        <f t="shared" si="442"/>
        <v>-12.068168458811801</v>
      </c>
      <c r="AR519" s="43">
        <f t="shared" si="443"/>
        <v>-85.525341857337395</v>
      </c>
      <c r="AS519" t="str">
        <f t="shared" si="420"/>
        <v>-0,0000166666666666667</v>
      </c>
      <c r="AT519" t="str">
        <f t="shared" si="421"/>
        <v>0,00644882811252039i</v>
      </c>
      <c r="AU519">
        <f t="shared" si="444"/>
        <v>6.4488281125203899E-3</v>
      </c>
      <c r="AV519">
        <f t="shared" si="445"/>
        <v>1.5707963267948966</v>
      </c>
      <c r="AW519" t="str">
        <f t="shared" si="422"/>
        <v>1+4,23080365509996i</v>
      </c>
      <c r="AX519">
        <f t="shared" si="446"/>
        <v>4.3473784707576568</v>
      </c>
      <c r="AY519">
        <f t="shared" si="447"/>
        <v>1.3386943101558904</v>
      </c>
      <c r="AZ519" t="str">
        <f t="shared" si="423"/>
        <v>1+1414,49868868842i</v>
      </c>
      <c r="BA519">
        <f t="shared" si="448"/>
        <v>1414.4990421704993</v>
      </c>
      <c r="BB519">
        <f t="shared" si="449"/>
        <v>1.5700893626659105</v>
      </c>
      <c r="BC519" s="41" t="str">
        <f t="shared" si="450"/>
        <v>-0,192847788877877+0,818485578953935i</v>
      </c>
      <c r="BD519">
        <f t="shared" si="451"/>
        <v>-1.5051368873265905</v>
      </c>
      <c r="BE519" s="43">
        <f t="shared" si="452"/>
        <v>103.25795990903221</v>
      </c>
      <c r="BF519" s="41" t="str">
        <f t="shared" si="453"/>
        <v>0,00974127524377184-0,0737228594606003i</v>
      </c>
      <c r="BG519" s="20">
        <f t="shared" si="454"/>
        <v>-22.572786029824581</v>
      </c>
      <c r="BH519" s="43">
        <f t="shared" si="455"/>
        <v>-82.472899748477914</v>
      </c>
      <c r="BI519" s="41" t="str">
        <f t="shared" si="460"/>
        <v>0,199615543914731+0,0638306829512267i</v>
      </c>
      <c r="BJ519" s="20">
        <f t="shared" si="456"/>
        <v>-13.57330534613839</v>
      </c>
      <c r="BK519" s="43">
        <f t="shared" si="461"/>
        <v>17.732618051694814</v>
      </c>
      <c r="BL519">
        <f t="shared" si="457"/>
        <v>-22.572786029824581</v>
      </c>
      <c r="BM519" s="43">
        <f t="shared" si="458"/>
        <v>-82.472899748477914</v>
      </c>
    </row>
    <row r="520" spans="14:65" x14ac:dyDescent="0.25">
      <c r="N520" s="9">
        <v>2</v>
      </c>
      <c r="O520" s="34">
        <f t="shared" ref="O520:O560" si="462">10^(6+(N520/100))</f>
        <v>1047128.5480509007</v>
      </c>
      <c r="P520" s="33" t="str">
        <f t="shared" si="411"/>
        <v>66,7780509511648</v>
      </c>
      <c r="Q520" s="4" t="str">
        <f t="shared" si="412"/>
        <v>1+25642,239395384i</v>
      </c>
      <c r="R520" s="4">
        <f t="shared" si="424"/>
        <v>25642.239414883075</v>
      </c>
      <c r="S520" s="4">
        <f t="shared" si="425"/>
        <v>1.5707573286409493</v>
      </c>
      <c r="T520" s="4" t="str">
        <f t="shared" si="413"/>
        <v>1+6,57930270784171i</v>
      </c>
      <c r="U520" s="4">
        <f t="shared" si="426"/>
        <v>6.6548646959508702</v>
      </c>
      <c r="V520" s="4">
        <f t="shared" si="427"/>
        <v>1.4199589891173572</v>
      </c>
      <c r="W520" t="str">
        <f t="shared" si="414"/>
        <v>1-14,3124302376702i</v>
      </c>
      <c r="X520" s="4">
        <f t="shared" si="428"/>
        <v>14.347322374163628</v>
      </c>
      <c r="Y520" s="4">
        <f t="shared" si="429"/>
        <v>-1.5010403530203216</v>
      </c>
      <c r="Z520" t="str">
        <f t="shared" si="415"/>
        <v>-0,09647819614319+2,81311307367998i</v>
      </c>
      <c r="AA520" s="4">
        <f t="shared" si="430"/>
        <v>2.8147669899372252</v>
      </c>
      <c r="AB520" s="4">
        <f t="shared" si="431"/>
        <v>1.605078772669394</v>
      </c>
      <c r="AC520" s="47" t="str">
        <f t="shared" si="432"/>
        <v>-0,0877507796720413+0,0101649461002886i</v>
      </c>
      <c r="AD520" s="20">
        <f t="shared" si="433"/>
        <v>-21.077091482193975</v>
      </c>
      <c r="AE520" s="43">
        <f t="shared" si="434"/>
        <v>173.39237502083137</v>
      </c>
      <c r="AF520" t="str">
        <f t="shared" si="416"/>
        <v>223,849857273222</v>
      </c>
      <c r="AG520" t="str">
        <f t="shared" si="417"/>
        <v>1+25971,6832151998i</v>
      </c>
      <c r="AH520">
        <f t="shared" si="435"/>
        <v>25971.683234451531</v>
      </c>
      <c r="AI520">
        <f t="shared" si="436"/>
        <v>1.5707578233220481</v>
      </c>
      <c r="AJ520" t="str">
        <f t="shared" si="418"/>
        <v>1+6,57930270784171i</v>
      </c>
      <c r="AK520">
        <f t="shared" si="437"/>
        <v>6.6548646959508702</v>
      </c>
      <c r="AL520">
        <f t="shared" si="438"/>
        <v>1.4199589891173572</v>
      </c>
      <c r="AM520" t="str">
        <f t="shared" si="419"/>
        <v>1-4,32448309713569i</v>
      </c>
      <c r="AN520">
        <f t="shared" si="439"/>
        <v>4.4385982086028335</v>
      </c>
      <c r="AO520">
        <f t="shared" si="440"/>
        <v>-1.3435491255180525</v>
      </c>
      <c r="AP520" s="41" t="str">
        <f t="shared" si="441"/>
        <v>0,0194440572263129-0,253846666611306i</v>
      </c>
      <c r="AQ520">
        <f t="shared" si="442"/>
        <v>-11.88316423953453</v>
      </c>
      <c r="AR520" s="43">
        <f t="shared" si="443"/>
        <v>-85.619831216098731</v>
      </c>
      <c r="AS520" t="str">
        <f t="shared" si="420"/>
        <v>-0,0000166666666666667</v>
      </c>
      <c r="AT520" t="str">
        <f t="shared" si="421"/>
        <v>0,00659904061596524i</v>
      </c>
      <c r="AU520">
        <f t="shared" si="444"/>
        <v>6.5990406159652402E-3</v>
      </c>
      <c r="AV520">
        <f t="shared" si="445"/>
        <v>1.5707963267948966</v>
      </c>
      <c r="AW520" t="str">
        <f t="shared" si="422"/>
        <v>1+4,32935173197959i</v>
      </c>
      <c r="AX520">
        <f t="shared" si="446"/>
        <v>4.4433418076032218</v>
      </c>
      <c r="AY520">
        <f t="shared" si="447"/>
        <v>1.3437959860445001</v>
      </c>
      <c r="AZ520" t="str">
        <f t="shared" si="423"/>
        <v>1+1447,44659572518i</v>
      </c>
      <c r="BA520">
        <f t="shared" si="448"/>
        <v>1447.4469411610269</v>
      </c>
      <c r="BB520">
        <f t="shared" si="449"/>
        <v>1.5701054551289906</v>
      </c>
      <c r="BC520" s="41" t="str">
        <f t="shared" si="450"/>
        <v>-0,184607830467519+0,801757850223945i</v>
      </c>
      <c r="BD520">
        <f t="shared" si="451"/>
        <v>-1.6947824382219454</v>
      </c>
      <c r="BE520" s="43">
        <f t="shared" si="452"/>
        <v>102.96657744238772</v>
      </c>
      <c r="BF520" s="41" t="str">
        <f t="shared" si="453"/>
        <v>0,00804965572407915-0,0722314051117244i</v>
      </c>
      <c r="BG520" s="20">
        <f t="shared" si="454"/>
        <v>-22.771873920415921</v>
      </c>
      <c r="BH520" s="43">
        <f t="shared" si="455"/>
        <v>-83.641047536780903</v>
      </c>
      <c r="BI520" s="41" t="str">
        <f t="shared" si="460"/>
        <v>0,199934032488759+0,0624515079159248i</v>
      </c>
      <c r="BJ520" s="20">
        <f t="shared" si="456"/>
        <v>-13.577946677756485</v>
      </c>
      <c r="BK520" s="43">
        <f t="shared" si="461"/>
        <v>17.346746226289017</v>
      </c>
      <c r="BL520">
        <f t="shared" si="457"/>
        <v>-22.771873920415921</v>
      </c>
      <c r="BM520" s="43">
        <f t="shared" si="458"/>
        <v>-83.641047536780903</v>
      </c>
    </row>
    <row r="521" spans="14:65" x14ac:dyDescent="0.25">
      <c r="N521" s="9">
        <v>3</v>
      </c>
      <c r="O521" s="34">
        <f t="shared" si="462"/>
        <v>1071519.3052376076</v>
      </c>
      <c r="P521" s="33" t="str">
        <f t="shared" si="411"/>
        <v>66,7780509511648</v>
      </c>
      <c r="Q521" s="4" t="str">
        <f t="shared" si="412"/>
        <v>1+26239,523879682i</v>
      </c>
      <c r="R521" s="4">
        <f t="shared" si="424"/>
        <v>26239.523898737225</v>
      </c>
      <c r="S521" s="4">
        <f t="shared" si="425"/>
        <v>1.5707582163473099</v>
      </c>
      <c r="T521" s="4" t="str">
        <f t="shared" si="413"/>
        <v>1+6,73255435502821i</v>
      </c>
      <c r="U521" s="4">
        <f t="shared" si="426"/>
        <v>6.8064152197327275</v>
      </c>
      <c r="V521" s="4">
        <f t="shared" si="427"/>
        <v>1.4233423498950168</v>
      </c>
      <c r="W521" t="str">
        <f t="shared" si="414"/>
        <v>1-14,6458095647151i</v>
      </c>
      <c r="X521" s="4">
        <f t="shared" si="428"/>
        <v>14.679909325534009</v>
      </c>
      <c r="Y521" s="4">
        <f t="shared" si="429"/>
        <v>-1.5026232207211123</v>
      </c>
      <c r="Z521" t="str">
        <f t="shared" si="415"/>
        <v>-0,14815362149688+2,8786388947901i</v>
      </c>
      <c r="AA521" s="4">
        <f t="shared" si="430"/>
        <v>2.8824488516122901</v>
      </c>
      <c r="AB521" s="4">
        <f t="shared" si="431"/>
        <v>1.6222175103254528</v>
      </c>
      <c r="AC521" s="47" t="str">
        <f t="shared" si="432"/>
        <v>-0,0874661527728666+0,0114941605767093i</v>
      </c>
      <c r="AD521" s="20">
        <f t="shared" si="433"/>
        <v>-21.088840175410134</v>
      </c>
      <c r="AE521" s="43">
        <f t="shared" si="434"/>
        <v>172.51350747947649</v>
      </c>
      <c r="AF521" t="str">
        <f t="shared" si="416"/>
        <v>223,849857273222</v>
      </c>
      <c r="AG521" t="str">
        <f t="shared" si="417"/>
        <v>1+26576,6414318496i</v>
      </c>
      <c r="AH521">
        <f t="shared" si="435"/>
        <v>26576.641450663108</v>
      </c>
      <c r="AI521">
        <f t="shared" si="436"/>
        <v>1.5707586997680922</v>
      </c>
      <c r="AJ521" t="str">
        <f t="shared" si="418"/>
        <v>1+6,73255435502821i</v>
      </c>
      <c r="AK521">
        <f t="shared" si="437"/>
        <v>6.8064152197327275</v>
      </c>
      <c r="AL521">
        <f t="shared" si="438"/>
        <v>1.4233423498950168</v>
      </c>
      <c r="AM521" t="str">
        <f t="shared" si="419"/>
        <v>1-4,42521324853552i</v>
      </c>
      <c r="AN521">
        <f t="shared" si="439"/>
        <v>4.5367953772475005</v>
      </c>
      <c r="AO521">
        <f t="shared" si="440"/>
        <v>-1.3485513856507216</v>
      </c>
      <c r="AP521" s="41" t="str">
        <f t="shared" si="441"/>
        <v>0,0194440422913909-0,259362594987477i</v>
      </c>
      <c r="AQ521">
        <f t="shared" si="442"/>
        <v>-11.697512888034483</v>
      </c>
      <c r="AR521" s="43">
        <f t="shared" si="443"/>
        <v>-85.712637533256512</v>
      </c>
      <c r="AS521" t="str">
        <f t="shared" si="420"/>
        <v>-0,0000166666666666667</v>
      </c>
      <c r="AT521" t="str">
        <f t="shared" si="421"/>
        <v>0,0067527520180933i</v>
      </c>
      <c r="AU521">
        <f t="shared" si="444"/>
        <v>6.7527520180933002E-3</v>
      </c>
      <c r="AV521">
        <f t="shared" si="445"/>
        <v>1.5707963267948966</v>
      </c>
      <c r="AW521" t="str">
        <f t="shared" si="422"/>
        <v>1+4,43019528845326i</v>
      </c>
      <c r="AX521">
        <f t="shared" si="446"/>
        <v>4.5416550170431771</v>
      </c>
      <c r="AY521">
        <f t="shared" si="447"/>
        <v>1.3487931787339262</v>
      </c>
      <c r="AZ521" t="str">
        <f t="shared" si="423"/>
        <v>1+1481,1619581062i</v>
      </c>
      <c r="BA521">
        <f t="shared" si="448"/>
        <v>1481.1622956789686</v>
      </c>
      <c r="BB521">
        <f t="shared" si="449"/>
        <v>1.570121181283235</v>
      </c>
      <c r="BC521" s="41" t="str">
        <f t="shared" si="450"/>
        <v>-0,176701924658822+0,785292163614437i</v>
      </c>
      <c r="BD521">
        <f t="shared" si="451"/>
        <v>-1.8848709167991526</v>
      </c>
      <c r="BE521" s="43">
        <f t="shared" si="452"/>
        <v>102.68116043413613</v>
      </c>
      <c r="BF521" s="41" t="str">
        <f t="shared" si="453"/>
        <v>0,00642916330925228-0,0707175246502774i</v>
      </c>
      <c r="BG521" s="20">
        <f t="shared" si="454"/>
        <v>-22.973711092209285</v>
      </c>
      <c r="BH521" s="43">
        <f t="shared" si="455"/>
        <v>-84.805332086387381</v>
      </c>
      <c r="BI521" s="41" t="str">
        <f t="shared" si="460"/>
        <v>0,200239613682334+0,0610991237592107i</v>
      </c>
      <c r="BJ521" s="20">
        <f t="shared" si="456"/>
        <v>-13.58238380483365</v>
      </c>
      <c r="BK521" s="43">
        <f t="shared" si="461"/>
        <v>16.968522900879659</v>
      </c>
      <c r="BL521">
        <f t="shared" si="457"/>
        <v>-22.973711092209285</v>
      </c>
      <c r="BM521" s="43">
        <f t="shared" si="458"/>
        <v>-84.805332086387381</v>
      </c>
    </row>
    <row r="522" spans="14:65" x14ac:dyDescent="0.25">
      <c r="N522" s="9">
        <v>4</v>
      </c>
      <c r="O522" s="34">
        <f t="shared" si="462"/>
        <v>1096478.196143186</v>
      </c>
      <c r="P522" s="33" t="str">
        <f t="shared" si="411"/>
        <v>66,7780509511648</v>
      </c>
      <c r="Q522" s="4" t="str">
        <f t="shared" si="412"/>
        <v>1+26850,7209068621i</v>
      </c>
      <c r="R522" s="4">
        <f t="shared" si="424"/>
        <v>26850.720925483576</v>
      </c>
      <c r="S522" s="4">
        <f t="shared" si="425"/>
        <v>1.5707590838470069</v>
      </c>
      <c r="T522" s="4" t="str">
        <f t="shared" si="413"/>
        <v>1+6,88937569164964i</v>
      </c>
      <c r="U522" s="4">
        <f t="shared" si="426"/>
        <v>6.9615729128332022</v>
      </c>
      <c r="V522" s="4">
        <f t="shared" si="427"/>
        <v>1.4266519851071999</v>
      </c>
      <c r="W522" t="str">
        <f t="shared" si="414"/>
        <v>1-14,9869542938514i</v>
      </c>
      <c r="X522" s="4">
        <f t="shared" si="428"/>
        <v>15.020279591472022</v>
      </c>
      <c r="Y522" s="4">
        <f t="shared" si="429"/>
        <v>-1.5041703886308009</v>
      </c>
      <c r="Z522" t="str">
        <f t="shared" si="415"/>
        <v>-0,20226443461741+2,94569100834552i</v>
      </c>
      <c r="AA522" s="4">
        <f t="shared" si="430"/>
        <v>2.9526270367519745</v>
      </c>
      <c r="AB522" s="4">
        <f t="shared" si="431"/>
        <v>1.6393532292218287</v>
      </c>
      <c r="AC522" s="47" t="str">
        <f t="shared" si="432"/>
        <v>-0,0871378638470895+0,0128166889981844i</v>
      </c>
      <c r="AD522" s="20">
        <f t="shared" si="433"/>
        <v>-21.102908216517232</v>
      </c>
      <c r="AE522" s="43">
        <f t="shared" si="434"/>
        <v>171.63263534168294</v>
      </c>
      <c r="AF522" t="str">
        <f t="shared" si="416"/>
        <v>223,849857273222</v>
      </c>
      <c r="AG522" t="str">
        <f t="shared" si="417"/>
        <v>1+27195,69093557i</v>
      </c>
      <c r="AH522">
        <f t="shared" si="435"/>
        <v>27195.690953955265</v>
      </c>
      <c r="AI522">
        <f t="shared" si="436"/>
        <v>1.5707595562637886</v>
      </c>
      <c r="AJ522" t="str">
        <f t="shared" si="418"/>
        <v>1+6,88937569164964i</v>
      </c>
      <c r="AK522">
        <f t="shared" si="437"/>
        <v>6.9615729128332022</v>
      </c>
      <c r="AL522">
        <f t="shared" si="438"/>
        <v>1.4266519851071999</v>
      </c>
      <c r="AM522" t="str">
        <f t="shared" si="419"/>
        <v>1-4,52828970657435i</v>
      </c>
      <c r="AN522">
        <f t="shared" si="439"/>
        <v>4.6373923347790207</v>
      </c>
      <c r="AO522">
        <f t="shared" si="440"/>
        <v>-1.3534507325692338</v>
      </c>
      <c r="AP522" s="41" t="str">
        <f t="shared" si="441"/>
        <v>0,019444028028651-0,26501604084453i</v>
      </c>
      <c r="AQ522">
        <f t="shared" si="442"/>
        <v>-11.511241190509089</v>
      </c>
      <c r="AR522" s="43">
        <f t="shared" si="443"/>
        <v>-85.80377037826031</v>
      </c>
      <c r="AS522" t="str">
        <f t="shared" si="420"/>
        <v>-0,0000166666666666667</v>
      </c>
      <c r="AT522" t="str">
        <f t="shared" si="421"/>
        <v>0,00691004381872459i</v>
      </c>
      <c r="AU522">
        <f t="shared" si="444"/>
        <v>6.9100438187245901E-3</v>
      </c>
      <c r="AV522">
        <f t="shared" si="445"/>
        <v>1.5707963267948966</v>
      </c>
      <c r="AW522" t="str">
        <f t="shared" si="422"/>
        <v>1+4,53338779310943i</v>
      </c>
      <c r="AX522">
        <f t="shared" si="446"/>
        <v>4.6423706102285278</v>
      </c>
      <c r="AY522">
        <f t="shared" si="447"/>
        <v>1.353687539036533</v>
      </c>
      <c r="AZ522" t="str">
        <f t="shared" si="423"/>
        <v>1+1515,66265216292i</v>
      </c>
      <c r="BA522">
        <f t="shared" si="448"/>
        <v>1515.6629820515961</v>
      </c>
      <c r="BB522">
        <f t="shared" si="449"/>
        <v>1.5701365494668276</v>
      </c>
      <c r="BC522" s="41" t="str">
        <f t="shared" si="450"/>
        <v>-0,169118044432495+0,769089626267967i</v>
      </c>
      <c r="BD522">
        <f t="shared" si="451"/>
        <v>-2.0753843240775245</v>
      </c>
      <c r="BE522" s="43">
        <f t="shared" si="452"/>
        <v>102.40161477743895</v>
      </c>
      <c r="BF522" s="41" t="str">
        <f t="shared" si="453"/>
        <v>0,00487940257823838-0,0691843605194195i</v>
      </c>
      <c r="BG522" s="20">
        <f t="shared" si="454"/>
        <v>-23.178292540594754</v>
      </c>
      <c r="BH522" s="43">
        <f t="shared" si="455"/>
        <v>-85.965749880878121</v>
      </c>
      <c r="BI522" s="41" t="str">
        <f t="shared" si="460"/>
        <v>0,20053275181204+0,0597731948205682i</v>
      </c>
      <c r="BJ522" s="20">
        <f t="shared" si="456"/>
        <v>-13.586625514586606</v>
      </c>
      <c r="BK522" s="43">
        <f t="shared" si="461"/>
        <v>16.59784439917863</v>
      </c>
      <c r="BL522">
        <f t="shared" si="457"/>
        <v>-23.178292540594754</v>
      </c>
      <c r="BM522" s="43">
        <f t="shared" si="458"/>
        <v>-85.965749880878121</v>
      </c>
    </row>
    <row r="523" spans="14:65" x14ac:dyDescent="0.25">
      <c r="N523" s="9">
        <v>5</v>
      </c>
      <c r="O523" s="34">
        <f t="shared" si="462"/>
        <v>1122018.4543019643</v>
      </c>
      <c r="P523" s="33" t="str">
        <f t="shared" si="411"/>
        <v>66,7780509511648</v>
      </c>
      <c r="Q523" s="4" t="str">
        <f t="shared" si="412"/>
        <v>1+27476,1545416783i</v>
      </c>
      <c r="R523" s="4">
        <f t="shared" si="424"/>
        <v>27476.154559875897</v>
      </c>
      <c r="S523" s="4">
        <f t="shared" si="425"/>
        <v>1.5707599315999998</v>
      </c>
      <c r="T523" s="4" t="str">
        <f t="shared" si="413"/>
        <v>1+7,04984986645445i</v>
      </c>
      <c r="U523" s="4">
        <f t="shared" si="426"/>
        <v>7.1204201518974868</v>
      </c>
      <c r="V523" s="4">
        <f t="shared" si="427"/>
        <v>1.429889359393965</v>
      </c>
      <c r="W523" t="str">
        <f t="shared" si="414"/>
        <v>1-15,3360453045301i</v>
      </c>
      <c r="X523" s="4">
        <f t="shared" si="428"/>
        <v>15.368613651940102</v>
      </c>
      <c r="Y523" s="4">
        <f t="shared" si="429"/>
        <v>-1.5056826474336258</v>
      </c>
      <c r="Z523" t="str">
        <f t="shared" si="415"/>
        <v>-0,25892541179417+3,0143049662644i</v>
      </c>
      <c r="AA523" s="4">
        <f t="shared" si="430"/>
        <v>3.0254052288113411</v>
      </c>
      <c r="AB523" s="4">
        <f t="shared" si="431"/>
        <v>1.6564848626733493</v>
      </c>
      <c r="AC523" s="47" t="str">
        <f t="shared" si="432"/>
        <v>-0,0867660702298192+0,0141309721095424i</v>
      </c>
      <c r="AD523" s="20">
        <f t="shared" si="433"/>
        <v>-21.11930901931639</v>
      </c>
      <c r="AE523" s="43">
        <f t="shared" si="434"/>
        <v>170.74985831247949</v>
      </c>
      <c r="AF523" t="str">
        <f t="shared" si="416"/>
        <v>223,849857273222</v>
      </c>
      <c r="AG523" t="str">
        <f t="shared" si="417"/>
        <v>1+27829,1599546021i</v>
      </c>
      <c r="AH523">
        <f t="shared" si="435"/>
        <v>27829.159972568865</v>
      </c>
      <c r="AI523">
        <f t="shared" si="436"/>
        <v>1.5707603932632628</v>
      </c>
      <c r="AJ523" t="str">
        <f t="shared" si="418"/>
        <v>1+7,04984986645445i</v>
      </c>
      <c r="AK523">
        <f t="shared" si="437"/>
        <v>7.1204201518974868</v>
      </c>
      <c r="AL523">
        <f t="shared" si="438"/>
        <v>1.429889359393965</v>
      </c>
      <c r="AM523" t="str">
        <f t="shared" si="419"/>
        <v>1-4,63376712375461i</v>
      </c>
      <c r="AN523">
        <f t="shared" si="439"/>
        <v>4.7404427807103708</v>
      </c>
      <c r="AO523">
        <f t="shared" si="440"/>
        <v>-1.3582488227289624</v>
      </c>
      <c r="AP523" s="41" t="str">
        <f t="shared" si="441"/>
        <v>0,01944401440784-0,270810001714292i</v>
      </c>
      <c r="AQ523">
        <f t="shared" si="442"/>
        <v>-11.324374920400984</v>
      </c>
      <c r="AR523" s="43">
        <f t="shared" si="443"/>
        <v>-85.893240767337517</v>
      </c>
      <c r="AS523" t="str">
        <f t="shared" si="420"/>
        <v>-0,0000166666666666667</v>
      </c>
      <c r="AT523" t="str">
        <f t="shared" si="421"/>
        <v>0,00707099941605382i</v>
      </c>
      <c r="AU523">
        <f t="shared" si="444"/>
        <v>7.0709994160538204E-3</v>
      </c>
      <c r="AV523">
        <f t="shared" si="445"/>
        <v>1.5707963267948966</v>
      </c>
      <c r="AW523" t="str">
        <f t="shared" si="422"/>
        <v>1+4,63898395998i</v>
      </c>
      <c r="AX523">
        <f t="shared" si="446"/>
        <v>4.7455423484520427</v>
      </c>
      <c r="AY523">
        <f t="shared" si="447"/>
        <v>1.3584807236345986</v>
      </c>
      <c r="AZ523" t="str">
        <f t="shared" si="423"/>
        <v>1+1550,96697061998i</v>
      </c>
      <c r="BA523">
        <f t="shared" si="448"/>
        <v>1550.9672929994747</v>
      </c>
      <c r="BB523">
        <f t="shared" si="449"/>
        <v>1.5701515678281541</v>
      </c>
      <c r="BC523" s="41" t="str">
        <f t="shared" si="450"/>
        <v>-0,161844467389517+0,753150933634255i</v>
      </c>
      <c r="BD523">
        <f t="shared" si="451"/>
        <v>-2.2663053126918737</v>
      </c>
      <c r="BE523" s="43">
        <f t="shared" si="452"/>
        <v>102.12784601826196</v>
      </c>
      <c r="BF523" s="41" t="str">
        <f t="shared" si="453"/>
        <v>0,00339985358636504-0,0676349664561287i</v>
      </c>
      <c r="BG523" s="20">
        <f t="shared" si="454"/>
        <v>-23.385614332008259</v>
      </c>
      <c r="BH523" s="43">
        <f t="shared" si="455"/>
        <v>-87.122295669258548</v>
      </c>
      <c r="BI523" s="41" t="str">
        <f t="shared" si="460"/>
        <v>0,200813899472862+0,0584733780960664i</v>
      </c>
      <c r="BJ523" s="20">
        <f t="shared" si="456"/>
        <v>-13.590680233092867</v>
      </c>
      <c r="BK523" s="43">
        <f t="shared" si="461"/>
        <v>16.234605250924467</v>
      </c>
      <c r="BL523">
        <f t="shared" si="457"/>
        <v>-23.385614332008259</v>
      </c>
      <c r="BM523" s="43">
        <f t="shared" si="458"/>
        <v>-87.122295669258548</v>
      </c>
    </row>
    <row r="524" spans="14:65" x14ac:dyDescent="0.25">
      <c r="N524" s="9">
        <v>6</v>
      </c>
      <c r="O524" s="34">
        <f t="shared" si="462"/>
        <v>1148153.6214968837</v>
      </c>
      <c r="P524" s="33" t="str">
        <f t="shared" si="411"/>
        <v>66,7780509511648</v>
      </c>
      <c r="Q524" s="4" t="str">
        <f t="shared" si="412"/>
        <v>1+28116,1563973224i</v>
      </c>
      <c r="R524" s="4">
        <f t="shared" si="424"/>
        <v>28116.156415105772</v>
      </c>
      <c r="S524" s="4">
        <f t="shared" si="425"/>
        <v>1.5707607600557789</v>
      </c>
      <c r="T524" s="4" t="str">
        <f t="shared" si="413"/>
        <v>1+7,21406196497425i</v>
      </c>
      <c r="U524" s="4">
        <f t="shared" si="426"/>
        <v>7.2830412627204106</v>
      </c>
      <c r="V524" s="4">
        <f t="shared" si="427"/>
        <v>1.4330559176755067</v>
      </c>
      <c r="W524" t="str">
        <f t="shared" si="414"/>
        <v>1-15,6932676894258i</v>
      </c>
      <c r="X524" s="4">
        <f t="shared" si="428"/>
        <v>15.725096208671532</v>
      </c>
      <c r="Y524" s="4">
        <f t="shared" si="429"/>
        <v>-1.5071607712662431</v>
      </c>
      <c r="Z524" t="str">
        <f t="shared" si="415"/>
        <v>-0,31825673855641+3,08451714857544i</v>
      </c>
      <c r="AA524" s="4">
        <f t="shared" si="430"/>
        <v>3.1008923540639923</v>
      </c>
      <c r="AB524" s="4">
        <f t="shared" si="431"/>
        <v>1.6736112927384865</v>
      </c>
      <c r="AC524" s="47" t="str">
        <f t="shared" si="432"/>
        <v>-0,0863509939974062+0,0154354494897046i</v>
      </c>
      <c r="AD524" s="20">
        <f t="shared" si="433"/>
        <v>-21.138056400420908</v>
      </c>
      <c r="AE524" s="43">
        <f t="shared" si="434"/>
        <v>169.86527885250942</v>
      </c>
      <c r="AF524" t="str">
        <f t="shared" si="416"/>
        <v>223,849857273222</v>
      </c>
      <c r="AG524" t="str">
        <f t="shared" si="417"/>
        <v>1+28477,3843626045i</v>
      </c>
      <c r="AH524">
        <f t="shared" si="435"/>
        <v>28477.384380162293</v>
      </c>
      <c r="AI524">
        <f t="shared" si="436"/>
        <v>1.5707612112103031</v>
      </c>
      <c r="AJ524" t="str">
        <f t="shared" si="418"/>
        <v>1+7,21406196497425i</v>
      </c>
      <c r="AK524">
        <f t="shared" si="437"/>
        <v>7.2830412627204106</v>
      </c>
      <c r="AL524">
        <f t="shared" si="438"/>
        <v>1.4330559176755067</v>
      </c>
      <c r="AM524" t="str">
        <f t="shared" si="419"/>
        <v>1-4,74170142559904i</v>
      </c>
      <c r="AN524">
        <f t="shared" si="439"/>
        <v>4.846001693099991</v>
      </c>
      <c r="AO524">
        <f t="shared" si="440"/>
        <v>-1.3629473160545904</v>
      </c>
      <c r="AP524" s="41" t="str">
        <f t="shared" si="441"/>
        <v>0,0194440014000667-0,276747549631514i</v>
      </c>
      <c r="AQ524">
        <f t="shared" si="442"/>
        <v>-11.136938868599231</v>
      </c>
      <c r="AR524" s="43">
        <f t="shared" si="443"/>
        <v>-85.981061044765099</v>
      </c>
      <c r="AS524" t="str">
        <f t="shared" si="420"/>
        <v>-0,0000166666666666667</v>
      </c>
      <c r="AT524" t="str">
        <f t="shared" si="421"/>
        <v>0,00723570415086918i</v>
      </c>
      <c r="AU524">
        <f t="shared" si="444"/>
        <v>7.2357041508691799E-3</v>
      </c>
      <c r="AV524">
        <f t="shared" si="445"/>
        <v>1.5707963267948966</v>
      </c>
      <c r="AW524" t="str">
        <f t="shared" si="422"/>
        <v>1+4,74703977755035i</v>
      </c>
      <c r="AX524">
        <f t="shared" si="446"/>
        <v>4.8512252730259062</v>
      </c>
      <c r="AY524">
        <f t="shared" si="447"/>
        <v>1.3631743925604987</v>
      </c>
      <c r="AZ524" t="str">
        <f t="shared" si="423"/>
        <v>1+1587,09363229433i</v>
      </c>
      <c r="BA524">
        <f t="shared" si="448"/>
        <v>1587.0939473355729</v>
      </c>
      <c r="BB524">
        <f t="shared" si="449"/>
        <v>1.5701662443301212</v>
      </c>
      <c r="BC524" s="41" t="str">
        <f t="shared" si="450"/>
        <v>-0,154869779544531+0,737476396337423i</v>
      </c>
      <c r="BD524">
        <f t="shared" si="451"/>
        <v>-2.4576171700663965</v>
      </c>
      <c r="BE524" s="43">
        <f t="shared" si="452"/>
        <v>101.85975949999688</v>
      </c>
      <c r="BF524" s="41" t="str">
        <f t="shared" si="453"/>
        <v>0,00198987973831375-0,0660723045330029i</v>
      </c>
      <c r="BG524" s="20">
        <f t="shared" si="454"/>
        <v>-23.5956735704873</v>
      </c>
      <c r="BH524" s="43">
        <f t="shared" si="455"/>
        <v>-88.274961647493711</v>
      </c>
      <c r="BI524" s="41" t="str">
        <f t="shared" si="460"/>
        <v>0,201083497387169+0,0571993240838227i</v>
      </c>
      <c r="BJ524" s="20">
        <f t="shared" si="456"/>
        <v>-13.594556038665635</v>
      </c>
      <c r="BK524" s="43">
        <f t="shared" si="461"/>
        <v>15.878698455231802</v>
      </c>
      <c r="BL524">
        <f t="shared" si="457"/>
        <v>-23.5956735704873</v>
      </c>
      <c r="BM524" s="43">
        <f t="shared" si="458"/>
        <v>-88.274961647493711</v>
      </c>
    </row>
    <row r="525" spans="14:65" x14ac:dyDescent="0.25">
      <c r="N525" s="9">
        <v>7</v>
      </c>
      <c r="O525" s="34">
        <f t="shared" si="462"/>
        <v>1174897.5549395324</v>
      </c>
      <c r="P525" s="33" t="str">
        <f t="shared" si="411"/>
        <v>66,7780509511648</v>
      </c>
      <c r="Q525" s="4" t="str">
        <f t="shared" si="412"/>
        <v>1+28771,0658112498i</v>
      </c>
      <c r="R525" s="4">
        <f t="shared" si="424"/>
        <v>28771.065828628365</v>
      </c>
      <c r="S525" s="4">
        <f t="shared" si="425"/>
        <v>1.5707615696536021</v>
      </c>
      <c r="T525" s="4" t="str">
        <f t="shared" si="413"/>
        <v>1+7,38209905463729i</v>
      </c>
      <c r="U525" s="4">
        <f t="shared" si="426"/>
        <v>7.449522565404898</v>
      </c>
      <c r="V525" s="4">
        <f t="shared" si="427"/>
        <v>1.4361530847588038</v>
      </c>
      <c r="W525" t="str">
        <f t="shared" si="414"/>
        <v>1-16,0588108525754i</v>
      </c>
      <c r="X525" s="4">
        <f t="shared" si="428"/>
        <v>16.089916283150561</v>
      </c>
      <c r="Y525" s="4">
        <f t="shared" si="429"/>
        <v>-1.5086055179990825</v>
      </c>
      <c r="Z525" t="str">
        <f t="shared" si="415"/>
        <v>-0,38038426460289+3,15636478270707i</v>
      </c>
      <c r="AA525" s="4">
        <f t="shared" si="430"/>
        <v>3.17920286082391</v>
      </c>
      <c r="AB525" s="4">
        <f t="shared" si="431"/>
        <v>1.6907313380806204</v>
      </c>
      <c r="AC525" s="47" t="str">
        <f t="shared" si="432"/>
        <v>-0,0858929228935318+0,0167285617074653i</v>
      </c>
      <c r="AD525" s="20">
        <f t="shared" si="433"/>
        <v>-21.159164552797556</v>
      </c>
      <c r="AE525" s="43">
        <f t="shared" si="434"/>
        <v>168.97900283485691</v>
      </c>
      <c r="AF525" t="str">
        <f t="shared" si="416"/>
        <v>223,849857273222</v>
      </c>
      <c r="AG525" t="str">
        <f t="shared" si="417"/>
        <v>1+29140,7078567387i</v>
      </c>
      <c r="AH525">
        <f t="shared" si="435"/>
        <v>29140.707873896823</v>
      </c>
      <c r="AI525">
        <f t="shared" si="436"/>
        <v>1.5707620105385955</v>
      </c>
      <c r="AJ525" t="str">
        <f t="shared" si="418"/>
        <v>1+7,38209905463729i</v>
      </c>
      <c r="AK525">
        <f t="shared" si="437"/>
        <v>7.449522565404898</v>
      </c>
      <c r="AL525">
        <f t="shared" si="438"/>
        <v>1.4361530847588038</v>
      </c>
      <c r="AM525" t="str">
        <f t="shared" si="419"/>
        <v>1-4,85214984030316i</v>
      </c>
      <c r="AN525">
        <f t="shared" si="439"/>
        <v>4.9541253590067722</v>
      </c>
      <c r="AO525">
        <f t="shared" si="440"/>
        <v>-1.3675478735789457</v>
      </c>
      <c r="AP525" s="41" t="str">
        <f t="shared" si="441"/>
        <v>0,0194439889777396-0,282831832762697i</v>
      </c>
      <c r="AQ525">
        <f t="shared" si="442"/>
        <v>-10.948956873445555</v>
      </c>
      <c r="AR525" s="43">
        <f t="shared" si="443"/>
        <v>-86.067244770135673</v>
      </c>
      <c r="AS525" t="str">
        <f t="shared" si="420"/>
        <v>-0,0000166666666666667</v>
      </c>
      <c r="AT525" t="str">
        <f t="shared" si="421"/>
        <v>0,0074042453518012i</v>
      </c>
      <c r="AU525">
        <f t="shared" si="444"/>
        <v>7.4042453518012004E-3</v>
      </c>
      <c r="AV525">
        <f t="shared" si="445"/>
        <v>1.5707963267948966</v>
      </c>
      <c r="AW525" t="str">
        <f t="shared" si="422"/>
        <v>1+4,85761253844527i</v>
      </c>
      <c r="AX525">
        <f t="shared" si="446"/>
        <v>4.9594757357669064</v>
      </c>
      <c r="AY525">
        <f t="shared" si="447"/>
        <v>1.3677702068435391</v>
      </c>
      <c r="AZ525" t="str">
        <f t="shared" si="423"/>
        <v>1+1624,0617920202i</v>
      </c>
      <c r="BA525">
        <f t="shared" si="448"/>
        <v>1624.06209989023</v>
      </c>
      <c r="BB525">
        <f t="shared" si="449"/>
        <v>1.5701805867543792</v>
      </c>
      <c r="BC525" s="41" t="str">
        <f t="shared" si="450"/>
        <v>-0,148182877791975+0,72206596602977i</v>
      </c>
      <c r="BD525">
        <f t="shared" si="451"/>
        <v>-2.6493038014181751</v>
      </c>
      <c r="BE525" s="43">
        <f t="shared" si="452"/>
        <v>101.59726049853073</v>
      </c>
      <c r="BF525" s="41" t="str">
        <f t="shared" si="453"/>
        <v>0,000648735426738203-0,0644992427593714i</v>
      </c>
      <c r="BG525" s="20">
        <f t="shared" si="454"/>
        <v>-23.808468354215737</v>
      </c>
      <c r="BH525" s="43">
        <f t="shared" si="455"/>
        <v>-89.423736666612342</v>
      </c>
      <c r="BI525" s="41" t="str">
        <f t="shared" si="460"/>
        <v>0,20134197430529+0,0559506775946388i</v>
      </c>
      <c r="BJ525" s="20">
        <f t="shared" si="456"/>
        <v>-13.598260674863742</v>
      </c>
      <c r="BK525" s="43">
        <f t="shared" si="461"/>
        <v>15.530015728395083</v>
      </c>
      <c r="BL525">
        <f t="shared" si="457"/>
        <v>-23.808468354215737</v>
      </c>
      <c r="BM525" s="43">
        <f t="shared" si="458"/>
        <v>-89.423736666612342</v>
      </c>
    </row>
    <row r="526" spans="14:65" x14ac:dyDescent="0.25">
      <c r="N526" s="9">
        <v>8</v>
      </c>
      <c r="O526" s="34">
        <f t="shared" si="462"/>
        <v>1202264.4346174158</v>
      </c>
      <c r="P526" s="33" t="str">
        <f t="shared" si="411"/>
        <v>66,7780509511648</v>
      </c>
      <c r="Q526" s="4" t="str">
        <f t="shared" si="412"/>
        <v>1+29441,2300251003i</v>
      </c>
      <c r="R526" s="4">
        <f t="shared" si="424"/>
        <v>29441.230042083287</v>
      </c>
      <c r="S526" s="4">
        <f t="shared" si="425"/>
        <v>1.570762360822729</v>
      </c>
      <c r="T526" s="4" t="str">
        <f t="shared" si="413"/>
        <v>1+7,55405023093272i</v>
      </c>
      <c r="U526" s="4">
        <f t="shared" si="426"/>
        <v>7.6199524205505815</v>
      </c>
      <c r="V526" s="4">
        <f t="shared" si="427"/>
        <v>1.4391822650024904</v>
      </c>
      <c r="W526" t="str">
        <f t="shared" si="414"/>
        <v>1-16,4328686098026i</v>
      </c>
      <c r="X526" s="4">
        <f t="shared" si="428"/>
        <v>16.463267316879588</v>
      </c>
      <c r="Y526" s="4">
        <f t="shared" si="429"/>
        <v>-1.5100176295174981</v>
      </c>
      <c r="Z526" t="str">
        <f t="shared" si="415"/>
        <v>-0,44543977074593+3,22988596322591i</v>
      </c>
      <c r="AA526" s="4">
        <f t="shared" si="430"/>
        <v>3.2604570116482066</v>
      </c>
      <c r="AB526" s="4">
        <f t="shared" si="431"/>
        <v>1.7078437422752275</v>
      </c>
      <c r="AC526" s="47" t="str">
        <f t="shared" si="432"/>
        <v>-0,0853922112670981+0,018008752641369i</v>
      </c>
      <c r="AD526" s="20">
        <f t="shared" si="433"/>
        <v>-21.18264800973332</v>
      </c>
      <c r="AE526" s="43">
        <f t="shared" si="434"/>
        <v>168.09114017967278</v>
      </c>
      <c r="AF526" t="str">
        <f t="shared" si="416"/>
        <v>223,849857273222</v>
      </c>
      <c r="AG526" t="str">
        <f t="shared" si="417"/>
        <v>1+29819,4821399015i</v>
      </c>
      <c r="AH526">
        <f t="shared" si="435"/>
        <v>29819.482156669063</v>
      </c>
      <c r="AI526">
        <f t="shared" si="436"/>
        <v>1.5707627916719547</v>
      </c>
      <c r="AJ526" t="str">
        <f t="shared" si="418"/>
        <v>1+7,55405023093272i</v>
      </c>
      <c r="AK526">
        <f t="shared" si="437"/>
        <v>7.6199524205505815</v>
      </c>
      <c r="AL526">
        <f t="shared" si="438"/>
        <v>1.4391822650024904</v>
      </c>
      <c r="AM526" t="str">
        <f t="shared" si="419"/>
        <v>1-4,96517092907841i</v>
      </c>
      <c r="AN526">
        <f t="shared" si="439"/>
        <v>5.0648714055704671</v>
      </c>
      <c r="AO526">
        <f t="shared" si="440"/>
        <v>-1.3720521552423384</v>
      </c>
      <c r="AP526" s="41" t="str">
        <f t="shared" si="441"/>
        <v>0,0194439771145092-0,289066077075293i</v>
      </c>
      <c r="AQ526">
        <f t="shared" si="442"/>
        <v>-10.760451850473196</v>
      </c>
      <c r="AR526" s="43">
        <f t="shared" si="443"/>
        <v>-86.151806611483323</v>
      </c>
      <c r="AS526" t="str">
        <f t="shared" si="420"/>
        <v>-0,0000166666666666667</v>
      </c>
      <c r="AT526" t="str">
        <f t="shared" si="421"/>
        <v>0,00757671238162552i</v>
      </c>
      <c r="AU526">
        <f t="shared" si="444"/>
        <v>7.5767123816255196E-3</v>
      </c>
      <c r="AV526">
        <f t="shared" si="445"/>
        <v>1.5707963267948966</v>
      </c>
      <c r="AW526" t="str">
        <f t="shared" si="422"/>
        <v>1+4,97076086980618i</v>
      </c>
      <c r="AX526">
        <f t="shared" si="446"/>
        <v>5.0703514301078085</v>
      </c>
      <c r="AY526">
        <f t="shared" si="447"/>
        <v>1.372269826316967</v>
      </c>
      <c r="AZ526" t="str">
        <f t="shared" si="423"/>
        <v>1+1661,8910508052i</v>
      </c>
      <c r="BA526">
        <f t="shared" si="448"/>
        <v>1661.891351667254</v>
      </c>
      <c r="BB526">
        <f t="shared" si="449"/>
        <v>1.5701946027054474</v>
      </c>
      <c r="BC526" s="41" t="str">
        <f t="shared" si="450"/>
        <v>-0,141772971163897+0,70691926021698i</v>
      </c>
      <c r="BD526">
        <f t="shared" si="451"/>
        <v>-2.8413497126590048</v>
      </c>
      <c r="BE526" s="43">
        <f t="shared" si="452"/>
        <v>101.34025434813044</v>
      </c>
      <c r="BF526" s="41" t="str">
        <f t="shared" si="453"/>
        <v>-0,000624426589075458-0,0629185531861516i</v>
      </c>
      <c r="BG526" s="20">
        <f t="shared" si="454"/>
        <v>-24.023997722392323</v>
      </c>
      <c r="BH526" s="43">
        <f t="shared" si="455"/>
        <v>-90.568605472196765</v>
      </c>
      <c r="BI526" s="41" t="str">
        <f t="shared" si="460"/>
        <v>0,201589746953124+0,0547270785271211i</v>
      </c>
      <c r="BJ526" s="20">
        <f t="shared" si="456"/>
        <v>-13.601801563132195</v>
      </c>
      <c r="BK526" s="43">
        <f t="shared" si="461"/>
        <v>15.188447736647134</v>
      </c>
      <c r="BL526">
        <f t="shared" si="457"/>
        <v>-24.023997722392323</v>
      </c>
      <c r="BM526" s="43">
        <f t="shared" si="458"/>
        <v>-90.568605472196765</v>
      </c>
    </row>
    <row r="527" spans="14:65" x14ac:dyDescent="0.25">
      <c r="N527" s="9">
        <v>9</v>
      </c>
      <c r="O527" s="34">
        <f t="shared" si="462"/>
        <v>1230268.770812382</v>
      </c>
      <c r="P527" s="33" t="str">
        <f t="shared" si="411"/>
        <v>66,7780509511648</v>
      </c>
      <c r="Q527" s="4" t="str">
        <f t="shared" si="412"/>
        <v>1+30127,0043688108i</v>
      </c>
      <c r="R527" s="4">
        <f t="shared" si="424"/>
        <v>30127.004385407206</v>
      </c>
      <c r="S527" s="4">
        <f t="shared" si="425"/>
        <v>1.5707631339826478</v>
      </c>
      <c r="T527" s="4" t="str">
        <f t="shared" si="413"/>
        <v>1+7,73000666465025i</v>
      </c>
      <c r="U527" s="4">
        <f t="shared" si="426"/>
        <v>7.7944212764988059</v>
      </c>
      <c r="V527" s="4">
        <f t="shared" si="427"/>
        <v>1.4421448420360514</v>
      </c>
      <c r="W527" t="str">
        <f t="shared" si="414"/>
        <v>1-16,8156392914813i</v>
      </c>
      <c r="X527" s="4">
        <f t="shared" si="428"/>
        <v>16.845347273986658</v>
      </c>
      <c r="Y527" s="4">
        <f t="shared" si="429"/>
        <v>-1.511397832002322</v>
      </c>
      <c r="Z527" t="str">
        <f t="shared" si="415"/>
        <v>-0,51356124843621+3,30511967203504i</v>
      </c>
      <c r="AA527" s="4">
        <f t="shared" si="430"/>
        <v>3.3447811890119761</v>
      </c>
      <c r="AB527" s="4">
        <f t="shared" si="431"/>
        <v>1.724947162647847</v>
      </c>
      <c r="AC527" s="47" t="str">
        <f t="shared" si="432"/>
        <v>-0,084849280998438+0,0192744719797i</v>
      </c>
      <c r="AD527" s="20">
        <f t="shared" si="433"/>
        <v>-21.208521599553652</v>
      </c>
      <c r="AE527" s="43">
        <f t="shared" si="434"/>
        <v>167.20180546153486</v>
      </c>
      <c r="AF527" t="str">
        <f t="shared" si="416"/>
        <v>223,849857273222</v>
      </c>
      <c r="AG527" t="str">
        <f t="shared" si="417"/>
        <v>1+30514,0671072022i</v>
      </c>
      <c r="AH527">
        <f t="shared" si="435"/>
        <v>30514.067123588087</v>
      </c>
      <c r="AI527">
        <f t="shared" si="436"/>
        <v>1.570763555024548</v>
      </c>
      <c r="AJ527" t="str">
        <f t="shared" si="418"/>
        <v>1+7,73000666465025i</v>
      </c>
      <c r="AK527">
        <f t="shared" si="437"/>
        <v>7.7944212764988059</v>
      </c>
      <c r="AL527">
        <f t="shared" si="438"/>
        <v>1.4421448420360514</v>
      </c>
      <c r="AM527" t="str">
        <f t="shared" si="419"/>
        <v>1-5,08082461720205i</v>
      </c>
      <c r="AN527">
        <f t="shared" si="439"/>
        <v>5.1782988317367664</v>
      </c>
      <c r="AO527">
        <f t="shared" si="440"/>
        <v>-1.3764618178458736</v>
      </c>
      <c r="AP527" s="41" t="str">
        <f t="shared" si="441"/>
        <v>0,0194439657852122-0,295453588048161i</v>
      </c>
      <c r="AQ527">
        <f t="shared" si="442"/>
        <v>-10.571445821814898</v>
      </c>
      <c r="AR527" s="43">
        <f t="shared" si="443"/>
        <v>-86.234762244118983</v>
      </c>
      <c r="AS527" t="str">
        <f t="shared" si="420"/>
        <v>-0,0000166666666666667</v>
      </c>
      <c r="AT527" t="str">
        <f t="shared" si="421"/>
        <v>0,0077531966846442i</v>
      </c>
      <c r="AU527">
        <f t="shared" si="444"/>
        <v>7.7531966846442002E-3</v>
      </c>
      <c r="AV527">
        <f t="shared" si="445"/>
        <v>1.5707963267948966</v>
      </c>
      <c r="AW527" t="str">
        <f t="shared" si="422"/>
        <v>1+5,08654476437604i</v>
      </c>
      <c r="AX527">
        <f t="shared" si="446"/>
        <v>5.1839114228544938</v>
      </c>
      <c r="AY527">
        <f t="shared" si="447"/>
        <v>1.3766749075786413</v>
      </c>
      <c r="AZ527" t="str">
        <f t="shared" si="423"/>
        <v>1+1700,60146622305i</v>
      </c>
      <c r="BA527">
        <f t="shared" si="448"/>
        <v>1700.6017602366487</v>
      </c>
      <c r="BB527">
        <f t="shared" si="449"/>
        <v>1.5702082996147471</v>
      </c>
      <c r="BC527" s="41" t="str">
        <f t="shared" si="450"/>
        <v>-0,135629580992328+0,692035586047231i</v>
      </c>
      <c r="BD527">
        <f t="shared" si="451"/>
        <v>-3.0337399932582816</v>
      </c>
      <c r="BE527" s="43">
        <f t="shared" si="452"/>
        <v>101.08864655851964</v>
      </c>
      <c r="BF527" s="41" t="str">
        <f t="shared" si="453"/>
        <v>-0,00183054808290418-0,0613329104598953i</v>
      </c>
      <c r="BG527" s="20">
        <f t="shared" si="454"/>
        <v>-24.242261592811936</v>
      </c>
      <c r="BH527" s="43">
        <f t="shared" si="455"/>
        <v>-91.709547979945484</v>
      </c>
      <c r="BI527" s="41" t="str">
        <f t="shared" si="460"/>
        <v>0,201827220022389+0,0535281626069036i</v>
      </c>
      <c r="BJ527" s="20">
        <f t="shared" si="456"/>
        <v>-13.605185815073167</v>
      </c>
      <c r="BK527" s="43">
        <f t="shared" si="461"/>
        <v>14.853884314400636</v>
      </c>
      <c r="BL527">
        <f t="shared" si="457"/>
        <v>-24.242261592811936</v>
      </c>
      <c r="BM527" s="43">
        <f t="shared" si="458"/>
        <v>-91.709547979945484</v>
      </c>
    </row>
    <row r="528" spans="14:65" x14ac:dyDescent="0.25">
      <c r="N528" s="9">
        <v>10</v>
      </c>
      <c r="O528" s="34">
        <f t="shared" si="462"/>
        <v>1258925.4117941677</v>
      </c>
      <c r="P528" s="33" t="str">
        <f t="shared" si="411"/>
        <v>66,7780509511648</v>
      </c>
      <c r="Q528" s="4" t="str">
        <f t="shared" si="412"/>
        <v>1+30828,7524490157i</v>
      </c>
      <c r="R528" s="4">
        <f t="shared" si="424"/>
        <v>30828.752465234327</v>
      </c>
      <c r="S528" s="4">
        <f t="shared" si="425"/>
        <v>1.5707638895432983</v>
      </c>
      <c r="T528" s="4" t="str">
        <f t="shared" si="413"/>
        <v>1+7,91006165022012i</v>
      </c>
      <c r="U528" s="4">
        <f t="shared" si="426"/>
        <v>7.9730217176603162</v>
      </c>
      <c r="V528" s="4">
        <f t="shared" si="427"/>
        <v>1.445042178529621</v>
      </c>
      <c r="W528" t="str">
        <f t="shared" si="414"/>
        <v>1-17,2073258476937i</v>
      </c>
      <c r="X528" s="4">
        <f t="shared" si="428"/>
        <v>17.236358746229079</v>
      </c>
      <c r="Y528" s="4">
        <f t="shared" si="429"/>
        <v>-1.512746836209466</v>
      </c>
      <c r="Z528" t="str">
        <f t="shared" si="415"/>
        <v>-0,58489319246111+3,38210579904272i</v>
      </c>
      <c r="AA528" s="4">
        <f t="shared" si="430"/>
        <v>3.432308214963474</v>
      </c>
      <c r="AB528" s="4">
        <f t="shared" si="431"/>
        <v>1.7420401597251198</v>
      </c>
      <c r="AC528" s="47" t="str">
        <f t="shared" si="432"/>
        <v>-0,0842646223875942+0,0205241779135157i</v>
      </c>
      <c r="AD528" s="20">
        <f t="shared" si="433"/>
        <v>-21.236800391475413</v>
      </c>
      <c r="AE528" s="43">
        <f t="shared" si="434"/>
        <v>166.31111848463732</v>
      </c>
      <c r="AF528" t="str">
        <f t="shared" si="416"/>
        <v>223,849857273222</v>
      </c>
      <c r="AG528" t="str">
        <f t="shared" si="417"/>
        <v>1+31224,8310367847i</v>
      </c>
      <c r="AH528">
        <f t="shared" si="435"/>
        <v>31224.831052797599</v>
      </c>
      <c r="AI528">
        <f t="shared" si="436"/>
        <v>1.5707643010011147</v>
      </c>
      <c r="AJ528" t="str">
        <f t="shared" si="418"/>
        <v>1+7,91006165022012i</v>
      </c>
      <c r="AK528">
        <f t="shared" si="437"/>
        <v>7.9730217176603162</v>
      </c>
      <c r="AL528">
        <f t="shared" si="438"/>
        <v>1.445042178529621</v>
      </c>
      <c r="AM528" t="str">
        <f t="shared" si="419"/>
        <v>1-5,1991722257904i</v>
      </c>
      <c r="AN528">
        <f t="shared" si="439"/>
        <v>5.2944680406467937</v>
      </c>
      <c r="AO528">
        <f t="shared" si="440"/>
        <v>-1.3807785131521919</v>
      </c>
      <c r="AP528" s="41" t="str">
        <f t="shared" si="441"/>
        <v>0,0194439549658176-0,301997752424168i</v>
      </c>
      <c r="AQ528">
        <f t="shared" si="442"/>
        <v>-10.3819599452241</v>
      </c>
      <c r="AR528" s="43">
        <f t="shared" si="443"/>
        <v>-86.316128255013069</v>
      </c>
      <c r="AS528" t="str">
        <f t="shared" si="420"/>
        <v>-0,0000166666666666667</v>
      </c>
      <c r="AT528" t="str">
        <f t="shared" si="421"/>
        <v>0,00793379183517079i</v>
      </c>
      <c r="AU528">
        <f t="shared" si="444"/>
        <v>7.9337918351707892E-3</v>
      </c>
      <c r="AV528">
        <f t="shared" si="445"/>
        <v>1.5707963267948966</v>
      </c>
      <c r="AW528" t="str">
        <f t="shared" si="422"/>
        <v>1+5,20502561230835i</v>
      </c>
      <c r="AX528">
        <f t="shared" si="446"/>
        <v>5.3002161866084201</v>
      </c>
      <c r="AY528">
        <f t="shared" si="447"/>
        <v>1.3809871020988089</v>
      </c>
      <c r="AZ528" t="str">
        <f t="shared" si="423"/>
        <v>1+1740,21356304842i</v>
      </c>
      <c r="BA528">
        <f t="shared" si="448"/>
        <v>1740.2138503694532</v>
      </c>
      <c r="BB528">
        <f t="shared" si="449"/>
        <v>1.5702216847445398</v>
      </c>
      <c r="BC528" s="41" t="str">
        <f t="shared" si="450"/>
        <v>-0,129742540082794+0,677413963063338i</v>
      </c>
      <c r="BD528">
        <f t="shared" si="451"/>
        <v>-3.226460299124807</v>
      </c>
      <c r="BE528" s="43">
        <f t="shared" si="452"/>
        <v>100.84234292351992</v>
      </c>
      <c r="BF528" s="41" t="str">
        <f t="shared" si="453"/>
        <v>-0,00297065855132776-0,0597448907732266i</v>
      </c>
      <c r="BG528" s="20">
        <f t="shared" si="454"/>
        <v>-24.463260690600215</v>
      </c>
      <c r="BH528" s="43">
        <f t="shared" si="455"/>
        <v>-92.846538591842744</v>
      </c>
      <c r="BI528" s="41" t="str">
        <f t="shared" si="460"/>
        <v>0,202054786199356+0,0523535620898259i</v>
      </c>
      <c r="BJ528" s="20">
        <f t="shared" si="456"/>
        <v>-13.608420244348897</v>
      </c>
      <c r="BK528" s="43">
        <f t="shared" si="461"/>
        <v>14.526214668506862</v>
      </c>
      <c r="BL528">
        <f t="shared" si="457"/>
        <v>-24.463260690600215</v>
      </c>
      <c r="BM528" s="43">
        <f t="shared" si="458"/>
        <v>-92.846538591842744</v>
      </c>
    </row>
    <row r="529" spans="14:65" x14ac:dyDescent="0.25">
      <c r="N529" s="9">
        <v>11</v>
      </c>
      <c r="O529" s="34">
        <f t="shared" si="462"/>
        <v>1288249.5516931366</v>
      </c>
      <c r="P529" s="33" t="str">
        <f t="shared" si="411"/>
        <v>66,7780509511648</v>
      </c>
      <c r="Q529" s="4" t="str">
        <f t="shared" si="412"/>
        <v>1+31546,846341836i</v>
      </c>
      <c r="R529" s="4">
        <f t="shared" si="424"/>
        <v>31546.846357685441</v>
      </c>
      <c r="S529" s="4">
        <f t="shared" si="425"/>
        <v>1.5707646279052887</v>
      </c>
      <c r="T529" s="4" t="str">
        <f t="shared" si="413"/>
        <v>1+8,094310655179i</v>
      </c>
      <c r="U529" s="4">
        <f t="shared" si="426"/>
        <v>8.1558485139526873</v>
      </c>
      <c r="V529" s="4">
        <f t="shared" si="427"/>
        <v>1.4478756160108579</v>
      </c>
      <c r="W529" t="str">
        <f t="shared" si="414"/>
        <v>1-17,6081359558365i</v>
      </c>
      <c r="X529" s="4">
        <f t="shared" si="428"/>
        <v>17.636509060446802</v>
      </c>
      <c r="Y529" s="4">
        <f t="shared" si="429"/>
        <v>-1.5140653377482371</v>
      </c>
      <c r="Z529" t="str">
        <f t="shared" si="415"/>
        <v>-0,65958690743756+3,46088516331252i</v>
      </c>
      <c r="AA529" s="4">
        <f t="shared" si="430"/>
        <v>3.5231776852863628</v>
      </c>
      <c r="AB529" s="4">
        <f t="shared" si="431"/>
        <v>1.7591211873782839</v>
      </c>
      <c r="AC529" s="47" t="str">
        <f t="shared" si="432"/>
        <v>-0,0836387949759674+0,0217563400321795i</v>
      </c>
      <c r="AD529" s="20">
        <f t="shared" si="433"/>
        <v>-21.267499633039026</v>
      </c>
      <c r="AE529" s="43">
        <f t="shared" si="434"/>
        <v>165.41920482107494</v>
      </c>
      <c r="AF529" t="str">
        <f t="shared" si="416"/>
        <v>223,849857273222</v>
      </c>
      <c r="AG529" t="str">
        <f t="shared" si="417"/>
        <v>1+31952,1507850924i</v>
      </c>
      <c r="AH529">
        <f t="shared" si="435"/>
        <v>31952.150800740794</v>
      </c>
      <c r="AI529">
        <f t="shared" si="436"/>
        <v>1.5707650299971818</v>
      </c>
      <c r="AJ529" t="str">
        <f t="shared" si="418"/>
        <v>1+8,094310655179i</v>
      </c>
      <c r="AK529">
        <f t="shared" si="437"/>
        <v>8.1558485139526873</v>
      </c>
      <c r="AL529">
        <f t="shared" si="438"/>
        <v>1.4478756160108579</v>
      </c>
      <c r="AM529" t="str">
        <f t="shared" si="419"/>
        <v>1-5,32027650431205i</v>
      </c>
      <c r="AN529">
        <f t="shared" si="439"/>
        <v>5.413440872710706</v>
      </c>
      <c r="AO529">
        <f t="shared" si="440"/>
        <v>-1.3850038861270868</v>
      </c>
      <c r="AP529" s="41" t="str">
        <f t="shared" si="441"/>
        <v>0,0194439446333759-0,308702040005893i</v>
      </c>
      <c r="AQ529">
        <f t="shared" si="442"/>
        <v>-10.19201454265891</v>
      </c>
      <c r="AR529" s="43">
        <f t="shared" si="443"/>
        <v>-86.395922052552052</v>
      </c>
      <c r="AS529" t="str">
        <f t="shared" si="420"/>
        <v>-0,0000166666666666667</v>
      </c>
      <c r="AT529" t="str">
        <f t="shared" si="421"/>
        <v>0,00811859358714454i</v>
      </c>
      <c r="AU529">
        <f t="shared" si="444"/>
        <v>8.1185935871445399E-3</v>
      </c>
      <c r="AV529">
        <f t="shared" si="445"/>
        <v>1.5707963267948966</v>
      </c>
      <c r="AW529" t="str">
        <f t="shared" si="422"/>
        <v>1+5,32626623371699i</v>
      </c>
      <c r="AX529">
        <f t="shared" si="446"/>
        <v>5.4193276328741895</v>
      </c>
      <c r="AY529">
        <f t="shared" si="447"/>
        <v>1.3852080544684415</v>
      </c>
      <c r="AZ529" t="str">
        <f t="shared" si="423"/>
        <v>1+1780,74834413938i</v>
      </c>
      <c r="BA529">
        <f t="shared" si="448"/>
        <v>1780.7486249201888</v>
      </c>
      <c r="BB529">
        <f t="shared" si="449"/>
        <v>1.5702347651917796</v>
      </c>
      <c r="BC529" s="41" t="str">
        <f t="shared" si="450"/>
        <v>-0,124101990999432+0,663053144923021i</v>
      </c>
      <c r="BD529">
        <f t="shared" si="451"/>
        <v>-3.4194968355589634</v>
      </c>
      <c r="BE529" s="43">
        <f t="shared" si="452"/>
        <v>100.6012496216352</v>
      </c>
      <c r="BF529" s="41" t="str">
        <f t="shared" si="453"/>
        <v>-0,00404586869904039-0,0581569711612411i</v>
      </c>
      <c r="BG529" s="20">
        <f t="shared" si="454"/>
        <v>-24.686996468597986</v>
      </c>
      <c r="BH529" s="43">
        <f t="shared" si="455"/>
        <v>-93.979545557289839</v>
      </c>
      <c r="BI529" s="41" t="str">
        <f t="shared" si="460"/>
        <v>0,202272826228175+0,0512029064291866i</v>
      </c>
      <c r="BJ529" s="20">
        <f t="shared" si="456"/>
        <v>-13.611511378217871</v>
      </c>
      <c r="BK529" s="43">
        <f t="shared" si="461"/>
        <v>14.205327569083149</v>
      </c>
      <c r="BL529">
        <f t="shared" si="457"/>
        <v>-24.686996468597986</v>
      </c>
      <c r="BM529" s="43">
        <f t="shared" si="458"/>
        <v>-93.979545557289839</v>
      </c>
    </row>
    <row r="530" spans="14:65" x14ac:dyDescent="0.25">
      <c r="N530" s="9">
        <v>12</v>
      </c>
      <c r="O530" s="34">
        <f t="shared" si="462"/>
        <v>1318256.7385564097</v>
      </c>
      <c r="P530" s="33" t="str">
        <f t="shared" si="411"/>
        <v>66,7780509511648</v>
      </c>
      <c r="Q530" s="4" t="str">
        <f t="shared" si="412"/>
        <v>1+32281,6667901585i</v>
      </c>
      <c r="R530" s="4">
        <f t="shared" si="424"/>
        <v>32281.666805647164</v>
      </c>
      <c r="S530" s="4">
        <f t="shared" si="425"/>
        <v>1.5707653494601084</v>
      </c>
      <c r="T530" s="4" t="str">
        <f t="shared" si="413"/>
        <v>1+8,28285137078812i</v>
      </c>
      <c r="U530" s="4">
        <f t="shared" si="426"/>
        <v>8.3429986713750957</v>
      </c>
      <c r="V530" s="4">
        <f t="shared" si="427"/>
        <v>1.4506464747255516</v>
      </c>
      <c r="W530" t="str">
        <f t="shared" si="414"/>
        <v>1-18,0182821307343i</v>
      </c>
      <c r="X530" s="4">
        <f t="shared" si="428"/>
        <v>18.046010388524635</v>
      </c>
      <c r="Y530" s="4">
        <f t="shared" si="429"/>
        <v>-1.5153540173580746</v>
      </c>
      <c r="Z530" t="str">
        <f t="shared" si="415"/>
        <v>-0,73780082874938+3,54149953470614i</v>
      </c>
      <c r="AA530" s="4">
        <f t="shared" si="430"/>
        <v>3.6175363187156915</v>
      </c>
      <c r="AB530" s="4">
        <f t="shared" si="431"/>
        <v>1.7761885837349307</v>
      </c>
      <c r="AC530" s="47" t="str">
        <f t="shared" si="432"/>
        <v>-0,0829724282706811+0,0229694424270085i</v>
      </c>
      <c r="AD530" s="20">
        <f t="shared" si="433"/>
        <v>-21.300634679618817</v>
      </c>
      <c r="AE530" s="43">
        <f t="shared" si="434"/>
        <v>164.52619630770701</v>
      </c>
      <c r="AF530" t="str">
        <f t="shared" si="416"/>
        <v>223,849857273222</v>
      </c>
      <c r="AG530" t="str">
        <f t="shared" si="417"/>
        <v>1+32696,4119866831i</v>
      </c>
      <c r="AH530">
        <f t="shared" si="435"/>
        <v>32696.412001975295</v>
      </c>
      <c r="AI530">
        <f t="shared" si="436"/>
        <v>1.5707657423992725</v>
      </c>
      <c r="AJ530" t="str">
        <f t="shared" si="418"/>
        <v>1+8,28285137078812i</v>
      </c>
      <c r="AK530">
        <f t="shared" si="437"/>
        <v>8.3429986713750957</v>
      </c>
      <c r="AL530">
        <f t="shared" si="438"/>
        <v>1.4506464747255516</v>
      </c>
      <c r="AM530" t="str">
        <f t="shared" si="419"/>
        <v>1-5,44420166385848i</v>
      </c>
      <c r="AN530">
        <f t="shared" si="439"/>
        <v>5.5352806393858156</v>
      </c>
      <c r="AO530">
        <f t="shared" si="440"/>
        <v>-1.3891395733155132</v>
      </c>
      <c r="AP530" s="41" t="str">
        <f t="shared" si="441"/>
        <v>0,0194439347659707-0,315570005495354i</v>
      </c>
      <c r="AQ530">
        <f t="shared" si="442"/>
        <v>-10.001629128386584</v>
      </c>
      <c r="AR530" s="43">
        <f t="shared" si="443"/>
        <v>-86.474161781489329</v>
      </c>
      <c r="AS530" t="str">
        <f t="shared" si="420"/>
        <v>-0,0000166666666666667</v>
      </c>
      <c r="AT530" t="str">
        <f t="shared" si="421"/>
        <v>0,00830769992490048i</v>
      </c>
      <c r="AU530">
        <f t="shared" si="444"/>
        <v>8.3076999249004808E-3</v>
      </c>
      <c r="AV530">
        <f t="shared" si="445"/>
        <v>1.5707963267948966</v>
      </c>
      <c r="AW530" t="str">
        <f t="shared" si="422"/>
        <v>1+5,45033091198421i</v>
      </c>
      <c r="AX530">
        <f t="shared" si="446"/>
        <v>5.5413091458725381</v>
      </c>
      <c r="AY530">
        <f t="shared" si="447"/>
        <v>1.3893394007816422</v>
      </c>
      <c r="AZ530" t="str">
        <f t="shared" si="423"/>
        <v>1+1822,22730157338i</v>
      </c>
      <c r="BA530">
        <f t="shared" si="448"/>
        <v>1822.2275759628385</v>
      </c>
      <c r="BB530">
        <f t="shared" si="449"/>
        <v>1.5702475478918747</v>
      </c>
      <c r="BC530" s="41" t="str">
        <f t="shared" si="450"/>
        <v>-0,118698383555946+0,648951640097605i</v>
      </c>
      <c r="BD530">
        <f t="shared" si="451"/>
        <v>-3.6128363403208148</v>
      </c>
      <c r="BE530" s="43">
        <f t="shared" si="452"/>
        <v>100.36527330894816</v>
      </c>
      <c r="BF530" s="41" t="str">
        <f t="shared" si="453"/>
        <v>-0,00505736421969316-0,0565715290964067i</v>
      </c>
      <c r="BG530" s="20">
        <f t="shared" si="454"/>
        <v>-24.913471019939625</v>
      </c>
      <c r="BH530" s="43">
        <f t="shared" si="455"/>
        <v>-95.108530383344828</v>
      </c>
      <c r="BI530" s="41" t="str">
        <f t="shared" si="460"/>
        <v>0,202481709005132+0,050075822907367i</v>
      </c>
      <c r="BJ530" s="20">
        <f t="shared" si="456"/>
        <v>-13.614465468707408</v>
      </c>
      <c r="BK530" s="43">
        <f t="shared" si="461"/>
        <v>13.891111527458852</v>
      </c>
      <c r="BL530">
        <f t="shared" si="457"/>
        <v>-24.913471019939625</v>
      </c>
      <c r="BM530" s="43">
        <f t="shared" si="458"/>
        <v>-95.108530383344828</v>
      </c>
    </row>
    <row r="531" spans="14:65" x14ac:dyDescent="0.25">
      <c r="N531" s="9">
        <v>13</v>
      </c>
      <c r="O531" s="34">
        <f t="shared" si="462"/>
        <v>1348962.8825916562</v>
      </c>
      <c r="P531" s="33" t="str">
        <f t="shared" ref="P531:P560" si="463">COMPLEX(Adc,0)</f>
        <v>66,7780509511648</v>
      </c>
      <c r="Q531" s="4" t="str">
        <f t="shared" ref="Q531:Q560" si="464">IMSUM(COMPLEX(1,0),IMDIV(COMPLEX(0,2*PI()*O531),COMPLEX(wp_lf,0)))</f>
        <v>1+33033,6034055115i</v>
      </c>
      <c r="R531" s="4">
        <f t="shared" si="424"/>
        <v>33033.603420647596</v>
      </c>
      <c r="S531" s="4">
        <f t="shared" si="425"/>
        <v>1.570766054590335</v>
      </c>
      <c r="T531" s="4" t="str">
        <f t="shared" ref="T531:T560" si="465">IMSUM(COMPLEX(1,0),IMDIV(COMPLEX(0,2*PI()*O531),COMPLEX(wz_esr,0)))</f>
        <v>1+8,47578376383051i</v>
      </c>
      <c r="U531" s="4">
        <f t="shared" si="426"/>
        <v>8.5345714837484881</v>
      </c>
      <c r="V531" s="4">
        <f t="shared" si="427"/>
        <v>1.4533560535387888</v>
      </c>
      <c r="W531" t="str">
        <f t="shared" ref="W531:W560" si="466">IMSUB(COMPLEX(1,0),IMDIV(COMPLEX(0,2*PI()*O531),COMPLEX(wz_rhp,0)))</f>
        <v>1-18,4379818373179i</v>
      </c>
      <c r="X531" s="4">
        <f t="shared" si="428"/>
        <v>18.465079859921122</v>
      </c>
      <c r="Y531" s="4">
        <f t="shared" si="429"/>
        <v>-1.5166135411834398</v>
      </c>
      <c r="Z531" t="str">
        <f t="shared" ref="Z531:Z560" si="467">IMSUM(COMPLEX(1,0),IMDIV(COMPLEX(0,2*PI()*O531),COMPLEX(Q*(wsl/2),0)),IMDIV(IMPOWER(COMPLEX(0,2*PI()*O531),2),IMPOWER(COMPLEX(wsl/2,0),2)))</f>
        <v>-0,81970085860999+3,62399165603034i</v>
      </c>
      <c r="AA531" s="4">
        <f t="shared" si="430"/>
        <v>3.715538321775659</v>
      </c>
      <c r="AB531" s="4">
        <f t="shared" si="431"/>
        <v>1.7932405629308532</v>
      </c>
      <c r="AC531" s="47" t="str">
        <f t="shared" si="432"/>
        <v>-0,0822662223394771+0,0241619870045114i</v>
      </c>
      <c r="AD531" s="20">
        <f t="shared" si="433"/>
        <v>-21.33622091656941</v>
      </c>
      <c r="AE531" s="43">
        <f t="shared" si="434"/>
        <v>163.6322314973167</v>
      </c>
      <c r="AF531" t="str">
        <f t="shared" ref="AF531:AF560" si="468">COMPLEX($B$72,0)</f>
        <v>223,849857273222</v>
      </c>
      <c r="AG531" t="str">
        <f t="shared" ref="AG531:AG560" si="469">IMSUM(COMPLEX(1,0),IMDIV(COMPLEX(0,2*PI()*O531),COMPLEX(wp_lf_DCM,0)))</f>
        <v>1+33458,0092586972i</v>
      </c>
      <c r="AH531">
        <f t="shared" si="435"/>
        <v>33458.009273641306</v>
      </c>
      <c r="AI531">
        <f t="shared" si="436"/>
        <v>1.5707664385851119</v>
      </c>
      <c r="AJ531" t="str">
        <f t="shared" ref="AJ531:AJ560" si="470">IMSUM(COMPLEX(1,0),IMDIV(COMPLEX(0,2*PI()*O531),COMPLEX(wz1_dcm,0)))</f>
        <v>1+8,47578376383051i</v>
      </c>
      <c r="AK531">
        <f t="shared" si="437"/>
        <v>8.5345714837484881</v>
      </c>
      <c r="AL531">
        <f t="shared" si="438"/>
        <v>1.4533560535387888</v>
      </c>
      <c r="AM531" t="str">
        <f t="shared" ref="AM531:AM560" si="471">IMSUB(COMPLEX(1,0),IMDIV(COMPLEX(0,2*PI()*O531),COMPLEX(wz2_dcm,0)))</f>
        <v>1-5,57101341118959i</v>
      </c>
      <c r="AN531">
        <f t="shared" si="439"/>
        <v>5.6600521576796679</v>
      </c>
      <c r="AO531">
        <f t="shared" si="440"/>
        <v>-1.3931872013455673</v>
      </c>
      <c r="AP531" s="41" t="str">
        <f t="shared" si="441"/>
        <v>0,019443925342672-0,322605290378766i</v>
      </c>
      <c r="AQ531">
        <f t="shared" si="442"/>
        <v>-9.8108224365702839</v>
      </c>
      <c r="AR531" s="43">
        <f t="shared" si="443"/>
        <v>-86.550866242904064</v>
      </c>
      <c r="AS531" t="str">
        <f t="shared" ref="AS531:AS560" si="472">COMPLEX(Adc_ea,0)</f>
        <v>-0,0000166666666666667</v>
      </c>
      <c r="AT531" t="str">
        <f t="shared" ref="AT531:AT560" si="473">COMPLEX(0,2*PI()*O531*wp0_ea)</f>
        <v>0,00850121111512201i</v>
      </c>
      <c r="AU531">
        <f t="shared" si="444"/>
        <v>8.5012111151220107E-3</v>
      </c>
      <c r="AV531">
        <f t="shared" si="445"/>
        <v>1.5707963267948966</v>
      </c>
      <c r="AW531" t="str">
        <f t="shared" ref="AW531:AW560" si="474">IMSUM(COMPLEX(1,0),IMDIV(COMPLEX(0,2*PI()*O531),COMPLEX(wp1_ea,0)))</f>
        <v>1+5,5772854278446i</v>
      </c>
      <c r="AX531">
        <f t="shared" si="446"/>
        <v>5.6662256170794789</v>
      </c>
      <c r="AY531">
        <f t="shared" si="447"/>
        <v>1.3933827671457195</v>
      </c>
      <c r="AZ531" t="str">
        <f t="shared" ref="AZ531:AZ560" si="475">IMSUM(COMPLEX(1,0),IMDIV(COMPLEX(0,2*PI()*O531),COMPLEX(wz_ea,0)))</f>
        <v>1+1864,67242804271i</v>
      </c>
      <c r="BA531">
        <f t="shared" si="448"/>
        <v>1864.6726961863028</v>
      </c>
      <c r="BB531">
        <f t="shared" si="449"/>
        <v>1.5702600396223654</v>
      </c>
      <c r="BC531" s="41" t="str">
        <f t="shared" si="450"/>
        <v>-0,113522471600598+0,635107731563793i</v>
      </c>
      <c r="BD531">
        <f t="shared" si="451"/>
        <v>-3.8064660668557804</v>
      </c>
      <c r="BE531" s="43">
        <f t="shared" si="452"/>
        <v>100.1343212046973</v>
      </c>
      <c r="BF531" s="41" t="str">
        <f t="shared" si="453"/>
        <v>-0,00600639986728731-0,0549908423378816i</v>
      </c>
      <c r="BG531" s="20">
        <f t="shared" si="454"/>
        <v>-25.14268698342519</v>
      </c>
      <c r="BH531" s="43">
        <f t="shared" si="455"/>
        <v>-96.233447297986004</v>
      </c>
      <c r="BI531" s="41" t="str">
        <f t="shared" si="460"/>
        <v>0,202681791700419+0,0489719372323063i</v>
      </c>
      <c r="BJ531" s="20">
        <f t="shared" si="456"/>
        <v>-13.617288503426067</v>
      </c>
      <c r="BK531" s="43">
        <f t="shared" si="461"/>
        <v>13.583454961793251</v>
      </c>
      <c r="BL531">
        <f t="shared" si="457"/>
        <v>-25.14268698342519</v>
      </c>
      <c r="BM531" s="43">
        <f t="shared" si="458"/>
        <v>-96.233447297986004</v>
      </c>
    </row>
    <row r="532" spans="14:65" x14ac:dyDescent="0.25">
      <c r="N532" s="9">
        <v>14</v>
      </c>
      <c r="O532" s="34">
        <f t="shared" si="462"/>
        <v>1380384.2646028849</v>
      </c>
      <c r="P532" s="33" t="str">
        <f t="shared" si="463"/>
        <v>66,7780509511648</v>
      </c>
      <c r="Q532" s="4" t="str">
        <f t="shared" si="464"/>
        <v>1+33803,0548746415i</v>
      </c>
      <c r="R532" s="4">
        <f t="shared" ref="R532:R560" si="476">IMABS(Q532)</f>
        <v>33803.054889433064</v>
      </c>
      <c r="S532" s="4">
        <f t="shared" ref="S532:S560" si="477">IMARGUMENT(Q532)</f>
        <v>1.5707667436698383</v>
      </c>
      <c r="T532" s="4" t="str">
        <f t="shared" si="465"/>
        <v>1+8,67321012961474i</v>
      </c>
      <c r="U532" s="4">
        <f t="shared" ref="U532:U560" si="478">IMABS(T532)</f>
        <v>8.7306685856497683</v>
      </c>
      <c r="V532" s="4">
        <f t="shared" ref="V532:V560" si="479">IMARGUMENT(T532)</f>
        <v>1.4560056298736781</v>
      </c>
      <c r="W532" t="str">
        <f t="shared" si="466"/>
        <v>1-18,8674576059272i</v>
      </c>
      <c r="X532" s="4">
        <f t="shared" ref="X532:X560" si="480">IMABS(W532)</f>
        <v>18.893939676823891</v>
      </c>
      <c r="Y532" s="4">
        <f t="shared" ref="Y532:Y560" si="481">IMARGUMENT(W532)</f>
        <v>-1.5178445610466096</v>
      </c>
      <c r="Z532" t="str">
        <f t="shared" si="467"/>
        <v>-0,90546071796324+3,70840526569976i</v>
      </c>
      <c r="AA532" s="4">
        <f t="shared" ref="AA532:AA560" si="482">IMABS(Z532)</f>
        <v>3.8173457698306832</v>
      </c>
      <c r="AB532" s="4">
        <f t="shared" ref="AB532:AB560" si="483">IMARGUMENT(Z532)</f>
        <v>1.8102752077691249</v>
      </c>
      <c r="AC532" s="47" t="str">
        <f t="shared" ref="AC532:AC560" si="484">(IMDIV(IMPRODUCT(P532,T532,W532),IMPRODUCT(Q532,Z532)))</f>
        <v>-0,0815209482430097+0,0253324970062901i</v>
      </c>
      <c r="AD532" s="20">
        <f t="shared" ref="AD532:AD560" si="485">20*LOG(IMABS(AC532))</f>
        <v>-21.374273674617697</v>
      </c>
      <c r="AE532" s="43">
        <f t="shared" ref="AE532:AE560" si="486">(180/PI())*IMARGUMENT(AC532)</f>
        <v>162.73745606006258</v>
      </c>
      <c r="AF532" t="str">
        <f t="shared" si="468"/>
        <v>223,849857273222</v>
      </c>
      <c r="AG532" t="str">
        <f t="shared" si="469"/>
        <v>1+34237,3464100894i</v>
      </c>
      <c r="AH532">
        <f t="shared" ref="AH532:AH560" si="487">IMABS(AG532)</f>
        <v>34237.346424693336</v>
      </c>
      <c r="AI532">
        <f t="shared" ref="AI532:AI560" si="488">IMARGUMENT(AG532)</f>
        <v>1.5707671189238268</v>
      </c>
      <c r="AJ532" t="str">
        <f t="shared" si="470"/>
        <v>1+8,67321012961474i</v>
      </c>
      <c r="AK532">
        <f t="shared" ref="AK532:AK560" si="489">IMABS(AJ532)</f>
        <v>8.7306685856497683</v>
      </c>
      <c r="AL532">
        <f t="shared" ref="AL532:AL560" si="490">IMARGUMENT(AJ532)</f>
        <v>1.4560056298736781</v>
      </c>
      <c r="AM532" t="str">
        <f t="shared" si="471"/>
        <v>1-5,7007789835724i</v>
      </c>
      <c r="AN532">
        <f t="shared" ref="AN532:AN560" si="491">IMABS(AM532)</f>
        <v>5.7878217853991298</v>
      </c>
      <c r="AO532">
        <f t="shared" ref="AO532:AO560" si="492">IMARGUMENT(AM532)</f>
        <v>-1.3971483855541269</v>
      </c>
      <c r="AP532" s="41" t="str">
        <f t="shared" ref="AP532:AP560" si="493">(IMDIV(IMPRODUCT(AF532,AJ532,AM532),IMPRODUCT(AG532)))</f>
        <v>0,0194439163434914-0,329811624857295i</v>
      </c>
      <c r="AQ532">
        <f t="shared" ref="AQ532:AQ560" si="494">20*LOG(IMABS(AP532))</f>
        <v>-9.6196124483072207</v>
      </c>
      <c r="AR532" s="43">
        <f t="shared" ref="AR532:AR560" si="495">(180/PI())*IMARGUMENT(AP532)</f>
        <v>-86.626054818978531</v>
      </c>
      <c r="AS532" t="str">
        <f t="shared" si="472"/>
        <v>-0,0000166666666666667</v>
      </c>
      <c r="AT532" t="str">
        <f t="shared" si="473"/>
        <v>0,00869922976000359i</v>
      </c>
      <c r="AU532">
        <f t="shared" ref="AU532:AU560" si="496">IMABS(AT532)</f>
        <v>8.6992297600035906E-3</v>
      </c>
      <c r="AV532">
        <f t="shared" ref="AV532:AV560" si="497">IMARGUMENT(AT532)</f>
        <v>1.5707963267948966</v>
      </c>
      <c r="AW532" t="str">
        <f t="shared" si="474"/>
        <v>1+5,70719709426294i</v>
      </c>
      <c r="AX532">
        <f t="shared" ref="AX532:AX560" si="498">IMABS(AW532)</f>
        <v>5.7941434805123144</v>
      </c>
      <c r="AY532">
        <f t="shared" ref="AY532:AY560" si="499">IMARGUMENT(AW532)</f>
        <v>1.3973397683126123</v>
      </c>
      <c r="AZ532" t="str">
        <f t="shared" si="475"/>
        <v>1+1908,10622851524i</v>
      </c>
      <c r="BA532">
        <f t="shared" ref="BA532:BA560" si="500">IMABS(AZ532)</f>
        <v>1908.10649055514</v>
      </c>
      <c r="BB532">
        <f t="shared" ref="BB532:BB560" si="501">IMARGUMENT(AZ532)</f>
        <v>1.5702722470065167</v>
      </c>
      <c r="BC532" s="41" t="str">
        <f t="shared" ref="BC532:BC560" si="502">IMPRODUCT(AS532,IMDIV(AZ532,IMPRODUCT(AT532,AW532)))</f>
        <v>-0,108565309177507+0,621519495506991i</v>
      </c>
      <c r="BD532">
        <f t="shared" ref="BD532:BD560" si="503">20*LOG(IMABS(BC532))</f>
        <v>-4.0003737677144411</v>
      </c>
      <c r="BE532" s="43">
        <f t="shared" ref="BE532:BE560" si="504">(180/PI())*IMARGUMENT(BC532)</f>
        <v>99.908301169896717</v>
      </c>
      <c r="BF532" s="41" t="str">
        <f t="shared" ref="BF532:BF560" si="505">IMPRODUCT(AC532,BC532)</f>
        <v>-0,00689429380883589-0,0534170889949731i</v>
      </c>
      <c r="BG532" s="20">
        <f t="shared" ref="BG532:BG560" si="506">20*LOG(IMABS(BF532))</f>
        <v>-25.374647442332133</v>
      </c>
      <c r="BH532" s="43">
        <f t="shared" ref="BH532:BH560" si="507">(180/PI())*IMARGUMENT(BF532)</f>
        <v>-97.354242770040685</v>
      </c>
      <c r="BI532" s="41" t="str">
        <f t="shared" si="460"/>
        <v>0,202873419904194+0,0478908740994551i</v>
      </c>
      <c r="BJ532" s="20">
        <f t="shared" ref="BJ532:BJ560" si="508">20*LOG(IMABS(BI532))</f>
        <v>-13.619986216021669</v>
      </c>
      <c r="BK532" s="43">
        <f t="shared" si="461"/>
        <v>13.282246350918204</v>
      </c>
      <c r="BL532">
        <f t="shared" ref="BL532:BL560" si="509">IF($B$31=0,BJ532,BG532)</f>
        <v>-25.374647442332133</v>
      </c>
      <c r="BM532" s="43">
        <f t="shared" ref="BM532:BM560" si="510">IF($B$31=0,BK532,BH532)</f>
        <v>-97.354242770040685</v>
      </c>
    </row>
    <row r="533" spans="14:65" x14ac:dyDescent="0.25">
      <c r="N533" s="9">
        <v>15</v>
      </c>
      <c r="O533" s="34">
        <f t="shared" si="462"/>
        <v>1412537.5446227565</v>
      </c>
      <c r="P533" s="33" t="str">
        <f t="shared" si="463"/>
        <v>66,7780509511648</v>
      </c>
      <c r="Q533" s="4" t="str">
        <f t="shared" si="464"/>
        <v>1+34590,4291709025i</v>
      </c>
      <c r="R533" s="4">
        <f t="shared" si="476"/>
        <v>34590.42918535736</v>
      </c>
      <c r="S533" s="4">
        <f t="shared" si="477"/>
        <v>1.5707674170639772</v>
      </c>
      <c r="T533" s="4" t="str">
        <f t="shared" si="465"/>
        <v>1+8,87523514621323i</v>
      </c>
      <c r="U533" s="4">
        <f t="shared" si="478"/>
        <v>8.9313940065691089</v>
      </c>
      <c r="V533" s="4">
        <f t="shared" si="479"/>
        <v>1.4585964596847956</v>
      </c>
      <c r="W533" t="str">
        <f t="shared" si="466"/>
        <v>1-19,3069371502995i</v>
      </c>
      <c r="X533" s="4">
        <f t="shared" si="480"/>
        <v>19.332817231992209</v>
      </c>
      <c r="Y533" s="4">
        <f t="shared" si="481"/>
        <v>-1.5190477147181509</v>
      </c>
      <c r="Z533" t="str">
        <f t="shared" si="467"/>
        <v>-0,99526231496888+3,79478512092762i</v>
      </c>
      <c r="AA533" s="4">
        <f t="shared" si="482"/>
        <v>3.923129004966682</v>
      </c>
      <c r="AB533" s="4">
        <f t="shared" si="483"/>
        <v>1.8272904633483833</v>
      </c>
      <c r="AC533" s="47" t="str">
        <f t="shared" si="484"/>
        <v>-0,080737448270948+0,0264795207280795i</v>
      </c>
      <c r="AD533" s="20">
        <f t="shared" si="485"/>
        <v>-21.414808139167679</v>
      </c>
      <c r="AE533" s="43">
        <f t="shared" si="486"/>
        <v>161.84202313152119</v>
      </c>
      <c r="AF533" t="str">
        <f t="shared" si="468"/>
        <v>223,849857273222</v>
      </c>
      <c r="AG533" t="str">
        <f t="shared" si="469"/>
        <v>1+35034,8366557332i</v>
      </c>
      <c r="AH533">
        <f t="shared" si="487"/>
        <v>35034.836670004705</v>
      </c>
      <c r="AI533">
        <f t="shared" si="488"/>
        <v>1.570767783776142</v>
      </c>
      <c r="AJ533" t="str">
        <f t="shared" si="470"/>
        <v>1+8,87523514621323i</v>
      </c>
      <c r="AK533">
        <f t="shared" si="489"/>
        <v>8.9313940065691089</v>
      </c>
      <c r="AL533">
        <f t="shared" si="490"/>
        <v>1.4585964596847956</v>
      </c>
      <c r="AM533" t="str">
        <f t="shared" si="471"/>
        <v>1-5,83356718443105i</v>
      </c>
      <c r="AN533">
        <f t="shared" si="491"/>
        <v>5.9186574571663471</v>
      </c>
      <c r="AO533">
        <f t="shared" si="492"/>
        <v>-1.401024728727964</v>
      </c>
      <c r="AP533" s="41" t="str">
        <f t="shared" si="493"/>
        <v>0,0194439077493407-0,337192829824875i</v>
      </c>
      <c r="AQ533">
        <f t="shared" si="494"/>
        <v>-9.4280164180902712</v>
      </c>
      <c r="AR533" s="43">
        <f t="shared" si="495"/>
        <v>-86.699747402401698</v>
      </c>
      <c r="AS533" t="str">
        <f t="shared" si="472"/>
        <v>-0,0000166666666666667</v>
      </c>
      <c r="AT533" t="str">
        <f t="shared" si="473"/>
        <v>0,00890186085165188i</v>
      </c>
      <c r="AU533">
        <f t="shared" si="496"/>
        <v>8.9018608516518802E-3</v>
      </c>
      <c r="AV533">
        <f t="shared" si="497"/>
        <v>1.5707963267948966</v>
      </c>
      <c r="AW533" t="str">
        <f t="shared" si="474"/>
        <v>1+5,84013479212436i</v>
      </c>
      <c r="AX533">
        <f t="shared" si="498"/>
        <v>5.9251307487836451</v>
      </c>
      <c r="AY533">
        <f t="shared" si="499"/>
        <v>1.401212006425488</v>
      </c>
      <c r="AZ533" t="str">
        <f t="shared" si="475"/>
        <v>1+1952,55173216691i</v>
      </c>
      <c r="BA533">
        <f t="shared" si="500"/>
        <v>1952.5519882420544</v>
      </c>
      <c r="BB533">
        <f t="shared" si="501"/>
        <v>1.5702841765168307</v>
      </c>
      <c r="BC533" s="41" t="str">
        <f t="shared" si="502"/>
        <v>-0,103818246140757+0,608184819057921i</v>
      </c>
      <c r="BD533">
        <f t="shared" si="503"/>
        <v>-4.1945476781977833</v>
      </c>
      <c r="BE533" s="43">
        <f t="shared" si="504"/>
        <v>99.687121779351912</v>
      </c>
      <c r="BF533" s="41" t="str">
        <f t="shared" si="505"/>
        <v>-0,00772242224537758-0,0518523477685018i</v>
      </c>
      <c r="BG533" s="20">
        <f t="shared" si="506"/>
        <v>-25.609355817365461</v>
      </c>
      <c r="BH533" s="43">
        <f t="shared" si="507"/>
        <v>-98.470855089126871</v>
      </c>
      <c r="BI533" s="41" t="str">
        <f t="shared" si="460"/>
        <v>0,203056927794011+0,0468322577199689i</v>
      </c>
      <c r="BJ533" s="20">
        <f t="shared" si="508"/>
        <v>-13.622564096288041</v>
      </c>
      <c r="BK533" s="43">
        <f t="shared" si="461"/>
        <v>12.987374376950195</v>
      </c>
      <c r="BL533">
        <f t="shared" si="509"/>
        <v>-25.609355817365461</v>
      </c>
      <c r="BM533" s="43">
        <f t="shared" si="510"/>
        <v>-98.470855089126871</v>
      </c>
    </row>
    <row r="534" spans="14:65" x14ac:dyDescent="0.25">
      <c r="N534" s="9">
        <v>16</v>
      </c>
      <c r="O534" s="34">
        <f t="shared" si="462"/>
        <v>1445439.7707459298</v>
      </c>
      <c r="P534" s="33" t="str">
        <f t="shared" si="463"/>
        <v>66,7780509511648</v>
      </c>
      <c r="Q534" s="4" t="str">
        <f t="shared" si="464"/>
        <v>1+35396,1437705684i</v>
      </c>
      <c r="R534" s="4">
        <f t="shared" si="476"/>
        <v>35396.143784694235</v>
      </c>
      <c r="S534" s="4">
        <f t="shared" si="477"/>
        <v>1.5707680751297939</v>
      </c>
      <c r="T534" s="4" t="str">
        <f t="shared" si="465"/>
        <v>1+9,08196592996386i</v>
      </c>
      <c r="U534" s="4">
        <f t="shared" si="478"/>
        <v>9.136854226320148</v>
      </c>
      <c r="V534" s="4">
        <f t="shared" si="479"/>
        <v>1.4611297774636762</v>
      </c>
      <c r="W534" t="str">
        <f t="shared" si="466"/>
        <v>1-19,7566534883065i</v>
      </c>
      <c r="X534" s="4">
        <f t="shared" si="480"/>
        <v>19.781945229350256</v>
      </c>
      <c r="Y534" s="4">
        <f t="shared" si="481"/>
        <v>-1.5202236261848854</v>
      </c>
      <c r="Z534" t="str">
        <f t="shared" si="467"/>
        <v>-1,08929613085404+3,88317702145651i</v>
      </c>
      <c r="AA534" s="4">
        <f t="shared" si="482"/>
        <v>4.0330670513470794</v>
      </c>
      <c r="AB534" s="4">
        <f t="shared" si="483"/>
        <v>1.8442841317163774</v>
      </c>
      <c r="AC534" s="47" t="str">
        <f t="shared" si="484"/>
        <v>-0,0799166359485692+0,0276016354257033i</v>
      </c>
      <c r="AD534" s="20">
        <f t="shared" si="485"/>
        <v>-21.457839254227689</v>
      </c>
      <c r="AE534" s="43">
        <f t="shared" si="486"/>
        <v>160.94609360396677</v>
      </c>
      <c r="AF534" t="str">
        <f t="shared" si="468"/>
        <v>223,849857273222</v>
      </c>
      <c r="AG534" t="str">
        <f t="shared" si="469"/>
        <v>1+35850,9028355127i</v>
      </c>
      <c r="AH534">
        <f t="shared" si="487"/>
        <v>35850.902849459351</v>
      </c>
      <c r="AI534">
        <f t="shared" si="488"/>
        <v>1.5707684334945708</v>
      </c>
      <c r="AJ534" t="str">
        <f t="shared" si="470"/>
        <v>1+9,08196592996386i</v>
      </c>
      <c r="AK534">
        <f t="shared" si="489"/>
        <v>9.136854226320148</v>
      </c>
      <c r="AL534">
        <f t="shared" si="490"/>
        <v>1.4611297774636762</v>
      </c>
      <c r="AM534" t="str">
        <f t="shared" si="471"/>
        <v>1-5,96944841982727i</v>
      </c>
      <c r="AN534">
        <f t="shared" si="491"/>
        <v>6.0526287212233898</v>
      </c>
      <c r="AO534">
        <f t="shared" si="492"/>
        <v>-1.4048178199542867</v>
      </c>
      <c r="AP534" s="41" t="str">
        <f t="shared" si="493"/>
        <v>0,0194438995419906-0,34475281889408i</v>
      </c>
      <c r="AQ534">
        <f t="shared" si="494"/>
        <v>-9.236050899672346</v>
      </c>
      <c r="AR534" s="43">
        <f t="shared" si="495"/>
        <v>-86.7719643302066</v>
      </c>
      <c r="AS534" t="str">
        <f t="shared" si="472"/>
        <v>-0,0000166666666666667</v>
      </c>
      <c r="AT534" t="str">
        <f t="shared" si="473"/>
        <v>0,00910921182775375i</v>
      </c>
      <c r="AU534">
        <f t="shared" si="496"/>
        <v>9.10921182775375E-3</v>
      </c>
      <c r="AV534">
        <f t="shared" si="497"/>
        <v>1.5707963267948966</v>
      </c>
      <c r="AW534" t="str">
        <f t="shared" si="474"/>
        <v>1+5,97616900675588i</v>
      </c>
      <c r="AX534">
        <f t="shared" si="498"/>
        <v>6.0592570499451135</v>
      </c>
      <c r="AY534">
        <f t="shared" si="499"/>
        <v>1.4050010698744817</v>
      </c>
      <c r="AZ534" t="str">
        <f t="shared" si="475"/>
        <v>1+1998,03250459205i</v>
      </c>
      <c r="BA534">
        <f t="shared" si="500"/>
        <v>1998.0327548382134</v>
      </c>
      <c r="BB534">
        <f t="shared" si="501"/>
        <v>1.5702958344784783</v>
      </c>
      <c r="BC534" s="41" t="str">
        <f t="shared" si="502"/>
        <v>-0,0992729232922362+0,595101417086786i</v>
      </c>
      <c r="BD534">
        <f t="shared" si="503"/>
        <v>-4.3889765002569421</v>
      </c>
      <c r="BE534" s="43">
        <f t="shared" si="504"/>
        <v>99.470692387417429</v>
      </c>
      <c r="BF534" s="41" t="str">
        <f t="shared" si="505"/>
        <v>-0,00849221428545299-0,0502985983381584i</v>
      </c>
      <c r="BG534" s="20">
        <f t="shared" si="506"/>
        <v>-25.846815754484638</v>
      </c>
      <c r="BH534" s="43">
        <f t="shared" si="507"/>
        <v>-99.583214008615812</v>
      </c>
      <c r="BI534" s="41" t="str">
        <f t="shared" si="460"/>
        <v>0,203232638320797+0,0457957123159859i</v>
      </c>
      <c r="BJ534" s="20">
        <f t="shared" si="508"/>
        <v>-13.625027399929293</v>
      </c>
      <c r="BK534" s="43">
        <f t="shared" si="461"/>
        <v>12.698728057210833</v>
      </c>
      <c r="BL534">
        <f t="shared" si="509"/>
        <v>-25.846815754484638</v>
      </c>
      <c r="BM534" s="43">
        <f t="shared" si="510"/>
        <v>-99.583214008615812</v>
      </c>
    </row>
    <row r="535" spans="14:65" x14ac:dyDescent="0.25">
      <c r="N535" s="9">
        <v>17</v>
      </c>
      <c r="O535" s="34">
        <f t="shared" si="462"/>
        <v>1479108.3881682095</v>
      </c>
      <c r="P535" s="33" t="str">
        <f t="shared" si="463"/>
        <v>66,7780509511648</v>
      </c>
      <c r="Q535" s="4" t="str">
        <f t="shared" si="464"/>
        <v>1+36220,6258741846i</v>
      </c>
      <c r="R535" s="4">
        <f t="shared" si="476"/>
        <v>36220.625887988892</v>
      </c>
      <c r="S535" s="4">
        <f t="shared" si="477"/>
        <v>1.570768718216204</v>
      </c>
      <c r="T535" s="4" t="str">
        <f t="shared" si="465"/>
        <v>1+9,29351209226457i</v>
      </c>
      <c r="U535" s="4">
        <f t="shared" si="478"/>
        <v>9.3471582317337383</v>
      </c>
      <c r="V535" s="4">
        <f t="shared" si="479"/>
        <v>1.4636067962738264</v>
      </c>
      <c r="W535" t="str">
        <f t="shared" si="466"/>
        <v>1-20,2168450655031i</v>
      </c>
      <c r="X535" s="4">
        <f t="shared" si="480"/>
        <v>20.241561807394138</v>
      </c>
      <c r="Y535" s="4">
        <f t="shared" si="481"/>
        <v>-1.521372905915154</v>
      </c>
      <c r="Z535" t="str">
        <f t="shared" si="467"/>
        <v>-1,18776162394955+3,97362783384209i</v>
      </c>
      <c r="AA535" s="4">
        <f t="shared" si="482"/>
        <v>4.1473480487188263</v>
      </c>
      <c r="AB535" s="4">
        <f t="shared" si="483"/>
        <v>1.8612538675985462</v>
      </c>
      <c r="AC535" s="47" t="str">
        <f t="shared" si="484"/>
        <v>-0,0790594957812592+0,0286974513909561i</v>
      </c>
      <c r="AD535" s="20">
        <f t="shared" si="485"/>
        <v>-21.503381621725495</v>
      </c>
      <c r="AE535" s="43">
        <f t="shared" si="486"/>
        <v>160.04983635790134</v>
      </c>
      <c r="AF535" t="str">
        <f t="shared" si="468"/>
        <v>223,849857273222</v>
      </c>
      <c r="AG535" t="str">
        <f t="shared" si="469"/>
        <v>1+36685,9776385183i</v>
      </c>
      <c r="AH535">
        <f t="shared" si="487"/>
        <v>36685.977652147478</v>
      </c>
      <c r="AI535">
        <f t="shared" si="488"/>
        <v>1.5707690684236026</v>
      </c>
      <c r="AJ535" t="str">
        <f t="shared" si="470"/>
        <v>1+9,29351209226457i</v>
      </c>
      <c r="AK535">
        <f t="shared" si="489"/>
        <v>9.3471582317337383</v>
      </c>
      <c r="AL535">
        <f t="shared" si="490"/>
        <v>1.4636067962738264</v>
      </c>
      <c r="AM535" t="str">
        <f t="shared" si="471"/>
        <v>1-6,10849473579065i</v>
      </c>
      <c r="AN535">
        <f t="shared" si="491"/>
        <v>6.189806777047413</v>
      </c>
      <c r="AO535">
        <f t="shared" si="492"/>
        <v>-1.4085292335748387</v>
      </c>
      <c r="AP535" s="41" t="str">
        <f t="shared" si="493"/>
        <v>0,0194438917040321-0,352495600471183i</v>
      </c>
      <c r="AQ535">
        <f t="shared" si="494"/>
        <v>-9.0437317713141478</v>
      </c>
      <c r="AR535" s="43">
        <f t="shared" si="495"/>
        <v>-86.842726321849312</v>
      </c>
      <c r="AS535" t="str">
        <f t="shared" si="472"/>
        <v>-0,0000166666666666667</v>
      </c>
      <c r="AT535" t="str">
        <f t="shared" si="473"/>
        <v>0,00932139262854137i</v>
      </c>
      <c r="AU535">
        <f t="shared" si="496"/>
        <v>9.3213926285413695E-3</v>
      </c>
      <c r="AV535">
        <f t="shared" si="497"/>
        <v>1.5707963267948966</v>
      </c>
      <c r="AW535" t="str">
        <f t="shared" si="474"/>
        <v>1+6,11537186529872i</v>
      </c>
      <c r="AX535">
        <f t="shared" si="498"/>
        <v>6.1965936651427418</v>
      </c>
      <c r="AY535">
        <f t="shared" si="499"/>
        <v>1.4087085322557078</v>
      </c>
      <c r="AZ535" t="str">
        <f t="shared" si="475"/>
        <v>1+2044,5726602982i</v>
      </c>
      <c r="BA535">
        <f t="shared" si="500"/>
        <v>2044.5729048480662</v>
      </c>
      <c r="BB535">
        <f t="shared" si="501"/>
        <v>1.5703072270726521</v>
      </c>
      <c r="BC535" s="41" t="str">
        <f t="shared" si="502"/>
        <v>-0,0949212671087997+0,582266848081533i</v>
      </c>
      <c r="BD535">
        <f t="shared" si="503"/>
        <v>-4.5836493866712251</v>
      </c>
      <c r="BE535" s="43">
        <f t="shared" si="504"/>
        <v>99.258923187833517</v>
      </c>
      <c r="BF535" s="41" t="str">
        <f t="shared" si="505"/>
        <v>-0,00920514705284509-0,0487577218682918i</v>
      </c>
      <c r="BG535" s="20">
        <f t="shared" si="506"/>
        <v>-26.087031008396725</v>
      </c>
      <c r="BH535" s="43">
        <f t="shared" si="507"/>
        <v>-100.69124045426514</v>
      </c>
      <c r="BI535" s="41" t="str">
        <f t="shared" si="460"/>
        <v>0,20340086341089+0,0447808625839473i</v>
      </c>
      <c r="BJ535" s="20">
        <f t="shared" si="508"/>
        <v>-13.627381157985376</v>
      </c>
      <c r="BK535" s="43">
        <f t="shared" si="461"/>
        <v>12.41619686598421</v>
      </c>
      <c r="BL535">
        <f t="shared" si="509"/>
        <v>-26.087031008396725</v>
      </c>
      <c r="BM535" s="43">
        <f t="shared" si="510"/>
        <v>-100.69124045426514</v>
      </c>
    </row>
    <row r="536" spans="14:65" x14ac:dyDescent="0.25">
      <c r="N536" s="9">
        <v>18</v>
      </c>
      <c r="O536" s="34">
        <f t="shared" si="462"/>
        <v>1513561.2484362102</v>
      </c>
      <c r="P536" s="33" t="str">
        <f t="shared" si="463"/>
        <v>66,7780509511648</v>
      </c>
      <c r="Q536" s="4" t="str">
        <f t="shared" si="464"/>
        <v>1+37064,3126330761i</v>
      </c>
      <c r="R536" s="4">
        <f t="shared" si="476"/>
        <v>37064.31264656617</v>
      </c>
      <c r="S536" s="4">
        <f t="shared" si="477"/>
        <v>1.5707693466641801</v>
      </c>
      <c r="T536" s="4" t="str">
        <f t="shared" si="465"/>
        <v>1+9,50998579769079i</v>
      </c>
      <c r="U536" s="4">
        <f t="shared" si="478"/>
        <v>9.5624175746659645</v>
      </c>
      <c r="V536" s="4">
        <f t="shared" si="479"/>
        <v>1.4660287078128771</v>
      </c>
      <c r="W536" t="str">
        <f t="shared" si="466"/>
        <v>1-20,6877558815551i</v>
      </c>
      <c r="X536" s="4">
        <f t="shared" si="480"/>
        <v>20.711910665479838</v>
      </c>
      <c r="Y536" s="4">
        <f t="shared" si="481"/>
        <v>-1.5224961511212332</v>
      </c>
      <c r="Z536" t="str">
        <f t="shared" si="467"/>
        <v>-1,29086765276778+4,06618551630237i</v>
      </c>
      <c r="AA536" s="4">
        <f t="shared" si="482"/>
        <v>4.2661697047760967</v>
      </c>
      <c r="AB536" s="4">
        <f t="shared" si="483"/>
        <v>1.8781971752441897</v>
      </c>
      <c r="AC536" s="47" t="str">
        <f t="shared" si="484"/>
        <v>-0,0781670827058984+0,0297656161757154i</v>
      </c>
      <c r="AD536" s="20">
        <f t="shared" si="485"/>
        <v>-21.551449397010924</v>
      </c>
      <c r="AE536" s="43">
        <f t="shared" si="486"/>
        <v>159.15342843127263</v>
      </c>
      <c r="AF536" t="str">
        <f t="shared" si="468"/>
        <v>223,849857273222</v>
      </c>
      <c r="AG536" t="str">
        <f t="shared" si="469"/>
        <v>1+37540,5038324642i</v>
      </c>
      <c r="AH536">
        <f t="shared" si="487"/>
        <v>37540.503845783147</v>
      </c>
      <c r="AI536">
        <f t="shared" si="488"/>
        <v>1.5707696888998852</v>
      </c>
      <c r="AJ536" t="str">
        <f t="shared" si="470"/>
        <v>1+9,50998579769079i</v>
      </c>
      <c r="AK536">
        <f t="shared" si="489"/>
        <v>9.5624175746659645</v>
      </c>
      <c r="AL536">
        <f t="shared" si="490"/>
        <v>1.4660287078128771</v>
      </c>
      <c r="AM536" t="str">
        <f t="shared" si="471"/>
        <v>1-6,25077985651846i</v>
      </c>
      <c r="AN536">
        <f t="shared" si="491"/>
        <v>6.3302645137985305</v>
      </c>
      <c r="AO536">
        <f t="shared" si="492"/>
        <v>-1.41216052823784</v>
      </c>
      <c r="AP536" s="41" t="str">
        <f t="shared" si="493"/>
        <v>0,0194438842188398-0,360425279881469i</v>
      </c>
      <c r="AQ536">
        <f t="shared" si="494"/>
        <v>-8.8510742604021182</v>
      </c>
      <c r="AR536" s="43">
        <f t="shared" si="495"/>
        <v>-86.912054421338269</v>
      </c>
      <c r="AS536" t="str">
        <f t="shared" si="472"/>
        <v>-0,0000166666666666667</v>
      </c>
      <c r="AT536" t="str">
        <f t="shared" si="473"/>
        <v>0,00953851575508386i</v>
      </c>
      <c r="AU536">
        <f t="shared" si="496"/>
        <v>9.5385157550838592E-3</v>
      </c>
      <c r="AV536">
        <f t="shared" si="497"/>
        <v>1.5707963267948966</v>
      </c>
      <c r="AW536" t="str">
        <f t="shared" si="474"/>
        <v>1+6,25781717495107i</v>
      </c>
      <c r="AX536">
        <f t="shared" si="498"/>
        <v>6.3372135671060184</v>
      </c>
      <c r="AY536">
        <f t="shared" si="499"/>
        <v>1.412335951427836</v>
      </c>
      <c r="AZ536" t="str">
        <f t="shared" si="475"/>
        <v>1+2092,19687549197i</v>
      </c>
      <c r="BA536">
        <f t="shared" si="500"/>
        <v>2092.1971144752019</v>
      </c>
      <c r="BB536">
        <f t="shared" si="501"/>
        <v>1.5703183603398447</v>
      </c>
      <c r="BC536" s="41" t="str">
        <f t="shared" si="502"/>
        <v>-0,0907554841192078+0,56967852913847i</v>
      </c>
      <c r="BD536">
        <f t="shared" si="503"/>
        <v>-4.778555925524917</v>
      </c>
      <c r="BE536" s="43">
        <f t="shared" si="504"/>
        <v>99.051725267968067</v>
      </c>
      <c r="BF536" s="41" t="str">
        <f t="shared" si="505"/>
        <v>-0,00986274100872183-0,0472315016090749i</v>
      </c>
      <c r="BG536" s="20">
        <f t="shared" si="506"/>
        <v>-26.330005322535847</v>
      </c>
      <c r="BH536" s="43">
        <f t="shared" si="507"/>
        <v>-101.7948463007593</v>
      </c>
      <c r="BI536" s="41" t="str">
        <f t="shared" si="460"/>
        <v>0,203561904181758+0,043787334126971i</v>
      </c>
      <c r="BJ536" s="20">
        <f t="shared" si="508"/>
        <v>-13.629630185927034</v>
      </c>
      <c r="BK536" s="43">
        <f t="shared" si="461"/>
        <v>12.139670846629782</v>
      </c>
      <c r="BL536">
        <f t="shared" si="509"/>
        <v>-26.330005322535847</v>
      </c>
      <c r="BM536" s="43">
        <f t="shared" si="510"/>
        <v>-101.7948463007593</v>
      </c>
    </row>
    <row r="537" spans="14:65" x14ac:dyDescent="0.25">
      <c r="N537" s="9">
        <v>19</v>
      </c>
      <c r="O537" s="34">
        <f t="shared" si="462"/>
        <v>1548816.6189124861</v>
      </c>
      <c r="P537" s="33" t="str">
        <f t="shared" si="463"/>
        <v>66,7780509511648</v>
      </c>
      <c r="Q537" s="4" t="str">
        <f t="shared" si="464"/>
        <v>1+37927,6513811299i</v>
      </c>
      <c r="R537" s="4">
        <f t="shared" si="476"/>
        <v>37927.651394312896</v>
      </c>
      <c r="S537" s="4">
        <f t="shared" si="477"/>
        <v>1.5707699608069339</v>
      </c>
      <c r="T537" s="4" t="str">
        <f t="shared" si="465"/>
        <v>1+9,7315018234665i</v>
      </c>
      <c r="U537" s="4">
        <f t="shared" si="478"/>
        <v>9.7827464313520789</v>
      </c>
      <c r="V537" s="4">
        <f t="shared" si="479"/>
        <v>1.4683966824996388</v>
      </c>
      <c r="W537" t="str">
        <f t="shared" si="466"/>
        <v>1-21,1696356196103i</v>
      </c>
      <c r="X537" s="4">
        <f t="shared" si="480"/>
        <v>21.19324119305665</v>
      </c>
      <c r="Y537" s="4">
        <f t="shared" si="481"/>
        <v>-1.5235939460187506</v>
      </c>
      <c r="Z537" t="str">
        <f t="shared" si="467"/>
        <v>-1,3988329190195+4,16089914414572i</v>
      </c>
      <c r="AA537" s="4">
        <f t="shared" si="482"/>
        <v>4.3897397671257465</v>
      </c>
      <c r="AB537" s="4">
        <f t="shared" si="483"/>
        <v>1.8951114064252632</v>
      </c>
      <c r="AC537" s="47" t="str">
        <f t="shared" si="484"/>
        <v>-0,077240521220171+0,0308048189380009i</v>
      </c>
      <c r="AD537" s="20">
        <f t="shared" si="485"/>
        <v>-21.602056181390104</v>
      </c>
      <c r="AE537" s="43">
        <f t="shared" si="486"/>
        <v>158.25705512424722</v>
      </c>
      <c r="AF537" t="str">
        <f t="shared" si="468"/>
        <v>223,849857273222</v>
      </c>
      <c r="AG537" t="str">
        <f t="shared" si="469"/>
        <v>1+38414,9344984495i</v>
      </c>
      <c r="AH537">
        <f t="shared" si="487"/>
        <v>38414.934511465268</v>
      </c>
      <c r="AI537">
        <f t="shared" si="488"/>
        <v>1.5707702952524034</v>
      </c>
      <c r="AJ537" t="str">
        <f t="shared" si="470"/>
        <v>1+9,7315018234665i</v>
      </c>
      <c r="AK537">
        <f t="shared" si="489"/>
        <v>9.7827464313520789</v>
      </c>
      <c r="AL537">
        <f t="shared" si="490"/>
        <v>1.4683966824996388</v>
      </c>
      <c r="AM537" t="str">
        <f t="shared" si="471"/>
        <v>1-6,39637922346505i</v>
      </c>
      <c r="AN537">
        <f t="shared" si="491"/>
        <v>6.4740765496227599</v>
      </c>
      <c r="AO537">
        <f t="shared" si="492"/>
        <v>-1.4157132460422372</v>
      </c>
      <c r="AP537" s="41" t="str">
        <f t="shared" si="493"/>
        <v>0,0194438770705366-0,368546061545925i</v>
      </c>
      <c r="AQ537">
        <f t="shared" si="494"/>
        <v>-8.658092967426219</v>
      </c>
      <c r="AR537" s="43">
        <f t="shared" si="495"/>
        <v>-86.979969943226166</v>
      </c>
      <c r="AS537" t="str">
        <f t="shared" si="472"/>
        <v>-0,0000166666666666667</v>
      </c>
      <c r="AT537" t="str">
        <f t="shared" si="473"/>
        <v>0,0097606963289369i</v>
      </c>
      <c r="AU537">
        <f t="shared" si="496"/>
        <v>9.7606963289368995E-3</v>
      </c>
      <c r="AV537">
        <f t="shared" si="497"/>
        <v>1.5707963267948966</v>
      </c>
      <c r="AW537" t="str">
        <f t="shared" si="474"/>
        <v>1+6,40358046210158i</v>
      </c>
      <c r="AX537">
        <f t="shared" si="498"/>
        <v>6.4811914594933144</v>
      </c>
      <c r="AY537">
        <f t="shared" si="499"/>
        <v>1.4158848686607193</v>
      </c>
      <c r="AZ537" t="str">
        <f t="shared" si="475"/>
        <v>1+2140,93040116263i</v>
      </c>
      <c r="BA537">
        <f t="shared" si="500"/>
        <v>2140.9306347059405</v>
      </c>
      <c r="BB537">
        <f t="shared" si="501"/>
        <v>1.5703292401830509</v>
      </c>
      <c r="BC537" s="41" t="str">
        <f t="shared" si="502"/>
        <v>-0,0867680549863933+0,557333750094726i</v>
      </c>
      <c r="BD537">
        <f t="shared" si="503"/>
        <v>-4.9736861250017652</v>
      </c>
      <c r="BE537" s="43">
        <f t="shared" si="504"/>
        <v>98.849010657780084</v>
      </c>
      <c r="BF537" s="41" t="str">
        <f t="shared" si="505"/>
        <v>-0,0104665554672956-0,0457216235743675i</v>
      </c>
      <c r="BG537" s="20">
        <f t="shared" si="506"/>
        <v>-26.575742306391874</v>
      </c>
      <c r="BH537" s="43">
        <f t="shared" si="507"/>
        <v>-102.89393421797271</v>
      </c>
      <c r="BI537" s="41" t="str">
        <f t="shared" si="460"/>
        <v>0,203716051169227+0,0428147538573385i</v>
      </c>
      <c r="BJ537" s="20">
        <f t="shared" si="508"/>
        <v>-13.631779092427987</v>
      </c>
      <c r="BK537" s="43">
        <f t="shared" si="461"/>
        <v>11.869040714553924</v>
      </c>
      <c r="BL537">
        <f t="shared" si="509"/>
        <v>-26.575742306391874</v>
      </c>
      <c r="BM537" s="43">
        <f t="shared" si="510"/>
        <v>-102.89393421797271</v>
      </c>
    </row>
    <row r="538" spans="14:65" x14ac:dyDescent="0.25">
      <c r="N538" s="9">
        <v>20</v>
      </c>
      <c r="O538" s="34">
        <f t="shared" si="462"/>
        <v>1584893.1924611153</v>
      </c>
      <c r="P538" s="33" t="str">
        <f t="shared" si="463"/>
        <v>66,7780509511648</v>
      </c>
      <c r="Q538" s="4" t="str">
        <f t="shared" si="464"/>
        <v>1+38811,0998719776i</v>
      </c>
      <c r="R538" s="4">
        <f t="shared" si="476"/>
        <v>38811.099884860509</v>
      </c>
      <c r="S538" s="4">
        <f t="shared" si="477"/>
        <v>1.5707705609700919</v>
      </c>
      <c r="T538" s="4" t="str">
        <f t="shared" si="465"/>
        <v>1+9,95817762032063i</v>
      </c>
      <c r="U538" s="4">
        <f t="shared" si="478"/>
        <v>10.008261663138841</v>
      </c>
      <c r="V538" s="4">
        <f t="shared" si="479"/>
        <v>1.4707118695839552</v>
      </c>
      <c r="W538" t="str">
        <f t="shared" si="466"/>
        <v>1-21,6627397786842i</v>
      </c>
      <c r="X538" s="4">
        <f t="shared" si="480"/>
        <v>21.68580860191722</v>
      </c>
      <c r="Y538" s="4">
        <f t="shared" si="481"/>
        <v>-1.5246668620829835</v>
      </c>
      <c r="Z538" t="str">
        <f t="shared" si="467"/>
        <v>-1,51188643150958+4,2578189357913i</v>
      </c>
      <c r="AA538" s="4">
        <f t="shared" si="482"/>
        <v>4.5182765156379849</v>
      </c>
      <c r="AB538" s="4">
        <f t="shared" si="483"/>
        <v>1.911993759614629</v>
      </c>
      <c r="AC538" s="47" t="str">
        <f t="shared" si="484"/>
        <v>-0,0762810041636519+0,0318137948793315i</v>
      </c>
      <c r="AD538" s="20">
        <f t="shared" si="485"/>
        <v>-21.655214912564066</v>
      </c>
      <c r="AE538" s="43">
        <f t="shared" si="486"/>
        <v>157.36091003789349</v>
      </c>
      <c r="AF538" t="str">
        <f t="shared" si="468"/>
        <v>223,849857273222</v>
      </c>
      <c r="AG538" t="str">
        <f t="shared" si="469"/>
        <v>1+39309,7332711875i</v>
      </c>
      <c r="AH538">
        <f t="shared" si="487"/>
        <v>39309.733283906993</v>
      </c>
      <c r="AI538">
        <f t="shared" si="488"/>
        <v>1.5707708878026529</v>
      </c>
      <c r="AJ538" t="str">
        <f t="shared" si="470"/>
        <v>1+9,95817762032063i</v>
      </c>
      <c r="AK538">
        <f t="shared" si="489"/>
        <v>10.008261663138841</v>
      </c>
      <c r="AL538">
        <f t="shared" si="490"/>
        <v>1.4707118695839552</v>
      </c>
      <c r="AM538" t="str">
        <f t="shared" si="471"/>
        <v>1-6,54537003534198i</v>
      </c>
      <c r="AN538">
        <f t="shared" si="491"/>
        <v>6.6213192718334222</v>
      </c>
      <c r="AO538">
        <f t="shared" si="492"/>
        <v>-1.4191889117689447</v>
      </c>
      <c r="AP538" s="41" t="str">
        <f t="shared" si="493"/>
        <v>0,0194438702439601-0,376862251210476i</v>
      </c>
      <c r="AQ538">
        <f t="shared" si="494"/>
        <v>-8.4648018893098467</v>
      </c>
      <c r="AR538" s="43">
        <f t="shared" si="495"/>
        <v>-87.046494422278698</v>
      </c>
      <c r="AS538" t="str">
        <f t="shared" si="472"/>
        <v>-0,0000166666666666667</v>
      </c>
      <c r="AT538" t="str">
        <f t="shared" si="473"/>
        <v>0,00998805215318159i</v>
      </c>
      <c r="AU538">
        <f t="shared" si="496"/>
        <v>9.9880521531815897E-3</v>
      </c>
      <c r="AV538">
        <f t="shared" si="497"/>
        <v>1.5707963267948966</v>
      </c>
      <c r="AW538" t="str">
        <f t="shared" si="474"/>
        <v>1+6,55273901237449i</v>
      </c>
      <c r="AX538">
        <f t="shared" si="498"/>
        <v>6.6286038171167387</v>
      </c>
      <c r="AY538">
        <f t="shared" si="499"/>
        <v>1.4193568078707495</v>
      </c>
      <c r="AZ538" t="str">
        <f t="shared" si="475"/>
        <v>1+2190,79907647054i</v>
      </c>
      <c r="BA538">
        <f t="shared" si="500"/>
        <v>2190.7993046977563</v>
      </c>
      <c r="BB538">
        <f t="shared" si="501"/>
        <v>1.5703398723708968</v>
      </c>
      <c r="BC538" s="41" t="str">
        <f t="shared" si="502"/>
        <v>-0,0829517283459998+0,545229686833224i</v>
      </c>
      <c r="BD538">
        <f t="shared" si="503"/>
        <v>-5.1690303985101282</v>
      </c>
      <c r="BE538" s="43">
        <f t="shared" si="504"/>
        <v>98.650692373809918</v>
      </c>
      <c r="BF538" s="41" t="str">
        <f t="shared" si="505"/>
        <v>-0,011018184283691-0,0442296772819575i</v>
      </c>
      <c r="BG538" s="20">
        <f t="shared" si="506"/>
        <v>-26.824245311074186</v>
      </c>
      <c r="BH538" s="43">
        <f t="shared" si="507"/>
        <v>-103.98839758829654</v>
      </c>
      <c r="BI538" s="41" t="str">
        <f t="shared" si="460"/>
        <v>0,20386358456428+0,0418627503702136i</v>
      </c>
      <c r="BJ538" s="20">
        <f t="shared" si="508"/>
        <v>-13.633832287819967</v>
      </c>
      <c r="BK538" s="43">
        <f t="shared" si="461"/>
        <v>11.604197951531223</v>
      </c>
      <c r="BL538">
        <f t="shared" si="509"/>
        <v>-26.824245311074186</v>
      </c>
      <c r="BM538" s="43">
        <f t="shared" si="510"/>
        <v>-103.98839758829654</v>
      </c>
    </row>
    <row r="539" spans="14:65" x14ac:dyDescent="0.25">
      <c r="N539" s="9">
        <v>21</v>
      </c>
      <c r="O539" s="34">
        <f t="shared" si="462"/>
        <v>1621810.0973589318</v>
      </c>
      <c r="P539" s="33" t="str">
        <f t="shared" si="463"/>
        <v>66,7780509511648</v>
      </c>
      <c r="Q539" s="4" t="str">
        <f t="shared" si="464"/>
        <v>1+39715,126521703i</v>
      </c>
      <c r="R539" s="4">
        <f t="shared" si="476"/>
        <v>39715.126534292671</v>
      </c>
      <c r="S539" s="4">
        <f t="shared" si="477"/>
        <v>1.5707711474718686</v>
      </c>
      <c r="T539" s="4" t="str">
        <f t="shared" si="465"/>
        <v>1+10,1901333747611i</v>
      </c>
      <c r="U539" s="4">
        <f t="shared" si="478"/>
        <v>10.239082878628341</v>
      </c>
      <c r="V539" s="4">
        <f t="shared" si="479"/>
        <v>1.4729753972773798</v>
      </c>
      <c r="W539" t="str">
        <f t="shared" si="466"/>
        <v>1-22,167329809129i</v>
      </c>
      <c r="X539" s="4">
        <f t="shared" si="480"/>
        <v>22.189874061533093</v>
      </c>
      <c r="Y539" s="4">
        <f t="shared" si="481"/>
        <v>-1.5257154583019221</v>
      </c>
      <c r="Z539" t="str">
        <f t="shared" si="467"/>
        <v>-1,63026799189536+4,35699627939552i</v>
      </c>
      <c r="AA539" s="4">
        <f t="shared" si="482"/>
        <v>4.6520092760080489</v>
      </c>
      <c r="AB539" s="4">
        <f t="shared" si="483"/>
        <v>1.9288412803618491</v>
      </c>
      <c r="AC539" s="47" t="str">
        <f t="shared" si="484"/>
        <v>-0,0752897911278996+0,0327913297386753i</v>
      </c>
      <c r="AD539" s="20">
        <f t="shared" si="485"/>
        <v>-21.710937753873303</v>
      </c>
      <c r="AE539" s="43">
        <f t="shared" si="486"/>
        <v>156.46519504562787</v>
      </c>
      <c r="AF539" t="str">
        <f t="shared" si="468"/>
        <v>223,849857273222</v>
      </c>
      <c r="AG539" t="str">
        <f t="shared" si="469"/>
        <v>1+40225,3745848316i</v>
      </c>
      <c r="AH539">
        <f t="shared" si="487"/>
        <v>40225.374597261565</v>
      </c>
      <c r="AI539">
        <f t="shared" si="488"/>
        <v>1.5707714668648123</v>
      </c>
      <c r="AJ539" t="str">
        <f t="shared" si="470"/>
        <v>1+10,1901333747611i</v>
      </c>
      <c r="AK539">
        <f t="shared" si="489"/>
        <v>10.239082878628341</v>
      </c>
      <c r="AL539">
        <f t="shared" si="490"/>
        <v>1.4729753972773798</v>
      </c>
      <c r="AM539" t="str">
        <f t="shared" si="471"/>
        <v>1-6,69783128904986i</v>
      </c>
      <c r="AN539">
        <f t="shared" si="491"/>
        <v>6.7720708779940662</v>
      </c>
      <c r="AO539">
        <f t="shared" si="492"/>
        <v>-1.4225890321939212</v>
      </c>
      <c r="AP539" s="41" t="str">
        <f t="shared" si="493"/>
        <v>0,0194438637246301-0,385378258228965i</v>
      </c>
      <c r="AQ539">
        <f t="shared" si="494"/>
        <v>-8.2712144420871923</v>
      </c>
      <c r="AR539" s="43">
        <f t="shared" si="495"/>
        <v>-87.111649566639684</v>
      </c>
      <c r="AS539" t="str">
        <f t="shared" si="472"/>
        <v>-0,0000166666666666667</v>
      </c>
      <c r="AT539" t="str">
        <f t="shared" si="473"/>
        <v>0,0102207037748854i</v>
      </c>
      <c r="AU539">
        <f t="shared" si="496"/>
        <v>1.02207037748854E-2</v>
      </c>
      <c r="AV539">
        <f t="shared" si="497"/>
        <v>1.5707963267948966</v>
      </c>
      <c r="AW539" t="str">
        <f t="shared" si="474"/>
        <v>1+6,7053719116075i</v>
      </c>
      <c r="AX539">
        <f t="shared" si="498"/>
        <v>6.7795289270696983</v>
      </c>
      <c r="AY539">
        <f t="shared" si="499"/>
        <v>1.4227532749378036</v>
      </c>
      <c r="AZ539" t="str">
        <f t="shared" si="475"/>
        <v>1+2241,82934244744i</v>
      </c>
      <c r="BA539">
        <f t="shared" si="500"/>
        <v>2241.8295654795711</v>
      </c>
      <c r="BB539">
        <f t="shared" si="501"/>
        <v>1.5703502625406998</v>
      </c>
      <c r="BC539" s="41" t="str">
        <f t="shared" si="502"/>
        <v>-0,0792995144477067+0,533363413791269i</v>
      </c>
      <c r="BD539">
        <f t="shared" si="503"/>
        <v>-5.3645795501527331</v>
      </c>
      <c r="BE539" s="43">
        <f t="shared" si="504"/>
        <v>98.456684458490699</v>
      </c>
      <c r="BF539" s="41" t="str">
        <f t="shared" si="505"/>
        <v>-0,0115192516928633-0,0427571565459797i</v>
      </c>
      <c r="BG539" s="20">
        <f t="shared" si="506"/>
        <v>-27.075517304026036</v>
      </c>
      <c r="BH539" s="43">
        <f t="shared" si="507"/>
        <v>-105.07812049588139</v>
      </c>
      <c r="BI539" s="41" t="str">
        <f t="shared" si="460"/>
        <v>0,204004774457583+0,0409309542897208i</v>
      </c>
      <c r="BJ539" s="20">
        <f t="shared" si="508"/>
        <v>-13.635793992239938</v>
      </c>
      <c r="BK539" s="43">
        <f t="shared" si="461"/>
        <v>11.345034891851062</v>
      </c>
      <c r="BL539">
        <f t="shared" si="509"/>
        <v>-27.075517304026036</v>
      </c>
      <c r="BM539" s="43">
        <f t="shared" si="510"/>
        <v>-105.07812049588139</v>
      </c>
    </row>
    <row r="540" spans="14:65" x14ac:dyDescent="0.25">
      <c r="N540" s="9">
        <v>22</v>
      </c>
      <c r="O540" s="34">
        <f t="shared" si="462"/>
        <v>1659586.9074375622</v>
      </c>
      <c r="P540" s="33" t="str">
        <f t="shared" si="463"/>
        <v>66,7780509511648</v>
      </c>
      <c r="Q540" s="4" t="str">
        <f t="shared" si="464"/>
        <v>1+40640,2106572024i</v>
      </c>
      <c r="R540" s="4">
        <f t="shared" si="476"/>
        <v>40640.210669505483</v>
      </c>
      <c r="S540" s="4">
        <f t="shared" si="477"/>
        <v>1.570771720623235</v>
      </c>
      <c r="T540" s="4" t="str">
        <f t="shared" si="465"/>
        <v>1+10,4274920727993i</v>
      </c>
      <c r="U540" s="4">
        <f t="shared" si="478"/>
        <v>10.475332497266722</v>
      </c>
      <c r="V540" s="4">
        <f t="shared" si="479"/>
        <v>1.4751883729028188</v>
      </c>
      <c r="W540" t="str">
        <f t="shared" si="466"/>
        <v>1-22,6836732512581i</v>
      </c>
      <c r="X540" s="4">
        <f t="shared" si="480"/>
        <v>22.705704837547817</v>
      </c>
      <c r="Y540" s="4">
        <f t="shared" si="481"/>
        <v>-1.526740281426008</v>
      </c>
      <c r="Z540" t="str">
        <f t="shared" si="467"/>
        <v>-1,75422870333816+4,45848376009877i</v>
      </c>
      <c r="AA540" s="4">
        <f t="shared" si="482"/>
        <v>4.7911789554012643</v>
      </c>
      <c r="AB540" s="4">
        <f t="shared" si="483"/>
        <v>1.9456508628754983</v>
      </c>
      <c r="AC540" s="47" t="str">
        <f t="shared" si="484"/>
        <v>-0,0742682064767806+0,0337362643046344i</v>
      </c>
      <c r="AD540" s="20">
        <f t="shared" si="485"/>
        <v>-21.769235983269187</v>
      </c>
      <c r="AE540" s="43">
        <f t="shared" si="486"/>
        <v>155.57012019681002</v>
      </c>
      <c r="AF540" t="str">
        <f t="shared" si="468"/>
        <v>223,849857273222</v>
      </c>
      <c r="AG540" t="str">
        <f t="shared" si="469"/>
        <v>1+41162,3439245267i</v>
      </c>
      <c r="AH540">
        <f t="shared" si="487"/>
        <v>41162.343936673722</v>
      </c>
      <c r="AI540">
        <f t="shared" si="488"/>
        <v>1.5707720327459076</v>
      </c>
      <c r="AJ540" t="str">
        <f t="shared" si="470"/>
        <v>1+10,4274920727993i</v>
      </c>
      <c r="AK540">
        <f t="shared" si="489"/>
        <v>10.475332497266722</v>
      </c>
      <c r="AL540">
        <f t="shared" si="490"/>
        <v>1.4751883729028188</v>
      </c>
      <c r="AM540" t="str">
        <f t="shared" si="471"/>
        <v>1-6,85384382156351i</v>
      </c>
      <c r="AN540">
        <f t="shared" si="491"/>
        <v>6.926411417926623</v>
      </c>
      <c r="AO540">
        <f t="shared" si="492"/>
        <v>-1.425915095478143</v>
      </c>
      <c r="AP540" s="41" t="str">
        <f t="shared" si="493"/>
        <v>0,0194438574987183-0,394098597901038i</v>
      </c>
      <c r="AQ540">
        <f t="shared" si="494"/>
        <v>-8.0773434829273913</v>
      </c>
      <c r="AR540" s="43">
        <f t="shared" si="495"/>
        <v>-87.175457214314491</v>
      </c>
      <c r="AS540" t="str">
        <f t="shared" si="472"/>
        <v>-0,0000166666666666667</v>
      </c>
      <c r="AT540" t="str">
        <f t="shared" si="473"/>
        <v>0,0104587745490177i</v>
      </c>
      <c r="AU540">
        <f t="shared" si="496"/>
        <v>1.04587745490177E-2</v>
      </c>
      <c r="AV540">
        <f t="shared" si="497"/>
        <v>1.5707963267948966</v>
      </c>
      <c r="AW540" t="str">
        <f t="shared" si="474"/>
        <v>1+6,86156008778419i</v>
      </c>
      <c r="AX540">
        <f t="shared" si="498"/>
        <v>6.9340469307809691</v>
      </c>
      <c r="AY540">
        <f t="shared" si="499"/>
        <v>1.4260757570988551</v>
      </c>
      <c r="AZ540" t="str">
        <f t="shared" si="475"/>
        <v>1+2294,04825601584i</v>
      </c>
      <c r="BA540">
        <f t="shared" si="500"/>
        <v>2294.0484739711396</v>
      </c>
      <c r="BB540">
        <f t="shared" si="501"/>
        <v>1.5703604162014562</v>
      </c>
      <c r="BC540" s="41" t="str">
        <f t="shared" si="502"/>
        <v>-0,0758046786417348+0,521731915704479i</v>
      </c>
      <c r="BD540">
        <f t="shared" si="503"/>
        <v>-5.5603247605490029</v>
      </c>
      <c r="BE540" s="43">
        <f t="shared" si="504"/>
        <v>98.266902015062882</v>
      </c>
      <c r="BF540" s="41" t="str">
        <f t="shared" si="505"/>
        <v>-0,0119714082790992-0,041305460315252i</v>
      </c>
      <c r="BG540" s="20">
        <f t="shared" si="506"/>
        <v>-27.329560743818181</v>
      </c>
      <c r="BH540" s="43">
        <f t="shared" si="507"/>
        <v>-106.16297778812711</v>
      </c>
      <c r="BI540" s="41" t="str">
        <f t="shared" si="460"/>
        <v>0,204139881090112+0,0400189985885376i</v>
      </c>
      <c r="BJ540" s="20">
        <f t="shared" si="508"/>
        <v>-13.63766824347638</v>
      </c>
      <c r="BK540" s="43">
        <f t="shared" si="461"/>
        <v>11.091444800748372</v>
      </c>
      <c r="BL540">
        <f t="shared" si="509"/>
        <v>-27.329560743818181</v>
      </c>
      <c r="BM540" s="43">
        <f t="shared" si="510"/>
        <v>-106.16297778812711</v>
      </c>
    </row>
    <row r="541" spans="14:65" x14ac:dyDescent="0.25">
      <c r="N541" s="9">
        <v>23</v>
      </c>
      <c r="O541" s="34">
        <f t="shared" si="462"/>
        <v>1698243.6524617488</v>
      </c>
      <c r="P541" s="33" t="str">
        <f t="shared" si="463"/>
        <v>66,7780509511648</v>
      </c>
      <c r="Q541" s="4" t="str">
        <f t="shared" si="464"/>
        <v>1+41586,842770329i</v>
      </c>
      <c r="R541" s="4">
        <f t="shared" si="476"/>
        <v>41586.842782352025</v>
      </c>
      <c r="S541" s="4">
        <f t="shared" si="477"/>
        <v>1.5707722807280833</v>
      </c>
      <c r="T541" s="4" t="str">
        <f t="shared" si="465"/>
        <v>1+10,6703795651587i</v>
      </c>
      <c r="U541" s="4">
        <f t="shared" si="478"/>
        <v>10.717135814412188</v>
      </c>
      <c r="V541" s="4">
        <f t="shared" si="479"/>
        <v>1.4773518830614003</v>
      </c>
      <c r="W541" t="str">
        <f t="shared" si="466"/>
        <v>1-23,2120438771989i</v>
      </c>
      <c r="X541" s="4">
        <f t="shared" si="480"/>
        <v>23.233574433500479</v>
      </c>
      <c r="Y541" s="4">
        <f t="shared" si="481"/>
        <v>-1.5277418662144588</v>
      </c>
      <c r="Z541" t="str">
        <f t="shared" si="467"/>
        <v>-1,88403150312663+4,56233518790664i</v>
      </c>
      <c r="AA541" s="4">
        <f t="shared" si="482"/>
        <v>4.9360386011035917</v>
      </c>
      <c r="AB541" s="4">
        <f t="shared" si="483"/>
        <v>1.9624192528113924</v>
      </c>
      <c r="AC541" s="47" t="str">
        <f t="shared" si="484"/>
        <v>-0,0732176369628037+0,0346474989043524i</v>
      </c>
      <c r="AD541" s="20">
        <f t="shared" si="485"/>
        <v>-21.830119882943698</v>
      </c>
      <c r="AE541" s="43">
        <f t="shared" si="486"/>
        <v>154.67590355242743</v>
      </c>
      <c r="AF541" t="str">
        <f t="shared" si="468"/>
        <v>223,849857273222</v>
      </c>
      <c r="AG541" t="str">
        <f t="shared" si="469"/>
        <v>1+42121,1380838187i</v>
      </c>
      <c r="AH541">
        <f t="shared" si="487"/>
        <v>42121.138095689224</v>
      </c>
      <c r="AI541">
        <f t="shared" si="488"/>
        <v>1.5707725857459767</v>
      </c>
      <c r="AJ541" t="str">
        <f t="shared" si="470"/>
        <v>1+10,6703795651587i</v>
      </c>
      <c r="AK541">
        <f t="shared" si="489"/>
        <v>10.717135814412188</v>
      </c>
      <c r="AL541">
        <f t="shared" si="490"/>
        <v>1.4773518830614003</v>
      </c>
      <c r="AM541" t="str">
        <f t="shared" si="471"/>
        <v>1-7,01349035279272i</v>
      </c>
      <c r="AN541">
        <f t="shared" si="491"/>
        <v>7.0844228366689519</v>
      </c>
      <c r="AO541">
        <f t="shared" si="492"/>
        <v>-1.4291685706297319</v>
      </c>
      <c r="AP541" s="41" t="str">
        <f t="shared" si="493"/>
        <v>0,0194438515530188-0,403027893866219i</v>
      </c>
      <c r="AQ541">
        <f t="shared" si="494"/>
        <v>-7.8832013315050862</v>
      </c>
      <c r="AR541" s="43">
        <f t="shared" si="495"/>
        <v>-87.237939292800846</v>
      </c>
      <c r="AS541" t="str">
        <f t="shared" si="472"/>
        <v>-0,0000166666666666667</v>
      </c>
      <c r="AT541" t="str">
        <f t="shared" si="473"/>
        <v>0,0107023907038541i</v>
      </c>
      <c r="AU541">
        <f t="shared" si="496"/>
        <v>1.0702390703854101E-2</v>
      </c>
      <c r="AV541">
        <f t="shared" si="497"/>
        <v>1.5707963267948966</v>
      </c>
      <c r="AW541" t="str">
        <f t="shared" si="474"/>
        <v>1+7,02138635394291i</v>
      </c>
      <c r="AX541">
        <f t="shared" si="498"/>
        <v>7.0922398670191429</v>
      </c>
      <c r="AY541">
        <f t="shared" si="499"/>
        <v>1.4293257224135056</v>
      </c>
      <c r="AZ541" t="str">
        <f t="shared" si="475"/>
        <v>1+2347,48350433491i</v>
      </c>
      <c r="BA541">
        <f t="shared" si="500"/>
        <v>2347.483717328942</v>
      </c>
      <c r="BB541">
        <f t="shared" si="501"/>
        <v>1.5703703387367633</v>
      </c>
      <c r="BC541" s="41" t="str">
        <f t="shared" si="502"/>
        <v>-0,0724607347490258+0,510332098617759i</v>
      </c>
      <c r="BD541">
        <f t="shared" si="503"/>
        <v>-5.7562575730186296</v>
      </c>
      <c r="BE541" s="43">
        <f t="shared" si="504"/>
        <v>98.081261238364661</v>
      </c>
      <c r="BF541" s="41" t="str">
        <f t="shared" si="505"/>
        <v>-0,0123763270568025-0,0398758935548863i</v>
      </c>
      <c r="BG541" s="20">
        <f t="shared" si="506"/>
        <v>-27.586377455962317</v>
      </c>
      <c r="BH541" s="43">
        <f t="shared" si="507"/>
        <v>-107.24283520920791</v>
      </c>
      <c r="BI541" s="41" t="str">
        <f t="shared" si="460"/>
        <v>0,20426915510836+0,0391265188821629i</v>
      </c>
      <c r="BJ541" s="20">
        <f t="shared" si="508"/>
        <v>-13.639458904523725</v>
      </c>
      <c r="BK541" s="43">
        <f t="shared" si="461"/>
        <v>10.843321945563854</v>
      </c>
      <c r="BL541">
        <f t="shared" si="509"/>
        <v>-27.586377455962317</v>
      </c>
      <c r="BM541" s="43">
        <f t="shared" si="510"/>
        <v>-107.24283520920791</v>
      </c>
    </row>
    <row r="542" spans="14:65" x14ac:dyDescent="0.25">
      <c r="N542" s="9">
        <v>24</v>
      </c>
      <c r="O542" s="34">
        <f t="shared" si="462"/>
        <v>1737800.8287493798</v>
      </c>
      <c r="P542" s="33" t="str">
        <f t="shared" si="463"/>
        <v>66,7780509511648</v>
      </c>
      <c r="Q542" s="4" t="str">
        <f t="shared" si="464"/>
        <v>1+42555,524777959i</v>
      </c>
      <c r="R542" s="4">
        <f t="shared" si="476"/>
        <v>42555.524789708354</v>
      </c>
      <c r="S542" s="4">
        <f t="shared" si="477"/>
        <v>1.570772828083389</v>
      </c>
      <c r="T542" s="4" t="str">
        <f t="shared" si="465"/>
        <v>1+10,9189246340026i</v>
      </c>
      <c r="U542" s="4">
        <f t="shared" si="478"/>
        <v>10.964621067917889</v>
      </c>
      <c r="V542" s="4">
        <f t="shared" si="479"/>
        <v>1.4794669938149458</v>
      </c>
      <c r="W542" t="str">
        <f t="shared" si="466"/>
        <v>1-23,7527218360509i</v>
      </c>
      <c r="X542" s="4">
        <f t="shared" si="480"/>
        <v>23.77376273585671</v>
      </c>
      <c r="Y542" s="4">
        <f t="shared" si="481"/>
        <v>-1.5287207356781138</v>
      </c>
      <c r="Z542" t="str">
        <f t="shared" si="467"/>
        <v>-2,01995172040202+4,66860562622074i</v>
      </c>
      <c r="AA542" s="4">
        <f t="shared" si="482"/>
        <v>5.0868539831545219</v>
      </c>
      <c r="AB542" s="4">
        <f t="shared" si="483"/>
        <v>1.9791430512563677</v>
      </c>
      <c r="AC542" s="47" t="str">
        <f t="shared" si="484"/>
        <v>-0,0721395289302334+0,0355239978250404i</v>
      </c>
      <c r="AD542" s="20">
        <f t="shared" si="485"/>
        <v>-21.893598630555864</v>
      </c>
      <c r="AE542" s="43">
        <f t="shared" si="486"/>
        <v>153.78277095337324</v>
      </c>
      <c r="AF542" t="str">
        <f t="shared" si="468"/>
        <v>223,849857273222</v>
      </c>
      <c r="AG542" t="str">
        <f t="shared" si="469"/>
        <v>1+43102,2654280614i</v>
      </c>
      <c r="AH542">
        <f t="shared" si="487"/>
        <v>43102.265439661729</v>
      </c>
      <c r="AI542">
        <f t="shared" si="488"/>
        <v>1.5707731261582274</v>
      </c>
      <c r="AJ542" t="str">
        <f t="shared" si="470"/>
        <v>1+10,9189246340026i</v>
      </c>
      <c r="AK542">
        <f t="shared" si="489"/>
        <v>10.964621067917889</v>
      </c>
      <c r="AL542">
        <f t="shared" si="490"/>
        <v>1.4794669938149458</v>
      </c>
      <c r="AM542" t="str">
        <f t="shared" si="471"/>
        <v>1-7,17685552944143i</v>
      </c>
      <c r="AN542">
        <f t="shared" si="491"/>
        <v>7.2461890184064366</v>
      </c>
      <c r="AO542">
        <f t="shared" si="492"/>
        <v>-1.4323509070336979</v>
      </c>
      <c r="AP542" s="41" t="str">
        <f t="shared" si="493"/>
        <v>0,0194438458749197-0,412170880555416i</v>
      </c>
      <c r="AQ542">
        <f t="shared" si="494"/>
        <v>-7.6887997907206067</v>
      </c>
      <c r="AR542" s="43">
        <f t="shared" si="495"/>
        <v>-87.299117781699209</v>
      </c>
      <c r="AS542" t="str">
        <f t="shared" si="472"/>
        <v>-0,0000166666666666667</v>
      </c>
      <c r="AT542" t="str">
        <f t="shared" si="473"/>
        <v>0,0109516814079046i</v>
      </c>
      <c r="AU542">
        <f t="shared" si="496"/>
        <v>1.09516814079046E-2</v>
      </c>
      <c r="AV542">
        <f t="shared" si="497"/>
        <v>1.5707963267948966</v>
      </c>
      <c r="AW542" t="str">
        <f t="shared" si="474"/>
        <v>1+7,18493545208546i</v>
      </c>
      <c r="AX542">
        <f t="shared" si="498"/>
        <v>7.2541917158725884</v>
      </c>
      <c r="AY542">
        <f t="shared" si="499"/>
        <v>1.4325046192969229</v>
      </c>
      <c r="AZ542" t="str">
        <f t="shared" si="475"/>
        <v>1+2402,16341948057i</v>
      </c>
      <c r="BA542">
        <f t="shared" si="500"/>
        <v>2402.1636276262666</v>
      </c>
      <c r="BB542">
        <f t="shared" si="501"/>
        <v>1.5703800354076729</v>
      </c>
      <c r="BC542" s="41" t="str">
        <f t="shared" si="502"/>
        <v>-0,0692614383499146+0,499160800195064i</v>
      </c>
      <c r="BD542">
        <f t="shared" si="503"/>
        <v>-5.9523698801314353</v>
      </c>
      <c r="BE542" s="43">
        <f t="shared" si="504"/>
        <v>97.899679441756007</v>
      </c>
      <c r="BF542" s="41" t="str">
        <f t="shared" si="505"/>
        <v>-0,0127356996448816-0,0384696681718118i</v>
      </c>
      <c r="BG542" s="20">
        <f t="shared" si="506"/>
        <v>-27.845968510687307</v>
      </c>
      <c r="BH542" s="43">
        <f t="shared" si="507"/>
        <v>-108.31754960487068</v>
      </c>
      <c r="BI542" s="41" t="str">
        <f t="shared" si="460"/>
        <v>0,204392837822795+0,0382531536990134i</v>
      </c>
      <c r="BJ542" s="20">
        <f t="shared" si="508"/>
        <v>-13.641169670852026</v>
      </c>
      <c r="BK542" s="43">
        <f t="shared" si="461"/>
        <v>10.600561660056792</v>
      </c>
      <c r="BL542">
        <f t="shared" si="509"/>
        <v>-27.845968510687307</v>
      </c>
      <c r="BM542" s="43">
        <f t="shared" si="510"/>
        <v>-108.31754960487068</v>
      </c>
    </row>
    <row r="543" spans="14:65" x14ac:dyDescent="0.25">
      <c r="N543" s="9">
        <v>25</v>
      </c>
      <c r="O543" s="34">
        <f t="shared" si="462"/>
        <v>1778279.4100389241</v>
      </c>
      <c r="P543" s="33" t="str">
        <f t="shared" si="463"/>
        <v>66,7780509511648</v>
      </c>
      <c r="Q543" s="4" t="str">
        <f t="shared" si="464"/>
        <v>1+43546,7702881152i</v>
      </c>
      <c r="R543" s="4">
        <f t="shared" si="476"/>
        <v>43546.770299597105</v>
      </c>
      <c r="S543" s="4">
        <f t="shared" si="477"/>
        <v>1.5707733629793665</v>
      </c>
      <c r="T543" s="4" t="str">
        <f t="shared" si="465"/>
        <v>1+11,1732590612165i</v>
      </c>
      <c r="U543" s="4">
        <f t="shared" si="478"/>
        <v>11.217919506265705</v>
      </c>
      <c r="V543" s="4">
        <f t="shared" si="479"/>
        <v>1.4815347508825225</v>
      </c>
      <c r="W543" t="str">
        <f t="shared" si="466"/>
        <v>1-24,3059938024248i</v>
      </c>
      <c r="X543" s="4">
        <f t="shared" si="480"/>
        <v>24.326556162422843</v>
      </c>
      <c r="Y543" s="4">
        <f t="shared" si="481"/>
        <v>-1.5296774013187375</v>
      </c>
      <c r="Z543" t="str">
        <f t="shared" si="467"/>
        <v>-2,16227766016836+4,77735142103416i</v>
      </c>
      <c r="AA543" s="4">
        <f t="shared" si="482"/>
        <v>5.2439042019968545</v>
      </c>
      <c r="AB543" s="4">
        <f t="shared" si="483"/>
        <v>1.9958187198871835</v>
      </c>
      <c r="AC543" s="47" t="str">
        <f t="shared" si="484"/>
        <v>-0,0710353851012011+0,0363647936220919i</v>
      </c>
      <c r="AD543" s="20">
        <f t="shared" si="485"/>
        <v>-21.959680192986415</v>
      </c>
      <c r="AE543" s="43">
        <f t="shared" si="486"/>
        <v>152.89095572240427</v>
      </c>
      <c r="AF543" t="str">
        <f t="shared" si="468"/>
        <v>223,849857273222</v>
      </c>
      <c r="AG543" t="str">
        <f t="shared" si="469"/>
        <v>1+44106,24616396i</v>
      </c>
      <c r="AH543">
        <f t="shared" si="487"/>
        <v>44106.246175296263</v>
      </c>
      <c r="AI543">
        <f t="shared" si="488"/>
        <v>1.5707736542691932</v>
      </c>
      <c r="AJ543" t="str">
        <f t="shared" si="470"/>
        <v>1+11,1732590612165i</v>
      </c>
      <c r="AK543">
        <f t="shared" si="489"/>
        <v>11.217919506265705</v>
      </c>
      <c r="AL543">
        <f t="shared" si="490"/>
        <v>1.4815347508825225</v>
      </c>
      <c r="AM543" t="str">
        <f t="shared" si="471"/>
        <v>1-7,34402596988876i</v>
      </c>
      <c r="AN543">
        <f t="shared" si="491"/>
        <v>7.4117958314028414</v>
      </c>
      <c r="AO543">
        <f t="shared" si="492"/>
        <v>-1.4354635340449593</v>
      </c>
      <c r="AP543" s="41" t="str">
        <f t="shared" si="493"/>
        <v>0,0194438404523772-0,421532405701197i</v>
      </c>
      <c r="AQ543">
        <f t="shared" si="494"/>
        <v>-7.4941501667735579</v>
      </c>
      <c r="AR543" s="43">
        <f t="shared" si="495"/>
        <v>-87.359014678141889</v>
      </c>
      <c r="AS543" t="str">
        <f t="shared" si="472"/>
        <v>-0,0000166666666666667</v>
      </c>
      <c r="AT543" t="str">
        <f t="shared" si="473"/>
        <v>0,0112067788384002i</v>
      </c>
      <c r="AU543">
        <f t="shared" si="496"/>
        <v>1.1206778838400201E-2</v>
      </c>
      <c r="AV543">
        <f t="shared" si="497"/>
        <v>1.5707963267948966</v>
      </c>
      <c r="AW543" t="str">
        <f t="shared" si="474"/>
        <v>1+7,35229409810856i</v>
      </c>
      <c r="AX543">
        <f t="shared" si="498"/>
        <v>7.4199884437296779</v>
      </c>
      <c r="AY543">
        <f t="shared" si="499"/>
        <v>1.4356138761158419</v>
      </c>
      <c r="AZ543" t="str">
        <f t="shared" si="475"/>
        <v>1+2458,11699346763i</v>
      </c>
      <c r="BA543">
        <f t="shared" si="500"/>
        <v>2458.1171968753529</v>
      </c>
      <c r="BB543">
        <f t="shared" si="501"/>
        <v>1.5703895113554804</v>
      </c>
      <c r="BC543" s="41" t="str">
        <f t="shared" si="502"/>
        <v>-0,0662007800227345+0,488214799359491i</v>
      </c>
      <c r="BD543">
        <f t="shared" si="503"/>
        <v>-6.1486539106262814</v>
      </c>
      <c r="BE543" s="43">
        <f t="shared" si="504"/>
        <v>97.722075080425938</v>
      </c>
      <c r="BF543" s="41" t="str">
        <f t="shared" si="505"/>
        <v>-0,0130512325190441-0,0370879039877553i</v>
      </c>
      <c r="BG543" s="20">
        <f t="shared" si="506"/>
        <v>-28.108334103612695</v>
      </c>
      <c r="BH543" s="43">
        <f t="shared" si="507"/>
        <v>-109.38696919716986</v>
      </c>
      <c r="BI543" s="41" t="str">
        <f t="shared" si="460"/>
        <v>0,204511161468348+0,0373985447275143i</v>
      </c>
      <c r="BJ543" s="20">
        <f t="shared" si="508"/>
        <v>-13.642804077399862</v>
      </c>
      <c r="BK543" s="43">
        <f t="shared" si="461"/>
        <v>10.363060402284077</v>
      </c>
      <c r="BL543">
        <f t="shared" si="509"/>
        <v>-28.108334103612695</v>
      </c>
      <c r="BM543" s="43">
        <f t="shared" si="510"/>
        <v>-109.38696919716986</v>
      </c>
    </row>
    <row r="544" spans="14:65" x14ac:dyDescent="0.25">
      <c r="N544" s="9">
        <v>26</v>
      </c>
      <c r="O544" s="34">
        <f t="shared" si="462"/>
        <v>1819700.8586099846</v>
      </c>
      <c r="P544" s="33" t="str">
        <f t="shared" si="463"/>
        <v>66,7780509511648</v>
      </c>
      <c r="Q544" s="4" t="str">
        <f t="shared" si="464"/>
        <v>1+44561,1048722881i</v>
      </c>
      <c r="R544" s="4">
        <f t="shared" si="476"/>
        <v>44561.104883508648</v>
      </c>
      <c r="S544" s="4">
        <f t="shared" si="477"/>
        <v>1.5707738856996254</v>
      </c>
      <c r="T544" s="4" t="str">
        <f t="shared" si="465"/>
        <v>1+11,4335176982803i</v>
      </c>
      <c r="U544" s="4">
        <f t="shared" si="478"/>
        <v>11.477165458286679</v>
      </c>
      <c r="V544" s="4">
        <f t="shared" si="479"/>
        <v>1.4835561798496422</v>
      </c>
      <c r="W544" t="str">
        <f t="shared" si="466"/>
        <v>1-24,8721531284408i</v>
      </c>
      <c r="X544" s="4">
        <f t="shared" si="480"/>
        <v>24.892247814221346</v>
      </c>
      <c r="Y544" s="4">
        <f t="shared" si="481"/>
        <v>-1.5306123633647304</v>
      </c>
      <c r="Z544" t="str">
        <f t="shared" si="467"/>
        <v>-2,31131121482589+4,88863023080676i</v>
      </c>
      <c r="AA544" s="4">
        <f t="shared" si="482"/>
        <v>5.4074823222399617</v>
      </c>
      <c r="AB544" s="4">
        <f t="shared" si="483"/>
        <v>2.0124425872739753</v>
      </c>
      <c r="AC544" s="47" t="str">
        <f t="shared" si="484"/>
        <v>-0,069906760946775+0,0371689912665311i</v>
      </c>
      <c r="AD544" s="20">
        <f t="shared" si="485"/>
        <v>-22.028371223539033</v>
      </c>
      <c r="AE544" s="43">
        <f t="shared" si="486"/>
        <v>152.00069830145247</v>
      </c>
      <c r="AF544" t="str">
        <f t="shared" si="468"/>
        <v>223,849857273222</v>
      </c>
      <c r="AG544" t="str">
        <f t="shared" si="469"/>
        <v>1+45133,6126153903i</v>
      </c>
      <c r="AH544">
        <f t="shared" si="487"/>
        <v>45133.612626468523</v>
      </c>
      <c r="AI544">
        <f t="shared" si="488"/>
        <v>1.570774170358886</v>
      </c>
      <c r="AJ544" t="str">
        <f t="shared" si="470"/>
        <v>1+11,4335176982803i</v>
      </c>
      <c r="AK544">
        <f t="shared" si="489"/>
        <v>11.477165458286679</v>
      </c>
      <c r="AL544">
        <f t="shared" si="490"/>
        <v>1.4835561798496422</v>
      </c>
      <c r="AM544" t="str">
        <f t="shared" si="471"/>
        <v>1-7,51509031011505i</v>
      </c>
      <c r="AN544">
        <f t="shared" si="491"/>
        <v>7.5813311739552125</v>
      </c>
      <c r="AO544">
        <f t="shared" si="492"/>
        <v>-1.4385078606404835</v>
      </c>
      <c r="AP544" s="41" t="str">
        <f t="shared" si="493"/>
        <v>0,0194438352738893-0,431117432908114i</v>
      </c>
      <c r="AQ544">
        <f t="shared" si="494"/>
        <v>-7.2992632885971576</v>
      </c>
      <c r="AR544" s="43">
        <f t="shared" si="495"/>
        <v>-87.417651964884669</v>
      </c>
      <c r="AS544" t="str">
        <f t="shared" si="472"/>
        <v>-0,0000166666666666667</v>
      </c>
      <c r="AT544" t="str">
        <f t="shared" si="473"/>
        <v>0,0114678182513752i</v>
      </c>
      <c r="AU544">
        <f t="shared" si="496"/>
        <v>1.14678182513752E-2</v>
      </c>
      <c r="AV544">
        <f t="shared" si="497"/>
        <v>1.5707963267948966</v>
      </c>
      <c r="AW544" t="str">
        <f t="shared" si="474"/>
        <v>1+7,52355102778165i</v>
      </c>
      <c r="AX544">
        <f t="shared" si="498"/>
        <v>7.5897180492844614</v>
      </c>
      <c r="AY544">
        <f t="shared" si="499"/>
        <v>1.438654900843495</v>
      </c>
      <c r="AZ544" t="str">
        <f t="shared" si="475"/>
        <v>1+2515,37389362166i</v>
      </c>
      <c r="BA544">
        <f t="shared" si="500"/>
        <v>2515.3740923992577</v>
      </c>
      <c r="BB544">
        <f t="shared" si="501"/>
        <v>1.5703987716044525</v>
      </c>
      <c r="BC544" s="41" t="str">
        <f t="shared" si="502"/>
        <v>-0,0632729785605693+0,477490825294693i</v>
      </c>
      <c r="BD544">
        <f t="shared" si="503"/>
        <v>-6.3451022167027862</v>
      </c>
      <c r="BE544" s="43">
        <f t="shared" si="504"/>
        <v>97.548367771319818</v>
      </c>
      <c r="BF544" s="41" t="str">
        <f t="shared" si="505"/>
        <v>-0,013324643328603-0,0357316297656796i</v>
      </c>
      <c r="BG544" s="20">
        <f t="shared" si="506"/>
        <v>-28.373473440241824</v>
      </c>
      <c r="BH544" s="43">
        <f t="shared" si="507"/>
        <v>-110.45093392722765</v>
      </c>
      <c r="BI544" s="41" t="str">
        <f t="shared" si="460"/>
        <v>0,204624349465805+0,0365623370413062i</v>
      </c>
      <c r="BJ544" s="20">
        <f t="shared" si="508"/>
        <v>-13.644365505299934</v>
      </c>
      <c r="BK544" s="43">
        <f t="shared" si="461"/>
        <v>10.13071580643515</v>
      </c>
      <c r="BL544">
        <f t="shared" si="509"/>
        <v>-28.373473440241824</v>
      </c>
      <c r="BM544" s="43">
        <f t="shared" si="510"/>
        <v>-110.45093392722765</v>
      </c>
    </row>
    <row r="545" spans="14:65" x14ac:dyDescent="0.25">
      <c r="N545" s="9">
        <v>27</v>
      </c>
      <c r="O545" s="34">
        <f t="shared" si="462"/>
        <v>1862087.1366628683</v>
      </c>
      <c r="P545" s="33" t="str">
        <f t="shared" si="463"/>
        <v>66,7780509511648</v>
      </c>
      <c r="Q545" s="4" t="str">
        <f t="shared" si="464"/>
        <v>1+45599,0663441002i</v>
      </c>
      <c r="R545" s="4">
        <f t="shared" si="476"/>
        <v>45599.066355065341</v>
      </c>
      <c r="S545" s="4">
        <f t="shared" si="477"/>
        <v>1.5707743965213183</v>
      </c>
      <c r="T545" s="4" t="str">
        <f t="shared" si="465"/>
        <v>1+11,6998385377682i</v>
      </c>
      <c r="U545" s="4">
        <f t="shared" si="478"/>
        <v>11.742496404506408</v>
      </c>
      <c r="V545" s="4">
        <f t="shared" si="479"/>
        <v>1.4855322863887868</v>
      </c>
      <c r="W545" t="str">
        <f t="shared" si="466"/>
        <v>1-25,4514999992673i</v>
      </c>
      <c r="X545" s="4">
        <f t="shared" si="480"/>
        <v>25.471137630908892</v>
      </c>
      <c r="Y545" s="4">
        <f t="shared" si="481"/>
        <v>-1.5315261110032106</v>
      </c>
      <c r="Z545" t="str">
        <f t="shared" si="467"/>
        <v>-2,46736850452529+5,0025010570364i</v>
      </c>
      <c r="AA545" s="4">
        <f t="shared" si="482"/>
        <v>5.5778960337006707</v>
      </c>
      <c r="AB545" s="4">
        <f t="shared" si="483"/>
        <v>2.0290108562877514</v>
      </c>
      <c r="AC545" s="47" t="str">
        <f t="shared" si="484"/>
        <v>-0,0687552606509014+0,037935772084104i</v>
      </c>
      <c r="AD545" s="20">
        <f t="shared" si="485"/>
        <v>-22.099676963484267</v>
      </c>
      <c r="AE545" s="43">
        <f t="shared" si="486"/>
        <v>151.11224582653486</v>
      </c>
      <c r="AF545" t="str">
        <f t="shared" si="468"/>
        <v>223,849857273222</v>
      </c>
      <c r="AG545" t="str">
        <f t="shared" si="469"/>
        <v>1+46184,9095056431i</v>
      </c>
      <c r="AH545">
        <f t="shared" si="487"/>
        <v>46184.909516469153</v>
      </c>
      <c r="AI545">
        <f t="shared" si="488"/>
        <v>1.5707746747009432</v>
      </c>
      <c r="AJ545" t="str">
        <f t="shared" si="470"/>
        <v>1+11,6998385377682i</v>
      </c>
      <c r="AK545">
        <f t="shared" si="489"/>
        <v>11.742496404506408</v>
      </c>
      <c r="AL545">
        <f t="shared" si="490"/>
        <v>1.4855322863887868</v>
      </c>
      <c r="AM545" t="str">
        <f t="shared" si="471"/>
        <v>1-7,69013925069772i</v>
      </c>
      <c r="AN545">
        <f t="shared" si="491"/>
        <v>7.7548850213992013</v>
      </c>
      <c r="AO545">
        <f t="shared" si="492"/>
        <v>-1.4414852751266105</v>
      </c>
      <c r="AP545" s="41" t="str">
        <f t="shared" si="493"/>
        <v>0,0194438303284719-0,440931044284459i</v>
      </c>
      <c r="AQ545">
        <f t="shared" si="494"/>
        <v>-7.1041495266604473</v>
      </c>
      <c r="AR545" s="43">
        <f t="shared" si="495"/>
        <v>-87.475051580910943</v>
      </c>
      <c r="AS545" t="str">
        <f t="shared" si="472"/>
        <v>-0,0000166666666666667</v>
      </c>
      <c r="AT545" t="str">
        <f t="shared" si="473"/>
        <v>0,0117349380533815i</v>
      </c>
      <c r="AU545">
        <f t="shared" si="496"/>
        <v>1.1734938053381499E-2</v>
      </c>
      <c r="AV545">
        <f t="shared" si="497"/>
        <v>1.5707963267948966</v>
      </c>
      <c r="AW545" t="str">
        <f t="shared" si="474"/>
        <v>1+7,69879704379562i</v>
      </c>
      <c r="AX545">
        <f t="shared" si="498"/>
        <v>7.7634706105939619</v>
      </c>
      <c r="AY545">
        <f t="shared" si="499"/>
        <v>1.4416290807695311</v>
      </c>
      <c r="AZ545" t="str">
        <f t="shared" si="475"/>
        <v>1+2573,964478309i</v>
      </c>
      <c r="BA545">
        <f t="shared" si="500"/>
        <v>2573.9646725618672</v>
      </c>
      <c r="BB545">
        <f t="shared" si="501"/>
        <v>1.5704078210644894</v>
      </c>
      <c r="BC545" s="41" t="str">
        <f t="shared" si="502"/>
        <v>-0,0604724741914406+0,466985565838328i</v>
      </c>
      <c r="BD545">
        <f t="shared" si="503"/>
        <v>-6.5417076616840273</v>
      </c>
      <c r="BE545" s="43">
        <f t="shared" si="504"/>
        <v>97.37847830991241</v>
      </c>
      <c r="BF545" s="41" t="str">
        <f t="shared" si="505"/>
        <v>-0,0135576572669717-0,0344017842977113i</v>
      </c>
      <c r="BG545" s="20">
        <f t="shared" si="506"/>
        <v>-28.641384625168293</v>
      </c>
      <c r="BH545" s="43">
        <f t="shared" si="507"/>
        <v>-111.50927586355265</v>
      </c>
      <c r="BI545" s="41" t="str">
        <f t="shared" si="460"/>
        <v>0,204732616683142+0,0357441793037028i</v>
      </c>
      <c r="BJ545" s="20">
        <f t="shared" si="508"/>
        <v>-13.645857188344463</v>
      </c>
      <c r="BK545" s="43">
        <f t="shared" si="461"/>
        <v>9.9034267290014562</v>
      </c>
      <c r="BL545">
        <f t="shared" si="509"/>
        <v>-28.641384625168293</v>
      </c>
      <c r="BM545" s="43">
        <f t="shared" si="510"/>
        <v>-111.50927586355265</v>
      </c>
    </row>
    <row r="546" spans="14:65" x14ac:dyDescent="0.25">
      <c r="N546" s="9">
        <v>28</v>
      </c>
      <c r="O546" s="34">
        <f t="shared" si="462"/>
        <v>1905460.7179632513</v>
      </c>
      <c r="P546" s="33" t="str">
        <f t="shared" si="463"/>
        <v>66,7780509511648</v>
      </c>
      <c r="Q546" s="4" t="str">
        <f t="shared" si="464"/>
        <v>1+46661,2050444633i</v>
      </c>
      <c r="R546" s="4">
        <f t="shared" si="476"/>
        <v>46661.205055178842</v>
      </c>
      <c r="S546" s="4">
        <f t="shared" si="477"/>
        <v>1.5707748957152901</v>
      </c>
      <c r="T546" s="4" t="str">
        <f t="shared" si="465"/>
        <v>1+11,9723627865146i</v>
      </c>
      <c r="U546" s="4">
        <f t="shared" si="478"/>
        <v>12.014053050154208</v>
      </c>
      <c r="V546" s="4">
        <f t="shared" si="479"/>
        <v>1.4874640564900197</v>
      </c>
      <c r="W546" t="str">
        <f t="shared" si="466"/>
        <v>1-26,044341592284i</v>
      </c>
      <c r="X546" s="4">
        <f t="shared" si="480"/>
        <v>26.063532549820909</v>
      </c>
      <c r="Y546" s="4">
        <f t="shared" si="481"/>
        <v>-1.5324191226084327</v>
      </c>
      <c r="Z546" t="str">
        <f t="shared" si="467"/>
        <v>-2,63078054770105+5,11902427554246i</v>
      </c>
      <c r="AA546" s="4">
        <f t="shared" si="482"/>
        <v>5.7554683409567327</v>
      </c>
      <c r="AB546" s="4">
        <f t="shared" si="483"/>
        <v>2.0455196125614776</v>
      </c>
      <c r="AC546" s="47" t="str">
        <f t="shared" si="484"/>
        <v>-0,067582532681216+0,0386643974386693i</v>
      </c>
      <c r="AD546" s="20">
        <f t="shared" si="485"/>
        <v>-22.173601148808963</v>
      </c>
      <c r="AE546" s="43">
        <f t="shared" si="486"/>
        <v>150.22585164308722</v>
      </c>
      <c r="AF546" t="str">
        <f t="shared" si="468"/>
        <v>223,849857273222</v>
      </c>
      <c r="AG546" t="str">
        <f t="shared" si="469"/>
        <v>1+47260,6942462457i</v>
      </c>
      <c r="AH546">
        <f t="shared" si="487"/>
        <v>47260.694256825314</v>
      </c>
      <c r="AI546">
        <f t="shared" si="488"/>
        <v>1.5707751675627737</v>
      </c>
      <c r="AJ546" t="str">
        <f t="shared" si="470"/>
        <v>1+11,9723627865146i</v>
      </c>
      <c r="AK546">
        <f t="shared" si="489"/>
        <v>12.014053050154208</v>
      </c>
      <c r="AL546">
        <f t="shared" si="490"/>
        <v>1.4874640564900197</v>
      </c>
      <c r="AM546" t="str">
        <f t="shared" si="471"/>
        <v>1-7,86926560490221i</v>
      </c>
      <c r="AN546">
        <f t="shared" si="491"/>
        <v>7.9325494741915685</v>
      </c>
      <c r="AO546">
        <f t="shared" si="492"/>
        <v>-1.4443971448978057</v>
      </c>
      <c r="AP546" s="41" t="str">
        <f t="shared" si="493"/>
        <v>0,0194438256056348-0,450978443136893i</v>
      </c>
      <c r="AQ546">
        <f t="shared" si="494"/>
        <v>-6.9088188111464222</v>
      </c>
      <c r="AR546" s="43">
        <f t="shared" si="495"/>
        <v>-87.531235394404717</v>
      </c>
      <c r="AS546" t="str">
        <f t="shared" si="472"/>
        <v>-0,0000166666666666667</v>
      </c>
      <c r="AT546" t="str">
        <f t="shared" si="473"/>
        <v>0,0120082798748741i</v>
      </c>
      <c r="AU546">
        <f t="shared" si="496"/>
        <v>1.20082798748741E-2</v>
      </c>
      <c r="AV546">
        <f t="shared" si="497"/>
        <v>1.5707963267948966</v>
      </c>
      <c r="AW546" t="str">
        <f t="shared" si="474"/>
        <v>1+7,87812506390791i</v>
      </c>
      <c r="AX546">
        <f t="shared" si="498"/>
        <v>7.9413383332139942</v>
      </c>
      <c r="AY546">
        <f t="shared" si="499"/>
        <v>1.4445377822611907</v>
      </c>
      <c r="AZ546" t="str">
        <f t="shared" si="475"/>
        <v>1+2633,91981303321i</v>
      </c>
      <c r="BA546">
        <f t="shared" si="500"/>
        <v>2633.9200028643431</v>
      </c>
      <c r="BB546">
        <f t="shared" si="501"/>
        <v>1.5704166645337283</v>
      </c>
      <c r="BC546" s="41" t="str">
        <f t="shared" si="502"/>
        <v>-0,0577939218244246+0,456695675297346i</v>
      </c>
      <c r="BD546">
        <f t="shared" si="503"/>
        <v>-6.7384634080520538</v>
      </c>
      <c r="BE546" s="43">
        <f t="shared" si="504"/>
        <v>97.212328684040557</v>
      </c>
      <c r="BF546" s="41" t="str">
        <f t="shared" si="505"/>
        <v>-0,0137520034877432-0,0330992175641118i</v>
      </c>
      <c r="BG546" s="20">
        <f t="shared" si="506"/>
        <v>-28.912064556861022</v>
      </c>
      <c r="BH546" s="43">
        <f t="shared" si="507"/>
        <v>-112.56181967287218</v>
      </c>
      <c r="BI546" s="41" t="str">
        <f t="shared" si="460"/>
        <v>0,204836169695929+0,0349437239524835i</v>
      </c>
      <c r="BJ546" s="20">
        <f t="shared" si="508"/>
        <v>-13.647282219198489</v>
      </c>
      <c r="BK546" s="43">
        <f t="shared" si="461"/>
        <v>9.6810932896358537</v>
      </c>
      <c r="BL546">
        <f t="shared" si="509"/>
        <v>-28.912064556861022</v>
      </c>
      <c r="BM546" s="43">
        <f t="shared" si="510"/>
        <v>-112.56181967287218</v>
      </c>
    </row>
    <row r="547" spans="14:65" x14ac:dyDescent="0.25">
      <c r="N547" s="9">
        <v>29</v>
      </c>
      <c r="O547" s="34">
        <f t="shared" si="462"/>
        <v>1949844.5997580495</v>
      </c>
      <c r="P547" s="33" t="str">
        <f t="shared" si="463"/>
        <v>66,7780509511648</v>
      </c>
      <c r="Q547" s="4" t="str">
        <f t="shared" si="464"/>
        <v>1+47748,0841333744i</v>
      </c>
      <c r="R547" s="4">
        <f t="shared" si="476"/>
        <v>47748.084143846034</v>
      </c>
      <c r="S547" s="4">
        <f t="shared" si="477"/>
        <v>1.5707753835462197</v>
      </c>
      <c r="T547" s="4" t="str">
        <f t="shared" si="465"/>
        <v>1+12,2512349404832i</v>
      </c>
      <c r="U547" s="4">
        <f t="shared" si="478"/>
        <v>12.291979399873577</v>
      </c>
      <c r="V547" s="4">
        <f t="shared" si="479"/>
        <v>1.4893524567005179</v>
      </c>
      <c r="W547" t="str">
        <f t="shared" si="466"/>
        <v>1-26,6509922399503i</v>
      </c>
      <c r="X547" s="4">
        <f t="shared" si="480"/>
        <v>26.669746668723555</v>
      </c>
      <c r="Y547" s="4">
        <f t="shared" si="481"/>
        <v>-1.5332918659665216</v>
      </c>
      <c r="Z547" t="str">
        <f t="shared" si="467"/>
        <v>-2,80189396320559+5,23826166847763i</v>
      </c>
      <c r="AA547" s="4">
        <f t="shared" si="482"/>
        <v>5.9405382827223638</v>
      </c>
      <c r="AB547" s="4">
        <f t="shared" si="483"/>
        <v>2.0619648339447085</v>
      </c>
      <c r="AC547" s="47" t="str">
        <f t="shared" si="484"/>
        <v>-0,0663902649867843+0,0393542121137446i</v>
      </c>
      <c r="AD547" s="20">
        <f t="shared" si="485"/>
        <v>-22.250145922991997</v>
      </c>
      <c r="AE547" s="43">
        <f t="shared" si="486"/>
        <v>149.34177476509296</v>
      </c>
      <c r="AF547" t="str">
        <f t="shared" si="468"/>
        <v>223,849857273222</v>
      </c>
      <c r="AG547" t="str">
        <f t="shared" si="469"/>
        <v>1+48361,5372325063i</v>
      </c>
      <c r="AH547">
        <f t="shared" si="487"/>
        <v>48361.537242845101</v>
      </c>
      <c r="AI547">
        <f t="shared" si="488"/>
        <v>1.570775649205699</v>
      </c>
      <c r="AJ547" t="str">
        <f t="shared" si="470"/>
        <v>1+12,2512349404832i</v>
      </c>
      <c r="AK547">
        <f t="shared" si="489"/>
        <v>12.291979399873577</v>
      </c>
      <c r="AL547">
        <f t="shared" si="490"/>
        <v>1.4893524567005179</v>
      </c>
      <c r="AM547" t="str">
        <f t="shared" si="471"/>
        <v>1-8,05256434789236i</v>
      </c>
      <c r="AN547">
        <f t="shared" si="491"/>
        <v>8.1144188070956211</v>
      </c>
      <c r="AO547">
        <f t="shared" si="492"/>
        <v>-1.447244816243255</v>
      </c>
      <c r="AP547" s="41" t="str">
        <f t="shared" si="493"/>
        <v>0,0194438210953604-0,461264956729268i</v>
      </c>
      <c r="AQ547">
        <f t="shared" si="494"/>
        <v>-6.7132806495182438</v>
      </c>
      <c r="AR547" s="43">
        <f t="shared" si="495"/>
        <v>-87.586225177952997</v>
      </c>
      <c r="AS547" t="str">
        <f t="shared" si="472"/>
        <v>-0,0000166666666666667</v>
      </c>
      <c r="AT547" t="str">
        <f t="shared" si="473"/>
        <v>0,0122879886453047i</v>
      </c>
      <c r="AU547">
        <f t="shared" si="496"/>
        <v>1.22879886453047E-2</v>
      </c>
      <c r="AV547">
        <f t="shared" si="497"/>
        <v>1.5707963267948966</v>
      </c>
      <c r="AW547" t="str">
        <f t="shared" si="474"/>
        <v>1+8,06163017020829i</v>
      </c>
      <c r="AX547">
        <f t="shared" si="498"/>
        <v>8.1234155994392232</v>
      </c>
      <c r="AY547">
        <f t="shared" si="499"/>
        <v>1.4473823505721501</v>
      </c>
      <c r="AZ547" t="str">
        <f t="shared" si="475"/>
        <v>1+2695,2716869063i</v>
      </c>
      <c r="BA547">
        <f t="shared" si="500"/>
        <v>2695.2718724163492</v>
      </c>
      <c r="BB547">
        <f t="shared" si="501"/>
        <v>1.5704253067010883</v>
      </c>
      <c r="BC547" s="41" t="str">
        <f t="shared" si="502"/>
        <v>-0,0552321843417076+0,446617781714493i</v>
      </c>
      <c r="BD547">
        <f t="shared" si="503"/>
        <v>-6.9353629058513446</v>
      </c>
      <c r="BE547" s="43">
        <f t="shared" si="504"/>
        <v>97.049842085001487</v>
      </c>
      <c r="BF547" s="41" t="str">
        <f t="shared" si="505"/>
        <v>-0,0139094115611174-0,031824691973924i</v>
      </c>
      <c r="BG547" s="20">
        <f t="shared" si="506"/>
        <v>-29.185508828843332</v>
      </c>
      <c r="BH547" s="43">
        <f t="shared" si="507"/>
        <v>-113.60838314990559</v>
      </c>
      <c r="BI547" s="41" t="str">
        <f t="shared" si="460"/>
        <v>0,204935207046011+0,034160627366104i</v>
      </c>
      <c r="BJ547" s="20">
        <f t="shared" si="508"/>
        <v>-13.648643555369597</v>
      </c>
      <c r="BK547" s="43">
        <f t="shared" si="461"/>
        <v>9.463616907048495</v>
      </c>
      <c r="BL547">
        <f t="shared" si="509"/>
        <v>-29.185508828843332</v>
      </c>
      <c r="BM547" s="43">
        <f t="shared" si="510"/>
        <v>-113.60838314990559</v>
      </c>
    </row>
    <row r="548" spans="14:65" x14ac:dyDescent="0.25">
      <c r="N548" s="9">
        <v>30</v>
      </c>
      <c r="O548" s="34">
        <f t="shared" si="462"/>
        <v>1995262.31496888</v>
      </c>
      <c r="P548" s="33" t="str">
        <f t="shared" si="463"/>
        <v>66,7780509511648</v>
      </c>
      <c r="Q548" s="4" t="str">
        <f t="shared" si="464"/>
        <v>1+48860,2798885139i</v>
      </c>
      <c r="R548" s="4">
        <f t="shared" si="476"/>
        <v>48860.279898747154</v>
      </c>
      <c r="S548" s="4">
        <f t="shared" si="477"/>
        <v>1.5707758602727617</v>
      </c>
      <c r="T548" s="4" t="str">
        <f t="shared" si="465"/>
        <v>1+12,5366028613816i</v>
      </c>
      <c r="U548" s="4">
        <f t="shared" si="478"/>
        <v>12.576422834176707</v>
      </c>
      <c r="V548" s="4">
        <f t="shared" si="479"/>
        <v>1.491198434371964</v>
      </c>
      <c r="W548" t="str">
        <f t="shared" si="466"/>
        <v>1-27,2717735964699i</v>
      </c>
      <c r="X548" s="4">
        <f t="shared" si="480"/>
        <v>27.290101412364024</v>
      </c>
      <c r="Y548" s="4">
        <f t="shared" si="481"/>
        <v>-1.5341447984965075</v>
      </c>
      <c r="Z548" t="str">
        <f t="shared" si="467"/>
        <v>-2,98107170553496+5,36027645708606i</v>
      </c>
      <c r="AA548" s="4">
        <f t="shared" si="482"/>
        <v>6.1334616824377566</v>
      </c>
      <c r="AB548" s="4">
        <f t="shared" si="483"/>
        <v>2.0783424008828022</v>
      </c>
      <c r="AC548" s="47" t="str">
        <f t="shared" si="484"/>
        <v>-0,0651801798487539+0,0400046473480809i</v>
      </c>
      <c r="AD548" s="20">
        <f t="shared" si="485"/>
        <v>-22.329311756577471</v>
      </c>
      <c r="AE548" s="43">
        <f t="shared" si="486"/>
        <v>148.46027928189997</v>
      </c>
      <c r="AF548" t="str">
        <f t="shared" si="468"/>
        <v>223,849857273222</v>
      </c>
      <c r="AG548" t="str">
        <f t="shared" si="469"/>
        <v>1+49488,0221459486i</v>
      </c>
      <c r="AH548">
        <f t="shared" si="487"/>
        <v>49488.022156052051</v>
      </c>
      <c r="AI548">
        <f t="shared" si="488"/>
        <v>1.5707761198850929</v>
      </c>
      <c r="AJ548" t="str">
        <f t="shared" si="470"/>
        <v>1+12,5366028613816i</v>
      </c>
      <c r="AK548">
        <f t="shared" si="489"/>
        <v>12.576422834176707</v>
      </c>
      <c r="AL548">
        <f t="shared" si="490"/>
        <v>1.491198434371964</v>
      </c>
      <c r="AM548" t="str">
        <f t="shared" si="471"/>
        <v>1-8,2401326670881i</v>
      </c>
      <c r="AN548">
        <f t="shared" si="491"/>
        <v>8.3005895194987467</v>
      </c>
      <c r="AO548">
        <f t="shared" si="492"/>
        <v>-1.4500296141979423</v>
      </c>
      <c r="AP548" s="41" t="str">
        <f t="shared" si="493"/>
        <v>0,0194438167880818-0,471796039107258i</v>
      </c>
      <c r="AQ548">
        <f t="shared" si="494"/>
        <v>-6.5175441434815156</v>
      </c>
      <c r="AR548" s="43">
        <f t="shared" si="495"/>
        <v>-87.640042585846771</v>
      </c>
      <c r="AS548" t="str">
        <f t="shared" si="472"/>
        <v>-0,0000166666666666667</v>
      </c>
      <c r="AT548" t="str">
        <f t="shared" si="473"/>
        <v>0,0125742126699657i</v>
      </c>
      <c r="AU548">
        <f t="shared" si="496"/>
        <v>1.2574212669965701E-2</v>
      </c>
      <c r="AV548">
        <f t="shared" si="497"/>
        <v>1.5707963267948966</v>
      </c>
      <c r="AW548" t="str">
        <f t="shared" si="474"/>
        <v>1+8,24940965953325i</v>
      </c>
      <c r="AX548">
        <f t="shared" si="498"/>
        <v>8.3097990186767134</v>
      </c>
      <c r="AY548">
        <f t="shared" si="499"/>
        <v>1.4501641096956892</v>
      </c>
      <c r="AZ548" t="str">
        <f t="shared" si="475"/>
        <v>1+2758,05262950395i</v>
      </c>
      <c r="BA548">
        <f t="shared" si="500"/>
        <v>2758.0528107912751</v>
      </c>
      <c r="BB548">
        <f t="shared" si="501"/>
        <v>1.5704337521487559</v>
      </c>
      <c r="BC548" s="41" t="str">
        <f t="shared" si="502"/>
        <v>-0,0527823259541743+0,436748493614328i</v>
      </c>
      <c r="BD548">
        <f t="shared" si="503"/>
        <v>-7.1323998814597989</v>
      </c>
      <c r="BE548" s="43">
        <f t="shared" si="504"/>
        <v>96.890942916108187</v>
      </c>
      <c r="BF548" s="41" t="str">
        <f t="shared" si="505"/>
        <v>-0,0140316079683181-0,0305788836984624i</v>
      </c>
      <c r="BG548" s="20">
        <f t="shared" si="506"/>
        <v>-29.461711638037286</v>
      </c>
      <c r="BH548" s="43">
        <f t="shared" si="507"/>
        <v>-114.64877780199181</v>
      </c>
      <c r="BI548" s="41" t="str">
        <f t="shared" si="460"/>
        <v>0,2050299194978+0,0333945500123554i</v>
      </c>
      <c r="BJ548" s="20">
        <f t="shared" si="508"/>
        <v>-13.649944024941302</v>
      </c>
      <c r="BK548" s="43">
        <f t="shared" si="461"/>
        <v>9.2509003302614357</v>
      </c>
      <c r="BL548">
        <f t="shared" si="509"/>
        <v>-29.461711638037286</v>
      </c>
      <c r="BM548" s="43">
        <f t="shared" si="510"/>
        <v>-114.64877780199181</v>
      </c>
    </row>
    <row r="549" spans="14:65" x14ac:dyDescent="0.25">
      <c r="N549" s="9">
        <v>31</v>
      </c>
      <c r="O549" s="34">
        <f t="shared" si="462"/>
        <v>2041737.9446695296</v>
      </c>
      <c r="P549" s="33" t="str">
        <f t="shared" si="463"/>
        <v>66,7780509511648</v>
      </c>
      <c r="Q549" s="4" t="str">
        <f t="shared" si="464"/>
        <v>1+49998,3820107924i</v>
      </c>
      <c r="R549" s="4">
        <f t="shared" si="476"/>
        <v>49998.38202079272</v>
      </c>
      <c r="S549" s="4">
        <f t="shared" si="477"/>
        <v>1.5707763261476826</v>
      </c>
      <c r="T549" s="4" t="str">
        <f t="shared" si="465"/>
        <v>1+12,8286178550586i</v>
      </c>
      <c r="U549" s="4">
        <f t="shared" si="478"/>
        <v>12.867534187680572</v>
      </c>
      <c r="V549" s="4">
        <f t="shared" si="479"/>
        <v>1.4930029179147768</v>
      </c>
      <c r="W549" t="str">
        <f t="shared" si="466"/>
        <v>1-27,9070148083349i</v>
      </c>
      <c r="X549" s="4">
        <f t="shared" si="480"/>
        <v>27.924925702902481</v>
      </c>
      <c r="Y549" s="4">
        <f t="shared" si="481"/>
        <v>-1.5349783674676483</v>
      </c>
      <c r="Z549" t="str">
        <f t="shared" si="467"/>
        <v>-3,16869383470332+5,48513333522365i</v>
      </c>
      <c r="AA549" s="4">
        <f t="shared" si="482"/>
        <v>6.3346119315447069</v>
      </c>
      <c r="AB549" s="4">
        <f t="shared" si="483"/>
        <v>2.0946481076428931</v>
      </c>
      <c r="AC549" s="47" t="str">
        <f t="shared" si="484"/>
        <v>-0,0639540284156277+0,040615223483975i</v>
      </c>
      <c r="AD549" s="20">
        <f t="shared" si="485"/>
        <v>-22.411097374252378</v>
      </c>
      <c r="AE549" s="43">
        <f t="shared" si="486"/>
        <v>147.58163371712675</v>
      </c>
      <c r="AF549" t="str">
        <f t="shared" si="468"/>
        <v>223,849857273222</v>
      </c>
      <c r="AG549" t="str">
        <f t="shared" si="469"/>
        <v>1+50640,7462637838i</v>
      </c>
      <c r="AH549">
        <f t="shared" si="487"/>
        <v>50640.746273657278</v>
      </c>
      <c r="AI549">
        <f t="shared" si="488"/>
        <v>1.5707765798505158</v>
      </c>
      <c r="AJ549" t="str">
        <f t="shared" si="470"/>
        <v>1+12,8286178550586i</v>
      </c>
      <c r="AK549">
        <f t="shared" si="489"/>
        <v>12.867534187680572</v>
      </c>
      <c r="AL549">
        <f t="shared" si="490"/>
        <v>1.4930029179147768</v>
      </c>
      <c r="AM549" t="str">
        <f t="shared" si="471"/>
        <v>1-8,43207001369495i</v>
      </c>
      <c r="AN549">
        <f t="shared" si="491"/>
        <v>8.4911603868878593</v>
      </c>
      <c r="AO549">
        <f t="shared" si="492"/>
        <v>-1.4527528424349661</v>
      </c>
      <c r="AP549" s="41" t="str">
        <f t="shared" si="493"/>
        <v>0,0194438126746627-0,482577273990134i</v>
      </c>
      <c r="AQ549">
        <f t="shared" si="494"/>
        <v>-6.3216180053574629</v>
      </c>
      <c r="AR549" s="43">
        <f t="shared" si="495"/>
        <v>-87.692709133352537</v>
      </c>
      <c r="AS549" t="str">
        <f t="shared" si="472"/>
        <v>-0,0000166666666666667</v>
      </c>
      <c r="AT549" t="str">
        <f t="shared" si="473"/>
        <v>0,0128671037086238i</v>
      </c>
      <c r="AU549">
        <f t="shared" si="496"/>
        <v>1.28671037086238E-2</v>
      </c>
      <c r="AV549">
        <f t="shared" si="497"/>
        <v>1.5707963267948966</v>
      </c>
      <c r="AW549" t="str">
        <f t="shared" si="474"/>
        <v>1+8,44156309505351i</v>
      </c>
      <c r="AX549">
        <f t="shared" si="498"/>
        <v>8.5005874789786979</v>
      </c>
      <c r="AY549">
        <f t="shared" si="499"/>
        <v>1.4528843622589434</v>
      </c>
      <c r="AZ549" t="str">
        <f t="shared" si="475"/>
        <v>1+2822,29592811289i</v>
      </c>
      <c r="BA549">
        <f t="shared" si="500"/>
        <v>2822.2961052736123</v>
      </c>
      <c r="BB549">
        <f t="shared" si="501"/>
        <v>1.5704420053546142</v>
      </c>
      <c r="BC549" s="41" t="str">
        <f t="shared" si="502"/>
        <v>-0,0504396056360131+0,427084406256388i</v>
      </c>
      <c r="BD549">
        <f t="shared" si="503"/>
        <v>-7.3295683267221463</v>
      </c>
      <c r="BE549" s="43">
        <f t="shared" si="504"/>
        <v>96.73555679888716</v>
      </c>
      <c r="BF549" s="41" t="str">
        <f t="shared" si="505"/>
        <v>-0,0141203126345053-0,0293623841089428i</v>
      </c>
      <c r="BG549" s="20">
        <f t="shared" si="506"/>
        <v>-29.740665700974517</v>
      </c>
      <c r="BH549" s="43">
        <f t="shared" si="507"/>
        <v>-115.68280948398599</v>
      </c>
      <c r="BI549" s="41" t="str">
        <f t="shared" si="460"/>
        <v>0,205120490291532+0,0326451565804834i</v>
      </c>
      <c r="BJ549" s="20">
        <f t="shared" si="508"/>
        <v>-13.651186332079616</v>
      </c>
      <c r="BK549" s="43">
        <f t="shared" si="461"/>
        <v>9.0428476655346373</v>
      </c>
      <c r="BL549">
        <f t="shared" si="509"/>
        <v>-29.740665700974517</v>
      </c>
      <c r="BM549" s="43">
        <f t="shared" si="510"/>
        <v>-115.68280948398599</v>
      </c>
    </row>
    <row r="550" spans="14:65" x14ac:dyDescent="0.25">
      <c r="N550" s="9">
        <v>32</v>
      </c>
      <c r="O550" s="34">
        <f t="shared" si="462"/>
        <v>2089296.1308540432</v>
      </c>
      <c r="P550" s="33" t="str">
        <f t="shared" si="463"/>
        <v>66,7780509511648</v>
      </c>
      <c r="Q550" s="4" t="str">
        <f t="shared" si="464"/>
        <v>1+51162,9939370203i</v>
      </c>
      <c r="R550" s="4">
        <f t="shared" si="476"/>
        <v>51162.99394679298</v>
      </c>
      <c r="S550" s="4">
        <f t="shared" si="477"/>
        <v>1.5707767814179958</v>
      </c>
      <c r="T550" s="4" t="str">
        <f t="shared" si="465"/>
        <v>1+13,1274347517293i</v>
      </c>
      <c r="U550" s="4">
        <f t="shared" si="478"/>
        <v>13.165467829169994</v>
      </c>
      <c r="V550" s="4">
        <f t="shared" si="479"/>
        <v>1.4947668170582686</v>
      </c>
      <c r="W550" t="str">
        <f t="shared" si="466"/>
        <v>1-28,5570526888445i</v>
      </c>
      <c r="X550" s="4">
        <f t="shared" si="480"/>
        <v>28.57455613432063</v>
      </c>
      <c r="Y550" s="4">
        <f t="shared" si="481"/>
        <v>-1.5357930102130417</v>
      </c>
      <c r="Z550" t="str">
        <f t="shared" si="467"/>
        <v>-3,36515832240168+5,61289850365996i</v>
      </c>
      <c r="AA550" s="4">
        <f t="shared" si="482"/>
        <v>6.5443808070143286</v>
      </c>
      <c r="AB550" s="4">
        <f t="shared" si="483"/>
        <v>2.1108776743014737</v>
      </c>
      <c r="AC550" s="47" t="str">
        <f t="shared" si="484"/>
        <v>-0,0627135849601201+0,0411855521906496i</v>
      </c>
      <c r="AD550" s="20">
        <f t="shared" si="485"/>
        <v>-22.495499690073299</v>
      </c>
      <c r="AE550" s="43">
        <f t="shared" si="486"/>
        <v>146.70611034448308</v>
      </c>
      <c r="AF550" t="str">
        <f t="shared" si="468"/>
        <v>223,849857273222</v>
      </c>
      <c r="AG550" t="str">
        <f t="shared" si="469"/>
        <v>1+51820,320775598i</v>
      </c>
      <c r="AH550">
        <f t="shared" si="487"/>
        <v>51820.320785246717</v>
      </c>
      <c r="AI550">
        <f t="shared" si="488"/>
        <v>1.5707770293458474</v>
      </c>
      <c r="AJ550" t="str">
        <f t="shared" si="470"/>
        <v>1+13,1274347517293i</v>
      </c>
      <c r="AK550">
        <f t="shared" si="489"/>
        <v>13.165467829169994</v>
      </c>
      <c r="AL550">
        <f t="shared" si="490"/>
        <v>1.4947668170582686</v>
      </c>
      <c r="AM550" t="str">
        <f t="shared" si="471"/>
        <v>1-8,62847815543477i</v>
      </c>
      <c r="AN550">
        <f t="shared" si="491"/>
        <v>8.6862325135132679</v>
      </c>
      <c r="AO550">
        <f t="shared" si="492"/>
        <v>-1.4554157831960872</v>
      </c>
      <c r="AP550" s="41" t="str">
        <f t="shared" si="493"/>
        <v>0,0194438087463779-0,49361437773134i</v>
      </c>
      <c r="AQ550">
        <f t="shared" si="494"/>
        <v>-6.1255105738771887</v>
      </c>
      <c r="AR550" s="43">
        <f t="shared" si="495"/>
        <v>-87.744246177834739</v>
      </c>
      <c r="AS550" t="str">
        <f t="shared" si="472"/>
        <v>-0,0000166666666666667</v>
      </c>
      <c r="AT550" t="str">
        <f t="shared" si="473"/>
        <v>0,0131668170559845i</v>
      </c>
      <c r="AU550">
        <f t="shared" si="496"/>
        <v>1.3166817055984501E-2</v>
      </c>
      <c r="AV550">
        <f t="shared" si="497"/>
        <v>1.5707963267948966</v>
      </c>
      <c r="AW550" t="str">
        <f t="shared" si="474"/>
        <v>1+8,63819235906414i</v>
      </c>
      <c r="AX550">
        <f t="shared" si="498"/>
        <v>8.6958821997652489</v>
      </c>
      <c r="AY550">
        <f t="shared" si="499"/>
        <v>1.4555443894552451</v>
      </c>
      <c r="AZ550" t="str">
        <f t="shared" si="475"/>
        <v>1+2888,03564538044i</v>
      </c>
      <c r="BA550">
        <f t="shared" si="500"/>
        <v>2888.0358185084924</v>
      </c>
      <c r="BB550">
        <f t="shared" si="501"/>
        <v>1.5704500706946178</v>
      </c>
      <c r="BC550" s="41" t="str">
        <f t="shared" si="502"/>
        <v>-0,0481994706518151+0,417622107422228i</v>
      </c>
      <c r="BD550">
        <f t="shared" si="503"/>
        <v>-7.5268624884401039</v>
      </c>
      <c r="BE550" s="43">
        <f t="shared" si="504"/>
        <v>96.583610577091591</v>
      </c>
      <c r="BF550" s="41" t="str">
        <f t="shared" si="505"/>
        <v>-0,0141772355034518-0,0281757013291403i</v>
      </c>
      <c r="BG550" s="20">
        <f t="shared" si="506"/>
        <v>-30.022362178513408</v>
      </c>
      <c r="BH550" s="43">
        <f t="shared" si="507"/>
        <v>-116.71027907842527</v>
      </c>
      <c r="BI550" s="41" t="str">
        <f t="shared" si="460"/>
        <v>0,205207095393043+0,0319121160977528i</v>
      </c>
      <c r="BJ550" s="20">
        <f t="shared" si="508"/>
        <v>-13.652373062317306</v>
      </c>
      <c r="BK550" s="43">
        <f t="shared" si="461"/>
        <v>8.8393643992568656</v>
      </c>
      <c r="BL550">
        <f t="shared" si="509"/>
        <v>-30.022362178513408</v>
      </c>
      <c r="BM550" s="43">
        <f t="shared" si="510"/>
        <v>-116.71027907842527</v>
      </c>
    </row>
    <row r="551" spans="14:65" x14ac:dyDescent="0.25">
      <c r="N551" s="9">
        <v>33</v>
      </c>
      <c r="O551" s="34">
        <f t="shared" si="462"/>
        <v>2137962.0895022359</v>
      </c>
      <c r="P551" s="33" t="str">
        <f t="shared" si="463"/>
        <v>66,7780509511648</v>
      </c>
      <c r="Q551" s="4" t="str">
        <f t="shared" si="464"/>
        <v>1+52354,7331598554i</v>
      </c>
      <c r="R551" s="4">
        <f t="shared" si="476"/>
        <v>52354.733169405641</v>
      </c>
      <c r="S551" s="4">
        <f t="shared" si="477"/>
        <v>1.5707772263250914</v>
      </c>
      <c r="T551" s="4" t="str">
        <f t="shared" si="465"/>
        <v>1+13,4332119880674i</v>
      </c>
      <c r="U551" s="4">
        <f t="shared" si="478"/>
        <v>13.470381743527453</v>
      </c>
      <c r="V551" s="4">
        <f t="shared" si="479"/>
        <v>1.4964910231158497</v>
      </c>
      <c r="W551" t="str">
        <f t="shared" si="466"/>
        <v>1-29,2222318966868i</v>
      </c>
      <c r="X551" s="4">
        <f t="shared" si="480"/>
        <v>29.23933715089553</v>
      </c>
      <c r="Y551" s="4">
        <f t="shared" si="481"/>
        <v>-1.5365891543395298</v>
      </c>
      <c r="Z551" t="str">
        <f t="shared" si="467"/>
        <v>-3,57088189614876+5,74363970517835i</v>
      </c>
      <c r="AA551" s="4">
        <f t="shared" si="482"/>
        <v>6.7631793247809284</v>
      </c>
      <c r="AB551" s="4">
        <f t="shared" si="483"/>
        <v>2.1270267594010956</v>
      </c>
      <c r="AC551" s="47" t="str">
        <f t="shared" si="484"/>
        <v>-0,0614606408994545+0,0417153382293764i</v>
      </c>
      <c r="AD551" s="20">
        <f t="shared" si="485"/>
        <v>-22.582513751404257</v>
      </c>
      <c r="AE551" s="43">
        <f t="shared" si="486"/>
        <v>145.83398446575671</v>
      </c>
      <c r="AF551" t="str">
        <f t="shared" si="468"/>
        <v>223,849857273222</v>
      </c>
      <c r="AG551" t="str">
        <f t="shared" si="469"/>
        <v>1+53027,3711074101i</v>
      </c>
      <c r="AH551">
        <f t="shared" si="487"/>
        <v>53027.371116839189</v>
      </c>
      <c r="AI551">
        <f t="shared" si="488"/>
        <v>1.5707774686094162</v>
      </c>
      <c r="AJ551" t="str">
        <f t="shared" si="470"/>
        <v>1+13,4332119880674i</v>
      </c>
      <c r="AK551">
        <f t="shared" si="489"/>
        <v>13.470381743527453</v>
      </c>
      <c r="AL551">
        <f t="shared" si="490"/>
        <v>1.4964910231158497</v>
      </c>
      <c r="AM551" t="str">
        <f t="shared" si="471"/>
        <v>1-8,82946123050395i</v>
      </c>
      <c r="AN551">
        <f t="shared" si="491"/>
        <v>8.88590938626837</v>
      </c>
      <c r="AO551">
        <f t="shared" si="492"/>
        <v>-1.4580196972576118</v>
      </c>
      <c r="AP551" s="41" t="str">
        <f t="shared" si="493"/>
        <v>0,0194438049948952-0,504913202349367i</v>
      </c>
      <c r="AQ551">
        <f t="shared" si="494"/>
        <v>-5.9292298294111987</v>
      </c>
      <c r="AR551" s="43">
        <f t="shared" si="495"/>
        <v>-87.794674901613149</v>
      </c>
      <c r="AS551" t="str">
        <f t="shared" si="472"/>
        <v>-0,0000166666666666667</v>
      </c>
      <c r="AT551" t="str">
        <f t="shared" si="473"/>
        <v>0,0134735116240316i</v>
      </c>
      <c r="AU551">
        <f t="shared" si="496"/>
        <v>1.3473511624031599E-2</v>
      </c>
      <c r="AV551">
        <f t="shared" si="497"/>
        <v>1.5707963267948966</v>
      </c>
      <c r="AW551" t="str">
        <f t="shared" si="474"/>
        <v>1+8,83940170700347i</v>
      </c>
      <c r="AX551">
        <f t="shared" si="498"/>
        <v>8.8957867857641375</v>
      </c>
      <c r="AY551">
        <f t="shared" si="499"/>
        <v>1.4581454510116623</v>
      </c>
      <c r="AZ551" t="str">
        <f t="shared" si="475"/>
        <v>1+2955,30663737483i</v>
      </c>
      <c r="BA551">
        <f t="shared" si="500"/>
        <v>2955.3068065620064</v>
      </c>
      <c r="BB551">
        <f t="shared" si="501"/>
        <v>1.5704579524451125</v>
      </c>
      <c r="BC551" s="41" t="str">
        <f t="shared" si="502"/>
        <v>-0,0460575501878008+0,408358182761969i</v>
      </c>
      <c r="BD551">
        <f t="shared" si="503"/>
        <v>-7.7242768582159407</v>
      </c>
      <c r="BE551" s="43">
        <f t="shared" si="504"/>
        <v>96.435032318693729</v>
      </c>
      <c r="BF551" s="41" t="str">
        <f t="shared" si="505"/>
        <v>-0,014204073159848-0,0270192619131878i</v>
      </c>
      <c r="BG551" s="20">
        <f t="shared" si="506"/>
        <v>-30.306790609620194</v>
      </c>
      <c r="BH551" s="43">
        <f t="shared" si="507"/>
        <v>-117.73098321554953</v>
      </c>
      <c r="BI551" s="41" t="str">
        <f t="shared" si="460"/>
        <v>0,20528990373952+0,0311951020313827i</v>
      </c>
      <c r="BJ551" s="20">
        <f t="shared" si="508"/>
        <v>-13.653506687627123</v>
      </c>
      <c r="BK551" s="43">
        <f t="shared" si="461"/>
        <v>8.640357417080569</v>
      </c>
      <c r="BL551">
        <f t="shared" si="509"/>
        <v>-30.306790609620194</v>
      </c>
      <c r="BM551" s="43">
        <f t="shared" si="510"/>
        <v>-117.73098321554953</v>
      </c>
    </row>
    <row r="552" spans="14:65" x14ac:dyDescent="0.25">
      <c r="N552" s="9">
        <v>34</v>
      </c>
      <c r="O552" s="34">
        <f t="shared" si="462"/>
        <v>2187761.6239495561</v>
      </c>
      <c r="P552" s="33" t="str">
        <f t="shared" si="463"/>
        <v>66,7780509511648</v>
      </c>
      <c r="Q552" s="4" t="str">
        <f t="shared" si="464"/>
        <v>1+53574,2315552089i</v>
      </c>
      <c r="R552" s="4">
        <f t="shared" si="476"/>
        <v>53574.23156454174</v>
      </c>
      <c r="S552" s="4">
        <f t="shared" si="477"/>
        <v>1.5707776611048652</v>
      </c>
      <c r="T552" s="4" t="str">
        <f t="shared" si="465"/>
        <v>1+13,7461116912112i</v>
      </c>
      <c r="U552" s="4">
        <f t="shared" si="478"/>
        <v>13.782437615576324</v>
      </c>
      <c r="V552" s="4">
        <f t="shared" si="479"/>
        <v>1.4981764092544951</v>
      </c>
      <c r="W552" t="str">
        <f t="shared" si="466"/>
        <v>1-29,9029051186827i</v>
      </c>
      <c r="X552" s="4">
        <f t="shared" si="480"/>
        <v>29.91962122983745</v>
      </c>
      <c r="Y552" s="4">
        <f t="shared" si="481"/>
        <v>-1.5373672179339015</v>
      </c>
      <c r="Z552" t="str">
        <f t="shared" si="467"/>
        <v>-3,78630092322638+5,87742626049451i</v>
      </c>
      <c r="AA552" s="4">
        <f t="shared" si="482"/>
        <v>6.9914386308381067</v>
      </c>
      <c r="AB552" s="4">
        <f t="shared" si="483"/>
        <v>2.1430909731780514</v>
      </c>
      <c r="AC552" s="47" t="str">
        <f t="shared" si="484"/>
        <v>-0,0601969986251386+0,042204380732018i</v>
      </c>
      <c r="AD552" s="20">
        <f t="shared" si="485"/>
        <v>-22.672132692050589</v>
      </c>
      <c r="AE552" s="43">
        <f t="shared" si="486"/>
        <v>144.96553365653918</v>
      </c>
      <c r="AF552" t="str">
        <f t="shared" si="468"/>
        <v>223,849857273222</v>
      </c>
      <c r="AG552" t="str">
        <f t="shared" si="469"/>
        <v>1+54262,5372532837i</v>
      </c>
      <c r="AH552">
        <f t="shared" si="487"/>
        <v>54262.537262498161</v>
      </c>
      <c r="AI552">
        <f t="shared" si="488"/>
        <v>1.5707778978741254</v>
      </c>
      <c r="AJ552" t="str">
        <f t="shared" si="470"/>
        <v>1+13,7461116912112i</v>
      </c>
      <c r="AK552">
        <f t="shared" si="489"/>
        <v>13.782437615576324</v>
      </c>
      <c r="AL552">
        <f t="shared" si="490"/>
        <v>1.4981764092544951</v>
      </c>
      <c r="AM552" t="str">
        <f t="shared" si="471"/>
        <v>1-9,0351258027893i</v>
      </c>
      <c r="AN552">
        <f t="shared" si="491"/>
        <v>9.0902969298163736</v>
      </c>
      <c r="AO552">
        <f t="shared" si="492"/>
        <v>-1.4605658239289172</v>
      </c>
      <c r="AP552" s="41" t="str">
        <f t="shared" si="493"/>
        <v>0,0194438014122569-0,516479738630591i</v>
      </c>
      <c r="AQ552">
        <f t="shared" si="494"/>
        <v>-5.7327834086467231</v>
      </c>
      <c r="AR552" s="43">
        <f t="shared" si="495"/>
        <v>-87.84401629644654</v>
      </c>
      <c r="AS552" t="str">
        <f t="shared" si="472"/>
        <v>-0,0000166666666666667</v>
      </c>
      <c r="AT552" t="str">
        <f t="shared" si="473"/>
        <v>0,0137873500262848i</v>
      </c>
      <c r="AU552">
        <f t="shared" si="496"/>
        <v>1.3787350026284799E-2</v>
      </c>
      <c r="AV552">
        <f t="shared" si="497"/>
        <v>1.5707963267948966</v>
      </c>
      <c r="AW552" t="str">
        <f t="shared" si="474"/>
        <v>1+9,0452978227312i</v>
      </c>
      <c r="AX552">
        <f t="shared" si="498"/>
        <v>9.100407282199285</v>
      </c>
      <c r="AY552">
        <f t="shared" si="499"/>
        <v>1.4606887851890533</v>
      </c>
      <c r="AZ552" t="str">
        <f t="shared" si="475"/>
        <v>1+3024,14457206646i</v>
      </c>
      <c r="BA552">
        <f t="shared" si="500"/>
        <v>3024.1447374024669</v>
      </c>
      <c r="BB552">
        <f t="shared" si="501"/>
        <v>1.5704656547851028</v>
      </c>
      <c r="BC552" s="41" t="str">
        <f t="shared" si="502"/>
        <v>-0,0440096490971694+0,399289220725193i</v>
      </c>
      <c r="BD552">
        <f t="shared" si="503"/>
        <v>-7.9218061626425111</v>
      </c>
      <c r="BE552" s="43">
        <f t="shared" si="504"/>
        <v>96.289751316011603</v>
      </c>
      <c r="BF552" s="41" t="str">
        <f t="shared" si="505"/>
        <v>-0,0142025055074817-0,0258934126574066i</v>
      </c>
      <c r="BG552" s="20">
        <f t="shared" si="506"/>
        <v>-30.593938854693086</v>
      </c>
      <c r="BH552" s="43">
        <f t="shared" si="507"/>
        <v>-118.74471502744922</v>
      </c>
      <c r="BI552" s="41" t="str">
        <f t="shared" si="460"/>
        <v>0,205369077480892+0,0304937923767655i</v>
      </c>
      <c r="BJ552" s="20">
        <f t="shared" si="508"/>
        <v>-13.65458957128922</v>
      </c>
      <c r="BK552" s="43">
        <f t="shared" si="461"/>
        <v>8.4457350195650509</v>
      </c>
      <c r="BL552">
        <f t="shared" si="509"/>
        <v>-30.593938854693086</v>
      </c>
      <c r="BM552" s="43">
        <f t="shared" si="510"/>
        <v>-118.74471502744922</v>
      </c>
    </row>
    <row r="553" spans="14:65" x14ac:dyDescent="0.25">
      <c r="N553" s="9">
        <v>35</v>
      </c>
      <c r="O553" s="34">
        <f t="shared" si="462"/>
        <v>2238721.1385683389</v>
      </c>
      <c r="P553" s="33" t="str">
        <f t="shared" si="463"/>
        <v>66,7780509511648</v>
      </c>
      <c r="Q553" s="4" t="str">
        <f t="shared" si="464"/>
        <v>1+54822,1357172715i</v>
      </c>
      <c r="R553" s="4">
        <f t="shared" si="476"/>
        <v>54822.135726391898</v>
      </c>
      <c r="S553" s="4">
        <f t="shared" si="477"/>
        <v>1.5707780859878429</v>
      </c>
      <c r="T553" s="4" t="str">
        <f t="shared" si="465"/>
        <v>1+14,0662997647249i</v>
      </c>
      <c r="U553" s="4">
        <f t="shared" si="478"/>
        <v>14.101800915879496</v>
      </c>
      <c r="V553" s="4">
        <f t="shared" si="479"/>
        <v>1.4998238307677143</v>
      </c>
      <c r="W553" t="str">
        <f t="shared" si="466"/>
        <v>1-30,5994332567842i</v>
      </c>
      <c r="X553" s="4">
        <f t="shared" si="480"/>
        <v>30.615769068184299</v>
      </c>
      <c r="Y553" s="4">
        <f t="shared" si="481"/>
        <v>-1.5381276097654082</v>
      </c>
      <c r="Z553" t="str">
        <f t="shared" si="467"/>
        <v>-4,01187233627269+6,01432910501088i</v>
      </c>
      <c r="AA553" s="4">
        <f t="shared" si="482"/>
        <v>7.2296109318504191</v>
      </c>
      <c r="AB553" s="4">
        <f t="shared" si="483"/>
        <v>2.1590658912577916</v>
      </c>
      <c r="AC553" s="47" t="str">
        <f t="shared" si="484"/>
        <v>-0,0589244651918549+0,0426525739702286i</v>
      </c>
      <c r="AD553" s="20">
        <f t="shared" si="485"/>
        <v>-22.764347694980533</v>
      </c>
      <c r="AE553" s="43">
        <f t="shared" si="486"/>
        <v>144.10103698556642</v>
      </c>
      <c r="AF553" t="str">
        <f t="shared" si="468"/>
        <v>223,849857273222</v>
      </c>
      <c r="AG553" t="str">
        <f t="shared" si="469"/>
        <v>1+55526,4741146583i</v>
      </c>
      <c r="AH553">
        <f t="shared" si="487"/>
        <v>55526.474123663014</v>
      </c>
      <c r="AI553">
        <f t="shared" si="488"/>
        <v>1.5707783173675769</v>
      </c>
      <c r="AJ553" t="str">
        <f t="shared" si="470"/>
        <v>1+14,0662997647249i</v>
      </c>
      <c r="AK553">
        <f t="shared" si="489"/>
        <v>14.101800915879496</v>
      </c>
      <c r="AL553">
        <f t="shared" si="490"/>
        <v>1.4998238307677143</v>
      </c>
      <c r="AM553" t="str">
        <f t="shared" si="471"/>
        <v>1-9,24558091836927i</v>
      </c>
      <c r="AN553">
        <f t="shared" si="491"/>
        <v>9.299503562992701</v>
      </c>
      <c r="AO553">
        <f t="shared" si="492"/>
        <v>-1.4630553810810418</v>
      </c>
      <c r="AP553" s="41" t="str">
        <f t="shared" si="493"/>
        <v>0,0194437979908638-0,528320119305647i</v>
      </c>
      <c r="AQ553">
        <f>20*LOG(IMABS(AP553))</f>
        <v>-5.5361786187277948</v>
      </c>
      <c r="AR553" s="43">
        <f t="shared" si="495"/>
        <v>-87.892291149537684</v>
      </c>
      <c r="AS553" t="str">
        <f t="shared" si="472"/>
        <v>-0,0000166666666666667</v>
      </c>
      <c r="AT553" t="str">
        <f t="shared" si="473"/>
        <v>0,0141084986640191i</v>
      </c>
      <c r="AU553">
        <f t="shared" si="496"/>
        <v>1.4108498664019101E-2</v>
      </c>
      <c r="AV553">
        <f t="shared" si="497"/>
        <v>1.5707963267948966</v>
      </c>
      <c r="AW553" t="str">
        <f t="shared" si="474"/>
        <v>1+9,25598987509315i</v>
      </c>
      <c r="AX553">
        <f t="shared" si="498"/>
        <v>9.3098522312562455</v>
      </c>
      <c r="AY553">
        <f t="shared" si="499"/>
        <v>1.4631756088120624</v>
      </c>
      <c r="AZ553" t="str">
        <f t="shared" si="475"/>
        <v>1+3094,58594823947i</v>
      </c>
      <c r="BA553">
        <f t="shared" si="500"/>
        <v>3094.5861098119694</v>
      </c>
      <c r="BB553">
        <f t="shared" si="501"/>
        <v>1.5704731817984678</v>
      </c>
      <c r="BC553" s="41" t="str">
        <f t="shared" si="502"/>
        <v>-0,0420517417680488+0,390411817100044i</v>
      </c>
      <c r="BD553">
        <f t="shared" si="503"/>
        <v>-8.1194453538322104</v>
      </c>
      <c r="BE553" s="43">
        <f t="shared" si="504"/>
        <v>96.147698084117948</v>
      </c>
      <c r="BF553" s="41" t="str">
        <f t="shared" si="505"/>
        <v>-0,0141741925136427-0,024798422553539i</v>
      </c>
      <c r="BG553" s="20">
        <f t="shared" si="506"/>
        <v>-30.883793048812755</v>
      </c>
      <c r="BH553" s="43">
        <f t="shared" si="507"/>
        <v>-119.7512649303156</v>
      </c>
      <c r="BI553" s="41" t="str">
        <f t="shared" si="460"/>
        <v>0,205444772216528+0,0298078697328451i</v>
      </c>
      <c r="BJ553" s="20">
        <f t="shared" si="508"/>
        <v>-13.655623972559997</v>
      </c>
      <c r="BK553" s="43">
        <f t="shared" si="461"/>
        <v>8.2554069345802468</v>
      </c>
      <c r="BL553">
        <f t="shared" si="509"/>
        <v>-30.883793048812755</v>
      </c>
      <c r="BM553" s="43">
        <f t="shared" si="510"/>
        <v>-119.7512649303156</v>
      </c>
    </row>
    <row r="554" spans="14:65" x14ac:dyDescent="0.25">
      <c r="N554" s="9">
        <v>36</v>
      </c>
      <c r="O554" s="34">
        <f t="shared" si="462"/>
        <v>2290867.6527677765</v>
      </c>
      <c r="P554" s="33" t="str">
        <f t="shared" si="463"/>
        <v>66,7780509511648</v>
      </c>
      <c r="Q554" s="4" t="str">
        <f t="shared" si="464"/>
        <v>1+56099,1073013487i</v>
      </c>
      <c r="R554" s="4">
        <f t="shared" si="476"/>
        <v>56099.107310261497</v>
      </c>
      <c r="S554" s="4">
        <f t="shared" si="477"/>
        <v>1.5707785011993034</v>
      </c>
      <c r="T554" s="4" t="str">
        <f t="shared" si="465"/>
        <v>1+14,3939459765635i</v>
      </c>
      <c r="U554" s="4">
        <f t="shared" si="478"/>
        <v>14.428640988541803</v>
      </c>
      <c r="V554" s="4">
        <f t="shared" si="479"/>
        <v>1.5014341253513523</v>
      </c>
      <c r="W554" t="str">
        <f t="shared" si="466"/>
        <v>1-31,3121856194301i</v>
      </c>
      <c r="X554" s="4">
        <f t="shared" si="480"/>
        <v>31.328149774055362</v>
      </c>
      <c r="Y554" s="4">
        <f t="shared" si="481"/>
        <v>-1.5388707294846116</v>
      </c>
      <c r="Z554" t="str">
        <f t="shared" si="467"/>
        <v>-4,24807460249776+6,15442082642785i</v>
      </c>
      <c r="AA554" s="4">
        <f t="shared" si="482"/>
        <v>7.4781704672436655</v>
      </c>
      <c r="AB554" s="4">
        <f t="shared" si="483"/>
        <v>2.1749470687112367</v>
      </c>
      <c r="AC554" s="47" t="str">
        <f t="shared" si="484"/>
        <v>-0,0576448459178482+0,0430599075985756i</v>
      </c>
      <c r="AD554" s="20">
        <f t="shared" si="485"/>
        <v>-22.859147964937616</v>
      </c>
      <c r="AE554" s="43">
        <f t="shared" si="486"/>
        <v>143.24077421375333</v>
      </c>
      <c r="AF554" t="str">
        <f t="shared" si="468"/>
        <v>223,849857273222</v>
      </c>
      <c r="AG554" t="str">
        <f t="shared" si="469"/>
        <v>1+56819,8518475889i</v>
      </c>
      <c r="AH554">
        <f t="shared" si="487"/>
        <v>56819.851856388632</v>
      </c>
      <c r="AI554">
        <f t="shared" si="488"/>
        <v>1.5707787273121916</v>
      </c>
      <c r="AJ554" t="str">
        <f t="shared" si="470"/>
        <v>1+14,3939459765635i</v>
      </c>
      <c r="AK554">
        <f t="shared" si="489"/>
        <v>14.428640988541803</v>
      </c>
      <c r="AL554">
        <f t="shared" si="490"/>
        <v>1.5014341253513523</v>
      </c>
      <c r="AM554" t="str">
        <f t="shared" si="471"/>
        <v>1-9,46093816333199i</v>
      </c>
      <c r="AN554">
        <f t="shared" si="491"/>
        <v>9.513640256515469</v>
      </c>
      <c r="AO554">
        <f t="shared" si="492"/>
        <v>-1.4654895652029478</v>
      </c>
      <c r="AP554" s="41" t="str">
        <f t="shared" si="493"/>
        <v>0,0194437947234588-0,540440622301102i</v>
      </c>
      <c r="AQ554">
        <f t="shared" si="494"/>
        <v>-5.3394224508707966</v>
      </c>
      <c r="AR554" s="43">
        <f t="shared" si="495"/>
        <v>-87.939520030961688</v>
      </c>
      <c r="AS554" t="str">
        <f t="shared" si="472"/>
        <v>-0,0000166666666666667</v>
      </c>
      <c r="AT554" t="str">
        <f t="shared" si="473"/>
        <v>0,0144371278144932i</v>
      </c>
      <c r="AU554">
        <f t="shared" si="496"/>
        <v>1.44371278144932E-2</v>
      </c>
      <c r="AV554">
        <f t="shared" si="497"/>
        <v>1.5707963267948966</v>
      </c>
      <c r="AW554" t="str">
        <f t="shared" si="474"/>
        <v>1+9,4715895758045i</v>
      </c>
      <c r="AX554">
        <f t="shared" si="498"/>
        <v>9.5242327298574807</v>
      </c>
      <c r="AY554">
        <f t="shared" si="499"/>
        <v>1.4656071173266763</v>
      </c>
      <c r="AZ554" t="str">
        <f t="shared" si="475"/>
        <v>1+3166,66811484397i</v>
      </c>
      <c r="BA554">
        <f t="shared" si="500"/>
        <v>3166.668272738631</v>
      </c>
      <c r="BB554">
        <f t="shared" si="501"/>
        <v>1.5704805374761261</v>
      </c>
      <c r="BC554" s="41" t="str">
        <f t="shared" si="502"/>
        <v>-0,0401799661210929+0,381722579183294i</v>
      </c>
      <c r="BD554">
        <f t="shared" si="503"/>
        <v>-8.3171896002797077</v>
      </c>
      <c r="BE554" s="43">
        <f t="shared" si="504"/>
        <v>96.008804357665696</v>
      </c>
      <c r="BF554" s="41" t="str">
        <f t="shared" si="505"/>
        <v>-0,0141207710318878-0,0237344848888727i</v>
      </c>
      <c r="BG554" s="20">
        <f t="shared" si="506"/>
        <v>-31.176337565217345</v>
      </c>
      <c r="BH554" s="43">
        <f t="shared" si="507"/>
        <v>-120.75042142858096</v>
      </c>
      <c r="BI554" s="41" t="str">
        <f t="shared" si="460"/>
        <v>0,205517137226947+0,0291370213654699i</v>
      </c>
      <c r="BJ554" s="20">
        <f t="shared" si="508"/>
        <v>-13.656612051150505</v>
      </c>
      <c r="BK554" s="43">
        <f t="shared" si="461"/>
        <v>8.0692843267040288</v>
      </c>
      <c r="BL554">
        <f t="shared" si="509"/>
        <v>-31.176337565217345</v>
      </c>
      <c r="BM554" s="43">
        <f t="shared" si="510"/>
        <v>-120.75042142858096</v>
      </c>
    </row>
    <row r="555" spans="14:65" x14ac:dyDescent="0.25">
      <c r="N555" s="9">
        <v>37</v>
      </c>
      <c r="O555" s="34">
        <f t="shared" si="462"/>
        <v>2344228.8153199251</v>
      </c>
      <c r="P555" s="33" t="str">
        <f t="shared" si="463"/>
        <v>66,7780509511648</v>
      </c>
      <c r="Q555" s="4" t="str">
        <f t="shared" si="464"/>
        <v>1+57405,8233746763i</v>
      </c>
      <c r="R555" s="4">
        <f t="shared" si="476"/>
        <v>57405.823383386218</v>
      </c>
      <c r="S555" s="4">
        <f t="shared" si="477"/>
        <v>1.5707789069593971</v>
      </c>
      <c r="T555" s="4" t="str">
        <f t="shared" si="465"/>
        <v>1+14,7292240490852i</v>
      </c>
      <c r="U555" s="4">
        <f t="shared" si="478"/>
        <v>14.763131141060484</v>
      </c>
      <c r="V555" s="4">
        <f t="shared" si="479"/>
        <v>1.5030081133815762</v>
      </c>
      <c r="W555" t="str">
        <f t="shared" si="466"/>
        <v>1-32,041540117357i</v>
      </c>
      <c r="X555" s="4">
        <f t="shared" si="480"/>
        <v>32.057141062362348</v>
      </c>
      <c r="Y555" s="4">
        <f t="shared" si="481"/>
        <v>-1.5395969678185797</v>
      </c>
      <c r="Z555" t="str">
        <f t="shared" si="467"/>
        <v>-4,49540873857628+6,29777570323036i</v>
      </c>
      <c r="AA555" s="4">
        <f t="shared" si="482"/>
        <v>7.737614524843341</v>
      </c>
      <c r="AB555" s="4">
        <f t="shared" si="483"/>
        <v>2.190730054362561</v>
      </c>
      <c r="AC555" s="47" t="str">
        <f t="shared" si="484"/>
        <v>-0,0563599379511789+0,0434264663612237i</v>
      </c>
      <c r="AD555" s="20">
        <f t="shared" si="485"/>
        <v>-22.956520711146933</v>
      </c>
      <c r="AE555" s="43">
        <f t="shared" si="486"/>
        <v>142.38502497915493</v>
      </c>
      <c r="AF555" t="str">
        <f t="shared" si="468"/>
        <v>223,849857273222</v>
      </c>
      <c r="AG555" t="str">
        <f t="shared" si="469"/>
        <v>1+58143,3562180685i</v>
      </c>
      <c r="AH555">
        <f t="shared" si="487"/>
        <v>58143.356226667936</v>
      </c>
      <c r="AI555">
        <f t="shared" si="488"/>
        <v>1.5707791279253276</v>
      </c>
      <c r="AJ555" t="str">
        <f t="shared" si="470"/>
        <v>1+14,7292240490852i</v>
      </c>
      <c r="AK555">
        <f t="shared" si="489"/>
        <v>14.763131141060484</v>
      </c>
      <c r="AL555">
        <f t="shared" si="490"/>
        <v>1.5030081133815762</v>
      </c>
      <c r="AM555" t="str">
        <f t="shared" si="471"/>
        <v>1-9,68131172293918i</v>
      </c>
      <c r="AN555">
        <f t="shared" si="491"/>
        <v>9.7328205920339226</v>
      </c>
      <c r="AO555">
        <f t="shared" si="492"/>
        <v>-1.4678695514831666</v>
      </c>
      <c r="AP555" s="41" t="str">
        <f t="shared" si="493"/>
        <v>0,0194437916031114-0,55284767406807i</v>
      </c>
      <c r="AQ555">
        <f t="shared" si="494"/>
        <v>-5.142521593471086</v>
      </c>
      <c r="AR555" s="43">
        <f t="shared" si="495"/>
        <v>-87.985723282423223</v>
      </c>
      <c r="AS555" t="str">
        <f t="shared" si="472"/>
        <v>-0,0000166666666666667</v>
      </c>
      <c r="AT555" t="str">
        <f t="shared" si="473"/>
        <v>0,0147734117212324i</v>
      </c>
      <c r="AU555">
        <f t="shared" si="496"/>
        <v>1.47734117212324E-2</v>
      </c>
      <c r="AV555">
        <f t="shared" si="497"/>
        <v>1.5707963267948966</v>
      </c>
      <c r="AW555" t="str">
        <f t="shared" si="474"/>
        <v>1+9,69221123868019i</v>
      </c>
      <c r="AX555">
        <f t="shared" si="498"/>
        <v>9.743662488776927</v>
      </c>
      <c r="AY555">
        <f t="shared" si="499"/>
        <v>1.4679844848830517</v>
      </c>
      <c r="AZ555" t="str">
        <f t="shared" si="475"/>
        <v>1+3240,42929079874i</v>
      </c>
      <c r="BA555">
        <f t="shared" si="500"/>
        <v>3240.4294450992793</v>
      </c>
      <c r="BB555">
        <f t="shared" si="501"/>
        <v>1.570487725718152</v>
      </c>
      <c r="BC555" s="41" t="str">
        <f t="shared" si="502"/>
        <v>-0,0383906177425844+0,373218129603291i</v>
      </c>
      <c r="BD555">
        <f t="shared" si="503"/>
        <v>-8.5150342780499351</v>
      </c>
      <c r="BE555" s="43">
        <f t="shared" si="504"/>
        <v>95.873003086264305</v>
      </c>
      <c r="BF555" s="41" t="str">
        <f t="shared" si="505"/>
        <v>-0,0140438517167367-0,0227017194966815i</v>
      </c>
      <c r="BG555" s="20">
        <f t="shared" si="506"/>
        <v>-31.471554989196846</v>
      </c>
      <c r="BH555" s="43">
        <f t="shared" si="507"/>
        <v>-121.74197193458077</v>
      </c>
      <c r="BI555" s="41" t="str">
        <f t="shared" si="460"/>
        <v>0,205586315700313+0,0284809392595336i</v>
      </c>
      <c r="BJ555" s="20">
        <f t="shared" si="508"/>
        <v>-13.657555871521037</v>
      </c>
      <c r="BK555" s="43">
        <f t="shared" si="461"/>
        <v>7.8872798038411105</v>
      </c>
      <c r="BL555">
        <f t="shared" si="509"/>
        <v>-31.471554989196846</v>
      </c>
      <c r="BM555" s="43">
        <f t="shared" si="510"/>
        <v>-121.74197193458077</v>
      </c>
    </row>
    <row r="556" spans="14:65" x14ac:dyDescent="0.25">
      <c r="N556" s="9">
        <v>38</v>
      </c>
      <c r="O556" s="34">
        <f t="shared" si="462"/>
        <v>2398832.9190194933</v>
      </c>
      <c r="P556" s="33" t="str">
        <f t="shared" si="463"/>
        <v>66,7780509511648</v>
      </c>
      <c r="Q556" s="4" t="str">
        <f t="shared" si="464"/>
        <v>1+58742,9767754128i</v>
      </c>
      <c r="R556" s="4">
        <f t="shared" si="476"/>
        <v>58742.976783924452</v>
      </c>
      <c r="S556" s="4">
        <f t="shared" si="477"/>
        <v>1.5707793034832636</v>
      </c>
      <c r="T556" s="4" t="str">
        <f t="shared" si="465"/>
        <v>1+15,072311751162i</v>
      </c>
      <c r="U556" s="4">
        <f t="shared" si="478"/>
        <v>15.105448736274472</v>
      </c>
      <c r="V556" s="4">
        <f t="shared" si="479"/>
        <v>1.5045465981944726</v>
      </c>
      <c r="W556" t="str">
        <f t="shared" si="466"/>
        <v>1-32,787883463974i</v>
      </c>
      <c r="X556" s="4">
        <f t="shared" si="480"/>
        <v>32.803129455086136</v>
      </c>
      <c r="Y556" s="4">
        <f t="shared" si="481"/>
        <v>-1.5403067067624647</v>
      </c>
      <c r="Z556" t="str">
        <f t="shared" si="467"/>
        <v>-4,75439937337157+6,4444697440716i</v>
      </c>
      <c r="AA556" s="4">
        <f t="shared" si="482"/>
        <v>8.0084645022482466</v>
      </c>
      <c r="AB556" s="4">
        <f t="shared" si="483"/>
        <v>2.2064104052378593</v>
      </c>
      <c r="AC556" s="47" t="str">
        <f t="shared" si="484"/>
        <v>-0,0550715238572677+0,0437524292584055i</v>
      </c>
      <c r="AD556" s="20">
        <f t="shared" si="485"/>
        <v>-23.056451140223761</v>
      </c>
      <c r="AE556" s="43">
        <f t="shared" si="486"/>
        <v>141.53406797415536</v>
      </c>
      <c r="AF556" t="str">
        <f t="shared" si="468"/>
        <v>223,849857273222</v>
      </c>
      <c r="AG556" t="str">
        <f t="shared" si="469"/>
        <v>1+59497,6889656329i</v>
      </c>
      <c r="AH556">
        <f t="shared" si="487"/>
        <v>59497.688974036588</v>
      </c>
      <c r="AI556">
        <f t="shared" si="488"/>
        <v>1.5707795194193952</v>
      </c>
      <c r="AJ556" t="str">
        <f t="shared" si="470"/>
        <v>1+15,072311751162i</v>
      </c>
      <c r="AK556">
        <f t="shared" si="489"/>
        <v>15.105448736274472</v>
      </c>
      <c r="AL556">
        <f t="shared" si="490"/>
        <v>1.5045465981944726</v>
      </c>
      <c r="AM556" t="str">
        <f t="shared" si="471"/>
        <v>1-9,90681844216916i</v>
      </c>
      <c r="AN556">
        <f t="shared" si="491"/>
        <v>9.9571608225489125</v>
      </c>
      <c r="AO556">
        <f t="shared" si="492"/>
        <v>-1.4701964939147141</v>
      </c>
      <c r="AP556" s="41" t="str">
        <f t="shared" si="493"/>
        <v>0,0194437886232026-0,565547852989627i</v>
      </c>
      <c r="AQ556">
        <f t="shared" si="494"/>
        <v>-4.9454824447134902</v>
      </c>
      <c r="AR556" s="43">
        <f t="shared" si="495"/>
        <v>-88.030921007254648</v>
      </c>
      <c r="AS556" t="str">
        <f t="shared" si="472"/>
        <v>-0,0000166666666666667</v>
      </c>
      <c r="AT556" t="str">
        <f t="shared" si="473"/>
        <v>0,0151175286864155i</v>
      </c>
      <c r="AU556">
        <f t="shared" si="496"/>
        <v>1.5117528686415501E-2</v>
      </c>
      <c r="AV556">
        <f t="shared" si="497"/>
        <v>1.5707963267948966</v>
      </c>
      <c r="AW556" t="str">
        <f t="shared" si="474"/>
        <v>1+9,91797184024618i</v>
      </c>
      <c r="AX556">
        <f t="shared" si="498"/>
        <v>9.9682578931283778</v>
      </c>
      <c r="AY556">
        <f t="shared" si="499"/>
        <v>1.4703088644415192</v>
      </c>
      <c r="AZ556" t="str">
        <f t="shared" si="475"/>
        <v>1+3315,90858525564i</v>
      </c>
      <c r="BA556">
        <f t="shared" si="500"/>
        <v>3315.9087360438702</v>
      </c>
      <c r="BB556">
        <f t="shared" si="501"/>
        <v>1.570494750335844</v>
      </c>
      <c r="BC556" s="41" t="str">
        <f t="shared" si="502"/>
        <v>-0,0366801441576921+0,364895109816651i</v>
      </c>
      <c r="BD556">
        <f t="shared" si="503"/>
        <v>-8.712974962284628</v>
      </c>
      <c r="BE556" s="43">
        <f t="shared" si="504"/>
        <v>95.740228428524048</v>
      </c>
      <c r="BF556" s="41" t="str">
        <f t="shared" si="505"/>
        <v>-0,0139450160449228-0,0217001751581156i</v>
      </c>
      <c r="BG556" s="20">
        <f t="shared" si="506"/>
        <v>-31.769426102508369</v>
      </c>
      <c r="BH556" s="43">
        <f t="shared" si="507"/>
        <v>-122.72570359732056</v>
      </c>
      <c r="BI556" s="41" t="str">
        <f t="shared" si="460"/>
        <v>0,20565244495355+0,027839320160648i</v>
      </c>
      <c r="BJ556" s="20">
        <f t="shared" si="508"/>
        <v>-13.658457406998135</v>
      </c>
      <c r="BK556" s="43">
        <f t="shared" si="461"/>
        <v>7.7093074212693899</v>
      </c>
      <c r="BL556">
        <f t="shared" si="509"/>
        <v>-31.769426102508369</v>
      </c>
      <c r="BM556" s="43">
        <f t="shared" si="510"/>
        <v>-122.72570359732056</v>
      </c>
    </row>
    <row r="557" spans="14:65" x14ac:dyDescent="0.25">
      <c r="N557" s="9">
        <v>39</v>
      </c>
      <c r="O557" s="34">
        <f t="shared" si="462"/>
        <v>2454708.915685033</v>
      </c>
      <c r="P557" s="33" t="str">
        <f t="shared" si="463"/>
        <v>66,7780509511648</v>
      </c>
      <c r="Q557" s="4" t="str">
        <f t="shared" si="464"/>
        <v>1+60111,2764799909i</v>
      </c>
      <c r="R557" s="4">
        <f t="shared" si="476"/>
        <v>60111.276488308802</v>
      </c>
      <c r="S557" s="4">
        <f t="shared" si="477"/>
        <v>1.5707796909811447</v>
      </c>
      <c r="T557" s="4" t="str">
        <f t="shared" si="465"/>
        <v>1+15,4233909924349i</v>
      </c>
      <c r="U557" s="4">
        <f t="shared" si="478"/>
        <v>15.455775286459172</v>
      </c>
      <c r="V557" s="4">
        <f t="shared" si="479"/>
        <v>1.5060503663667077</v>
      </c>
      <c r="W557" t="str">
        <f t="shared" si="466"/>
        <v>1-33,5516113804026i</v>
      </c>
      <c r="X557" s="4">
        <f t="shared" si="480"/>
        <v>33.56651048622065</v>
      </c>
      <c r="Y557" s="4">
        <f t="shared" si="481"/>
        <v>-1.5410003197674826</v>
      </c>
      <c r="Z557" t="str">
        <f t="shared" si="467"/>
        <v>-5,02559586074355+6,5945807280738i</v>
      </c>
      <c r="AA557" s="4">
        <f t="shared" si="482"/>
        <v>8.2912670162409476</v>
      </c>
      <c r="AB557" s="4">
        <f t="shared" si="483"/>
        <v>2.2219837010439729</v>
      </c>
      <c r="AC557" s="47" t="str">
        <f t="shared" si="484"/>
        <v>-0,0537813652833684+0,0440380681755811i</v>
      </c>
      <c r="AD557" s="20">
        <f t="shared" si="485"/>
        <v>-23.158922459292491</v>
      </c>
      <c r="AE557" s="43">
        <f t="shared" si="486"/>
        <v>140.68818012119539</v>
      </c>
      <c r="AF557" t="str">
        <f t="shared" si="468"/>
        <v>223,849857273222</v>
      </c>
      <c r="AG557" t="str">
        <f t="shared" si="469"/>
        <v>1+60883,568175432i</v>
      </c>
      <c r="AH557">
        <f t="shared" si="487"/>
        <v>60883.568183644391</v>
      </c>
      <c r="AI557">
        <f t="shared" si="488"/>
        <v>1.5707799020019702</v>
      </c>
      <c r="AJ557" t="str">
        <f t="shared" si="470"/>
        <v>1+15,4233909924349i</v>
      </c>
      <c r="AK557">
        <f t="shared" si="489"/>
        <v>15.455775286459172</v>
      </c>
      <c r="AL557">
        <f t="shared" si="490"/>
        <v>1.5060503663667077</v>
      </c>
      <c r="AM557" t="str">
        <f t="shared" si="471"/>
        <v>1-10,1375778876694i</v>
      </c>
      <c r="AN557">
        <f t="shared" si="491"/>
        <v>10.186779934236508</v>
      </c>
      <c r="AO557">
        <f t="shared" si="492"/>
        <v>-1.4724715254212548</v>
      </c>
      <c r="AP557" s="41" t="str">
        <f t="shared" si="493"/>
        <v>0,0194437857774118-0,578547892868744i</v>
      </c>
      <c r="AQ557">
        <f t="shared" si="494"/>
        <v>-4.7483111247025027</v>
      </c>
      <c r="AR557" s="43">
        <f t="shared" si="495"/>
        <v>-88.075133061570412</v>
      </c>
      <c r="AS557" t="str">
        <f t="shared" si="472"/>
        <v>-0,0000166666666666667</v>
      </c>
      <c r="AT557" t="str">
        <f t="shared" si="473"/>
        <v>0,0154696611654122i</v>
      </c>
      <c r="AU557">
        <f t="shared" si="496"/>
        <v>1.54696611654122E-2</v>
      </c>
      <c r="AV557">
        <f t="shared" si="497"/>
        <v>1.5707963267948966</v>
      </c>
      <c r="AW557" t="str">
        <f t="shared" si="474"/>
        <v>1+10,1489910817617i</v>
      </c>
      <c r="AX557">
        <f t="shared" si="498"/>
        <v>10.19813806425852</v>
      </c>
      <c r="AY557">
        <f t="shared" si="499"/>
        <v>1.4725813878997329</v>
      </c>
      <c r="AZ557" t="str">
        <f t="shared" si="475"/>
        <v>1+3393,14601833567i</v>
      </c>
      <c r="BA557">
        <f t="shared" si="500"/>
        <v>3393.1461656915412</v>
      </c>
      <c r="BB557">
        <f t="shared" si="501"/>
        <v>1.5705016150537441</v>
      </c>
      <c r="BC557" s="41" t="str">
        <f t="shared" si="502"/>
        <v>-0,0350451392475702+0,356750183298684i</v>
      </c>
      <c r="BD557">
        <f t="shared" si="503"/>
        <v>-8.9110074190184179</v>
      </c>
      <c r="BE557" s="43">
        <f t="shared" si="504"/>
        <v>95.610415744887149</v>
      </c>
      <c r="BF557" s="41" t="str">
        <f t="shared" si="505"/>
        <v>-0,0138258134584784-0,0207298321543024i</v>
      </c>
      <c r="BG557" s="20">
        <f t="shared" si="506"/>
        <v>-32.069929878310909</v>
      </c>
      <c r="BH557" s="43">
        <f t="shared" si="507"/>
        <v>-123.70140413391741</v>
      </c>
      <c r="BI557" s="41" t="str">
        <f t="shared" si="460"/>
        <v>0,205715656647923+0,0272118656070855i</v>
      </c>
      <c r="BJ557" s="20">
        <f t="shared" si="508"/>
        <v>-13.6593185437209</v>
      </c>
      <c r="BK557" s="43">
        <f t="shared" si="461"/>
        <v>7.5352826833167379</v>
      </c>
      <c r="BL557">
        <f t="shared" si="509"/>
        <v>-32.069929878310909</v>
      </c>
      <c r="BM557" s="43">
        <f t="shared" si="510"/>
        <v>-123.70140413391741</v>
      </c>
    </row>
    <row r="558" spans="14:65" x14ac:dyDescent="0.25">
      <c r="N558" s="9">
        <v>40</v>
      </c>
      <c r="O558" s="34">
        <f t="shared" si="462"/>
        <v>2511886.431509587</v>
      </c>
      <c r="P558" s="33" t="str">
        <f t="shared" si="463"/>
        <v>66,7780509511648</v>
      </c>
      <c r="Q558" s="4" t="str">
        <f t="shared" si="464"/>
        <v>1+61511,4479790258i</v>
      </c>
      <c r="R558" s="4">
        <f t="shared" si="476"/>
        <v>61511.447987154359</v>
      </c>
      <c r="S558" s="4">
        <f t="shared" si="477"/>
        <v>1.5707800696584973</v>
      </c>
      <c r="T558" s="4" t="str">
        <f t="shared" si="465"/>
        <v>1+15,7826479197648i</v>
      </c>
      <c r="U558" s="4">
        <f t="shared" si="478"/>
        <v>15.814296549617886</v>
      </c>
      <c r="V558" s="4">
        <f t="shared" si="479"/>
        <v>1.5075201879967579</v>
      </c>
      <c r="W558" t="str">
        <f t="shared" si="466"/>
        <v>1-34,3331288052933i</v>
      </c>
      <c r="X558" s="4">
        <f t="shared" si="480"/>
        <v>34.347688911495347</v>
      </c>
      <c r="Y558" s="4">
        <f t="shared" si="481"/>
        <v>-1.5416781719253303</v>
      </c>
      <c r="Z558" t="str">
        <f t="shared" si="467"/>
        <v>-5,30957344480195+6,74818824606766i</v>
      </c>
      <c r="AA558" s="4">
        <f t="shared" si="482"/>
        <v>8.5865950626608551</v>
      </c>
      <c r="AB558" s="4">
        <f t="shared" si="483"/>
        <v>2.2374455585682371</v>
      </c>
      <c r="AC558" s="47" t="str">
        <f t="shared" si="484"/>
        <v>-0,0524911967548831+0,0442837459848309i</v>
      </c>
      <c r="AD558" s="20">
        <f t="shared" si="485"/>
        <v>-23.263915889227217</v>
      </c>
      <c r="AE558" s="43">
        <f t="shared" si="486"/>
        <v>139.84763575326875</v>
      </c>
      <c r="AF558" t="str">
        <f t="shared" si="468"/>
        <v>223,849857273222</v>
      </c>
      <c r="AG558" t="str">
        <f t="shared" si="469"/>
        <v>1+62301,7286589673i</v>
      </c>
      <c r="AH558">
        <f t="shared" si="487"/>
        <v>62301.728666992763</v>
      </c>
      <c r="AI558">
        <f t="shared" si="488"/>
        <v>1.5707802758759022</v>
      </c>
      <c r="AJ558" t="str">
        <f t="shared" si="470"/>
        <v>1+15,7826479197648i</v>
      </c>
      <c r="AK558">
        <f t="shared" si="489"/>
        <v>15.814296549617886</v>
      </c>
      <c r="AL558">
        <f t="shared" si="490"/>
        <v>1.5075201879967579</v>
      </c>
      <c r="AM558" t="str">
        <f t="shared" si="471"/>
        <v>1-10,3737124111525i</v>
      </c>
      <c r="AN558">
        <f t="shared" si="491"/>
        <v>10.421799709709422</v>
      </c>
      <c r="AO558">
        <f t="shared" si="492"/>
        <v>-1.4746957580026412</v>
      </c>
      <c r="AP558" s="41" t="str">
        <f t="shared" si="493"/>
        <v>0,0194437830597028-0,591854686498648i</v>
      </c>
      <c r="AQ558">
        <f t="shared" si="494"/>
        <v>-4.5510134871256156</v>
      </c>
      <c r="AR558" s="43">
        <f t="shared" si="495"/>
        <v>-88.118379046498788</v>
      </c>
      <c r="AS558" t="str">
        <f t="shared" si="472"/>
        <v>-0,0000166666666666667</v>
      </c>
      <c r="AT558" t="str">
        <f t="shared" si="473"/>
        <v>0,0158299958635241i</v>
      </c>
      <c r="AU558">
        <f t="shared" si="496"/>
        <v>1.5829995863524099E-2</v>
      </c>
      <c r="AV558">
        <f t="shared" si="497"/>
        <v>1.5707963267948966</v>
      </c>
      <c r="AW558" t="str">
        <f t="shared" si="474"/>
        <v>1+10,3853914526867i</v>
      </c>
      <c r="AX558">
        <f t="shared" si="498"/>
        <v>10.433424923079572</v>
      </c>
      <c r="AY558">
        <f t="shared" si="499"/>
        <v>1.4748031662391141</v>
      </c>
      <c r="AZ558" t="str">
        <f t="shared" si="475"/>
        <v>1+3472,18254234825i</v>
      </c>
      <c r="BA558">
        <f t="shared" si="500"/>
        <v>3472.1826863498927</v>
      </c>
      <c r="BB558">
        <f t="shared" si="501"/>
        <v>1.5705083235116144</v>
      </c>
      <c r="BC558" s="41" t="str">
        <f t="shared" si="502"/>
        <v>-0,0334823378130001+0,348780038446477i</v>
      </c>
      <c r="BD558">
        <f t="shared" si="503"/>
        <v>-9.1091275972982793</v>
      </c>
      <c r="BE558" s="43">
        <f t="shared" si="504"/>
        <v>95.483501589350027</v>
      </c>
      <c r="BF558" s="41" t="str">
        <f t="shared" si="505"/>
        <v>-0,0136877586451877-0,0197906049649589i</v>
      </c>
      <c r="BG558" s="20">
        <f t="shared" si="506"/>
        <v>-32.373043486525496</v>
      </c>
      <c r="BH558" s="43">
        <f t="shared" si="507"/>
        <v>-124.66886265738125</v>
      </c>
      <c r="BI558" s="41" t="str">
        <f t="shared" si="460"/>
        <v>0,205776076998958+0,0265982819526631i</v>
      </c>
      <c r="BJ558" s="20">
        <f t="shared" si="508"/>
        <v>-13.660141084423909</v>
      </c>
      <c r="BK558" s="43">
        <f t="shared" si="461"/>
        <v>7.365122542851263</v>
      </c>
      <c r="BL558">
        <f t="shared" si="509"/>
        <v>-32.373043486525496</v>
      </c>
      <c r="BM558" s="43">
        <f t="shared" si="510"/>
        <v>-124.66886265738125</v>
      </c>
    </row>
    <row r="559" spans="14:65" x14ac:dyDescent="0.25">
      <c r="N559" s="9">
        <v>41</v>
      </c>
      <c r="O559" s="34">
        <f t="shared" si="462"/>
        <v>2570395.782768866</v>
      </c>
      <c r="P559" s="33" t="str">
        <f t="shared" si="463"/>
        <v>66,7780509511648</v>
      </c>
      <c r="Q559" s="4" t="str">
        <f t="shared" si="464"/>
        <v>1+62944,2336619791i</v>
      </c>
      <c r="R559" s="4">
        <f t="shared" si="476"/>
        <v>62944.233669922636</v>
      </c>
      <c r="S559" s="4">
        <f t="shared" si="477"/>
        <v>1.5707804397161009</v>
      </c>
      <c r="T559" s="4" t="str">
        <f t="shared" si="465"/>
        <v>1+16,1502730159297i</v>
      </c>
      <c r="U559" s="4">
        <f t="shared" si="478"/>
        <v>16.181202628020792</v>
      </c>
      <c r="V559" s="4">
        <f t="shared" si="479"/>
        <v>1.5089568169862517</v>
      </c>
      <c r="W559" t="str">
        <f t="shared" si="466"/>
        <v>1-35,132850109529i</v>
      </c>
      <c r="X559" s="4">
        <f t="shared" si="480"/>
        <v>35.14707892298636</v>
      </c>
      <c r="Y559" s="4">
        <f t="shared" si="481"/>
        <v>-1.5423406201490728</v>
      </c>
      <c r="Z559" t="str">
        <f t="shared" si="467"/>
        <v>-5,60693448007595+6,90537374279237i</v>
      </c>
      <c r="AA559" s="4">
        <f t="shared" si="482"/>
        <v>8.8950492292910255</v>
      </c>
      <c r="AB559" s="4">
        <f t="shared" si="483"/>
        <v>2.2527916458923301</v>
      </c>
      <c r="AC559" s="47" t="str">
        <f t="shared" si="484"/>
        <v>-0,0512027196568536+0,0444899141344812i</v>
      </c>
      <c r="AD559" s="20">
        <f t="shared" si="485"/>
        <v>-23.371410687830448</v>
      </c>
      <c r="AE559" s="43">
        <f t="shared" si="486"/>
        <v>139.01270580527788</v>
      </c>
      <c r="AF559" t="str">
        <f t="shared" si="468"/>
        <v>223,849857273222</v>
      </c>
      <c r="AG559" t="str">
        <f t="shared" si="469"/>
        <v>1+63752,9223436981i</v>
      </c>
      <c r="AH559">
        <f t="shared" si="487"/>
        <v>63752.922351540888</v>
      </c>
      <c r="AI559">
        <f t="shared" si="488"/>
        <v>1.5707806412394247</v>
      </c>
      <c r="AJ559" t="str">
        <f t="shared" si="470"/>
        <v>1+16,1502730159297i</v>
      </c>
      <c r="AK559">
        <f t="shared" si="489"/>
        <v>16.181202628020792</v>
      </c>
      <c r="AL559">
        <f t="shared" si="490"/>
        <v>1.5089568169862517</v>
      </c>
      <c r="AM559" t="str">
        <f t="shared" si="471"/>
        <v>1-10,6153472142682i</v>
      </c>
      <c r="AN559">
        <f t="shared" si="491"/>
        <v>10.662344792749463</v>
      </c>
      <c r="AO559">
        <f t="shared" si="492"/>
        <v>-1.4768702828980576</v>
      </c>
      <c r="AP559" s="41" t="str">
        <f t="shared" si="493"/>
        <v>0,0194437804643108-0,605475289317449i</v>
      </c>
      <c r="AQ559">
        <f t="shared" si="494"/>
        <v>-4.3535951304649467</v>
      </c>
      <c r="AR559" s="43">
        <f t="shared" si="495"/>
        <v>-88.16067830141597</v>
      </c>
      <c r="AS559" t="str">
        <f t="shared" si="472"/>
        <v>-0,0000166666666666667</v>
      </c>
      <c r="AT559" t="str">
        <f t="shared" si="473"/>
        <v>0,0161987238349775i</v>
      </c>
      <c r="AU559">
        <f t="shared" si="496"/>
        <v>1.6198723834977499E-2</v>
      </c>
      <c r="AV559">
        <f t="shared" si="497"/>
        <v>1.5707963267948966</v>
      </c>
      <c r="AW559" t="str">
        <f t="shared" si="474"/>
        <v>1+10,6272982956267i</v>
      </c>
      <c r="AX559">
        <f t="shared" si="498"/>
        <v>10.67424325487433</v>
      </c>
      <c r="AY559">
        <f t="shared" si="499"/>
        <v>1.476975289688808</v>
      </c>
      <c r="AZ559" t="str">
        <f t="shared" si="475"/>
        <v>1+3553,06006350453i</v>
      </c>
      <c r="BA559">
        <f t="shared" si="500"/>
        <v>3553.0602042282944</v>
      </c>
      <c r="BB559">
        <f t="shared" si="501"/>
        <v>1.5705148792663655</v>
      </c>
      <c r="BC559" s="41" t="str">
        <f t="shared" si="502"/>
        <v>-0,0319886102864996+0,340981391212806i</v>
      </c>
      <c r="BD559">
        <f t="shared" si="503"/>
        <v>-9.3073316215960915</v>
      </c>
      <c r="BE559" s="43">
        <f t="shared" si="504"/>
        <v>95.35942370017996</v>
      </c>
      <c r="BF559" s="41" t="str">
        <f t="shared" si="505"/>
        <v>-0,0135323289718017-0,018882345107401i</v>
      </c>
      <c r="BG559" s="20">
        <f t="shared" si="506"/>
        <v>-32.678742309426532</v>
      </c>
      <c r="BH559" s="43">
        <f t="shared" si="507"/>
        <v>-125.62787049454212</v>
      </c>
      <c r="BI559" s="41" t="str">
        <f t="shared" si="460"/>
        <v>0,205833826980671+0,0259982803812385i</v>
      </c>
      <c r="BJ559" s="20">
        <f t="shared" si="508"/>
        <v>-13.660926752061036</v>
      </c>
      <c r="BK559" s="43">
        <f t="shared" si="461"/>
        <v>7.1987453987639771</v>
      </c>
      <c r="BL559">
        <f t="shared" si="509"/>
        <v>-32.678742309426532</v>
      </c>
      <c r="BM559" s="43">
        <f t="shared" si="510"/>
        <v>-125.62787049454212</v>
      </c>
    </row>
    <row r="560" spans="14:65" ht="15.75" thickBot="1" x14ac:dyDescent="0.3">
      <c r="N560" s="9">
        <v>42</v>
      </c>
      <c r="O560" s="34">
        <f t="shared" si="462"/>
        <v>2630267.9918953842</v>
      </c>
      <c r="P560" s="33" t="str">
        <f t="shared" si="463"/>
        <v>66,7780509511648</v>
      </c>
      <c r="Q560" s="4" t="str">
        <f t="shared" si="464"/>
        <v>1+64410,3932107855i</v>
      </c>
      <c r="R560" s="4">
        <f t="shared" si="476"/>
        <v>64410.393218548212</v>
      </c>
      <c r="S560" s="4">
        <f t="shared" si="477"/>
        <v>1.5707808013501652</v>
      </c>
      <c r="T560" s="4" t="str">
        <f t="shared" si="465"/>
        <v>1+16,5264612006218i</v>
      </c>
      <c r="U560" s="4">
        <f t="shared" si="478"/>
        <v>16.556688069045023</v>
      </c>
      <c r="V560" s="4">
        <f t="shared" si="479"/>
        <v>1.5103609913210123</v>
      </c>
      <c r="W560" t="str">
        <f t="shared" si="466"/>
        <v>1-35,9511993159311i</v>
      </c>
      <c r="X560" s="4">
        <f t="shared" si="480"/>
        <v>35.965104368732263</v>
      </c>
      <c r="Y560" s="4">
        <f t="shared" si="481"/>
        <v>-1.5429880133505385</v>
      </c>
      <c r="Z560" t="str">
        <f t="shared" si="467"/>
        <v>-5,91830970918934+7,06622056007895i</v>
      </c>
      <c r="AA560" s="4">
        <f t="shared" si="482"/>
        <v>9.2172589644409619</v>
      </c>
      <c r="AB560" s="4">
        <f t="shared" si="483"/>
        <v>2.2680176963172767</v>
      </c>
      <c r="AC560" s="42" t="str">
        <f t="shared" si="484"/>
        <v>-0,0499175964515323+0,0446571097491257i</v>
      </c>
      <c r="AD560" s="46">
        <f t="shared" si="485"/>
        <v>-23.481384182675761</v>
      </c>
      <c r="AE560" s="45">
        <f t="shared" si="486"/>
        <v>138.18365702212239</v>
      </c>
      <c r="AF560" t="str">
        <f t="shared" si="468"/>
        <v>223,849857273222</v>
      </c>
      <c r="AG560" t="str">
        <f t="shared" si="469"/>
        <v>1+65237,9186717253i</v>
      </c>
      <c r="AH560">
        <f t="shared" si="487"/>
        <v>65237.918679389557</v>
      </c>
      <c r="AI560">
        <f t="shared" si="488"/>
        <v>1.5707809982862579</v>
      </c>
      <c r="AJ560" t="str">
        <f t="shared" si="470"/>
        <v>1+16,5264612006218i</v>
      </c>
      <c r="AK560">
        <f t="shared" si="489"/>
        <v>16.556688069045023</v>
      </c>
      <c r="AL560">
        <f t="shared" si="490"/>
        <v>1.5103609913210123</v>
      </c>
      <c r="AM560" t="str">
        <f t="shared" si="471"/>
        <v>1-10,8626104149876i</v>
      </c>
      <c r="AN560">
        <f t="shared" si="491"/>
        <v>10.908542754547788</v>
      </c>
      <c r="AO560">
        <f t="shared" si="492"/>
        <v>-1.4789961707651302</v>
      </c>
      <c r="AP560" s="44" t="str">
        <f t="shared" si="493"/>
        <v>0,0194437779857308-0,619416923149051i</v>
      </c>
      <c r="AQ560" s="39">
        <f t="shared" si="494"/>
        <v>-4.1560614087701842</v>
      </c>
      <c r="AR560" s="45">
        <f t="shared" si="495"/>
        <v>-88.202049898111582</v>
      </c>
      <c r="AS560" t="str">
        <f t="shared" si="472"/>
        <v>-0,0000166666666666667</v>
      </c>
      <c r="AT560" t="str">
        <f t="shared" si="473"/>
        <v>0,0165760405842237i</v>
      </c>
      <c r="AU560">
        <f t="shared" si="496"/>
        <v>1.6576040584223701E-2</v>
      </c>
      <c r="AV560">
        <f t="shared" si="497"/>
        <v>1.5707963267948966</v>
      </c>
      <c r="AW560" t="str">
        <f t="shared" si="474"/>
        <v>1+10,874839872792i</v>
      </c>
      <c r="AX560">
        <f t="shared" si="498"/>
        <v>10.92072077561123</v>
      </c>
      <c r="AY560">
        <f t="shared" si="499"/>
        <v>1.4790988279055373</v>
      </c>
      <c r="AZ560" t="str">
        <f t="shared" si="475"/>
        <v>1+3635,82146413679i</v>
      </c>
      <c r="BA560">
        <f t="shared" si="500"/>
        <v>3635.821601657291</v>
      </c>
      <c r="BB560">
        <f t="shared" si="501"/>
        <v>1.5705212857939432</v>
      </c>
      <c r="BC560" s="44" t="str">
        <f t="shared" si="502"/>
        <v>-0,0305609575940296+0,333350987487969i</v>
      </c>
      <c r="BD560" s="39">
        <f t="shared" si="503"/>
        <v>-9.5056157845082687</v>
      </c>
      <c r="BE560" s="45">
        <f t="shared" si="504"/>
        <v>95.238120989718169</v>
      </c>
      <c r="BF560" s="44" t="str">
        <f t="shared" si="505"/>
        <v>-0,0133609620848785-0,0180048441074592i</v>
      </c>
      <c r="BG560" s="46">
        <f t="shared" si="506"/>
        <v>-32.986999967184033</v>
      </c>
      <c r="BH560" s="45">
        <f t="shared" si="507"/>
        <v>-126.57822198815941</v>
      </c>
      <c r="BI560" s="44" t="str">
        <f t="shared" si="460"/>
        <v>0,205889022524006+0,0254115769134226i</v>
      </c>
      <c r="BJ560" s="46">
        <f t="shared" si="508"/>
        <v>-13.661677193278447</v>
      </c>
      <c r="BK560" s="45">
        <f t="shared" si="461"/>
        <v>7.0360710916065887</v>
      </c>
      <c r="BL560" s="39">
        <f t="shared" si="509"/>
        <v>-32.986999967184033</v>
      </c>
      <c r="BM560" s="45">
        <f t="shared" si="510"/>
        <v>-126.57822198815941</v>
      </c>
    </row>
    <row r="561" spans="14:30" x14ac:dyDescent="0.25">
      <c r="N561" s="9"/>
      <c r="P561" s="33"/>
      <c r="Q561" s="4"/>
      <c r="R561" s="4"/>
      <c r="S561" s="4"/>
      <c r="T561" s="4"/>
      <c r="U561" s="4"/>
      <c r="V561" s="4"/>
      <c r="X561" s="4"/>
      <c r="Y561" s="4"/>
      <c r="AA561" s="4"/>
      <c r="AB561" s="4"/>
      <c r="AC561" s="4"/>
      <c r="AD561" s="20"/>
    </row>
    <row r="562" spans="14:30" x14ac:dyDescent="0.25">
      <c r="N562" s="9"/>
      <c r="P562" s="33"/>
      <c r="Q562" s="4"/>
      <c r="R562" s="4"/>
      <c r="S562" s="4"/>
      <c r="T562" s="4"/>
      <c r="U562" s="4"/>
      <c r="V562" s="4"/>
      <c r="X562" s="4"/>
      <c r="Y562" s="4"/>
      <c r="AA562" s="4"/>
      <c r="AB562" s="4"/>
      <c r="AC562" s="4"/>
      <c r="AD562" s="20"/>
    </row>
    <row r="563" spans="14:30" x14ac:dyDescent="0.25">
      <c r="N563" s="9"/>
      <c r="P563" s="33"/>
      <c r="Q563" s="4"/>
      <c r="R563" s="4"/>
      <c r="S563" s="4"/>
      <c r="T563" s="4"/>
      <c r="U563" s="4"/>
      <c r="V563" s="4"/>
      <c r="X563" s="4"/>
      <c r="Y563" s="4"/>
      <c r="AA563" s="4"/>
      <c r="AB563" s="4"/>
      <c r="AC563" s="4"/>
      <c r="AD563" s="20"/>
    </row>
    <row r="564" spans="14:30" x14ac:dyDescent="0.25">
      <c r="N564" s="9"/>
      <c r="P564" s="33"/>
      <c r="Q564" s="4"/>
      <c r="R564" s="4"/>
      <c r="S564" s="4"/>
      <c r="T564" s="4"/>
      <c r="U564" s="4"/>
      <c r="V564" s="4"/>
      <c r="X564" s="4"/>
      <c r="Y564" s="4"/>
      <c r="AA564" s="4"/>
      <c r="AB564" s="4"/>
      <c r="AC564" s="4"/>
      <c r="AD564" s="20"/>
    </row>
    <row r="565" spans="14:30" x14ac:dyDescent="0.25">
      <c r="N565" s="9"/>
      <c r="P565" s="33"/>
      <c r="Q565" s="4"/>
      <c r="R565" s="4"/>
      <c r="S565" s="4"/>
      <c r="T565" s="4"/>
      <c r="U565" s="4"/>
      <c r="V565" s="4"/>
      <c r="X565" s="4"/>
      <c r="Y565" s="4"/>
      <c r="AA565" s="4"/>
      <c r="AB565" s="4"/>
      <c r="AC565" s="4"/>
      <c r="AD565" s="20"/>
    </row>
    <row r="566" spans="14:30" x14ac:dyDescent="0.25">
      <c r="N566" s="9"/>
      <c r="P566" s="33"/>
      <c r="Q566" s="4"/>
      <c r="R566" s="4"/>
      <c r="S566" s="4"/>
      <c r="T566" s="4"/>
      <c r="U566" s="4"/>
      <c r="V566" s="4"/>
      <c r="X566" s="4"/>
      <c r="Y566" s="4"/>
      <c r="AA566" s="4"/>
      <c r="AB566" s="4"/>
      <c r="AC566" s="4"/>
      <c r="AD566" s="20"/>
    </row>
    <row r="567" spans="14:30" x14ac:dyDescent="0.25">
      <c r="N567" s="9"/>
      <c r="P567" s="33"/>
      <c r="Q567" s="4"/>
      <c r="R567" s="4"/>
      <c r="S567" s="4"/>
      <c r="T567" s="4"/>
      <c r="U567" s="4"/>
      <c r="V567" s="4"/>
      <c r="X567" s="4"/>
      <c r="Y567" s="4"/>
      <c r="AA567" s="4"/>
      <c r="AB567" s="4"/>
      <c r="AC567" s="4"/>
      <c r="AD567" s="20"/>
    </row>
    <row r="568" spans="14:30" x14ac:dyDescent="0.25">
      <c r="N568" s="9"/>
      <c r="P568" s="33"/>
      <c r="Q568" s="4"/>
      <c r="R568" s="4"/>
      <c r="S568" s="4"/>
      <c r="T568" s="4"/>
      <c r="U568" s="4"/>
      <c r="V568" s="4"/>
      <c r="X568" s="4"/>
      <c r="Y568" s="4"/>
      <c r="AA568" s="4"/>
      <c r="AB568" s="4"/>
      <c r="AC568" s="4"/>
      <c r="AD568" s="20"/>
    </row>
    <row r="569" spans="14:30" x14ac:dyDescent="0.25">
      <c r="N569" s="9"/>
      <c r="P569" s="33"/>
      <c r="Q569" s="4"/>
      <c r="R569" s="4"/>
      <c r="S569" s="4"/>
      <c r="T569" s="4"/>
      <c r="U569" s="4"/>
      <c r="V569" s="4"/>
      <c r="X569" s="4"/>
      <c r="Y569" s="4"/>
      <c r="AA569" s="4"/>
      <c r="AB569" s="4"/>
      <c r="AC569" s="4"/>
      <c r="AD569" s="20"/>
    </row>
    <row r="570" spans="14:30" x14ac:dyDescent="0.25">
      <c r="N570" s="9"/>
      <c r="P570" s="33"/>
      <c r="Q570" s="4"/>
      <c r="R570" s="4"/>
      <c r="S570" s="4"/>
      <c r="T570" s="4"/>
      <c r="U570" s="4"/>
      <c r="V570" s="4"/>
      <c r="X570" s="4"/>
      <c r="Y570" s="4"/>
      <c r="AA570" s="4"/>
      <c r="AB570" s="4"/>
      <c r="AC570" s="4"/>
      <c r="AD570" s="20"/>
    </row>
    <row r="571" spans="14:30" x14ac:dyDescent="0.25">
      <c r="N571" s="9"/>
      <c r="P571" s="33"/>
      <c r="Q571" s="4"/>
      <c r="R571" s="4"/>
      <c r="S571" s="4"/>
      <c r="T571" s="4"/>
      <c r="U571" s="4"/>
      <c r="V571" s="4"/>
      <c r="X571" s="4"/>
      <c r="Y571" s="4"/>
      <c r="AA571" s="4"/>
      <c r="AB571" s="4"/>
      <c r="AC571" s="4"/>
      <c r="AD571" s="20"/>
    </row>
    <row r="572" spans="14:30" x14ac:dyDescent="0.25">
      <c r="N572" s="9"/>
      <c r="P572" s="33"/>
      <c r="Q572" s="4"/>
      <c r="R572" s="4"/>
      <c r="S572" s="4"/>
      <c r="T572" s="4"/>
      <c r="U572" s="4"/>
      <c r="V572" s="4"/>
      <c r="X572" s="4"/>
      <c r="Y572" s="4"/>
      <c r="AA572" s="4"/>
      <c r="AB572" s="4"/>
      <c r="AC572" s="4"/>
      <c r="AD572" s="20"/>
    </row>
    <row r="573" spans="14:30" x14ac:dyDescent="0.25">
      <c r="N573" s="9"/>
      <c r="P573" s="33"/>
      <c r="Q573" s="4"/>
      <c r="R573" s="4"/>
      <c r="S573" s="4"/>
      <c r="T573" s="4"/>
      <c r="U573" s="4"/>
      <c r="V573" s="4"/>
      <c r="X573" s="4"/>
      <c r="Y573" s="4"/>
      <c r="AA573" s="4"/>
      <c r="AB573" s="4"/>
      <c r="AC573" s="4"/>
      <c r="AD573" s="20"/>
    </row>
    <row r="574" spans="14:30" x14ac:dyDescent="0.25">
      <c r="N574" s="9"/>
      <c r="P574" s="33"/>
      <c r="Q574" s="4"/>
      <c r="R574" s="4"/>
      <c r="S574" s="4"/>
      <c r="T574" s="4"/>
      <c r="U574" s="4"/>
      <c r="V574" s="4"/>
      <c r="X574" s="4"/>
      <c r="Y574" s="4"/>
      <c r="AA574" s="4"/>
      <c r="AB574" s="4"/>
      <c r="AC574" s="4"/>
      <c r="AD574" s="20"/>
    </row>
    <row r="575" spans="14:30" x14ac:dyDescent="0.25">
      <c r="N575" s="9"/>
      <c r="P575" s="33"/>
      <c r="Q575" s="4"/>
      <c r="R575" s="4"/>
      <c r="S575" s="4"/>
      <c r="T575" s="4"/>
      <c r="U575" s="4"/>
      <c r="V575" s="4"/>
      <c r="X575" s="4"/>
      <c r="Y575" s="4"/>
      <c r="AA575" s="4"/>
      <c r="AB575" s="4"/>
      <c r="AC575" s="4"/>
      <c r="AD575" s="20"/>
    </row>
    <row r="576" spans="14:30" x14ac:dyDescent="0.25">
      <c r="N576" s="9"/>
      <c r="P576" s="33"/>
      <c r="Q576" s="4"/>
      <c r="R576" s="4"/>
      <c r="S576" s="4"/>
      <c r="T576" s="4"/>
      <c r="U576" s="4"/>
      <c r="V576" s="4"/>
      <c r="X576" s="4"/>
      <c r="Y576" s="4"/>
      <c r="AA576" s="4"/>
      <c r="AB576" s="4"/>
      <c r="AC576" s="4"/>
      <c r="AD576" s="20"/>
    </row>
    <row r="577" spans="14:30" x14ac:dyDescent="0.25">
      <c r="N577" s="9"/>
      <c r="P577" s="33"/>
      <c r="Q577" s="4"/>
      <c r="R577" s="4"/>
      <c r="S577" s="4"/>
      <c r="T577" s="4"/>
      <c r="U577" s="4"/>
      <c r="V577" s="4"/>
      <c r="X577" s="4"/>
      <c r="Y577" s="4"/>
      <c r="AA577" s="4"/>
      <c r="AB577" s="4"/>
      <c r="AC577" s="4"/>
      <c r="AD577" s="20"/>
    </row>
    <row r="578" spans="14:30" x14ac:dyDescent="0.25">
      <c r="N578" s="9"/>
      <c r="P578" s="33"/>
      <c r="Q578" s="4"/>
      <c r="R578" s="4"/>
      <c r="S578" s="4"/>
      <c r="T578" s="4"/>
      <c r="U578" s="4"/>
      <c r="V578" s="4"/>
      <c r="X578" s="4"/>
      <c r="Y578" s="4"/>
      <c r="AA578" s="4"/>
      <c r="AB578" s="4"/>
      <c r="AC578" s="4"/>
      <c r="AD578" s="20"/>
    </row>
    <row r="579" spans="14:30" x14ac:dyDescent="0.25">
      <c r="N579" s="9"/>
      <c r="P579" s="33"/>
      <c r="Q579" s="4"/>
      <c r="R579" s="4"/>
      <c r="S579" s="4"/>
      <c r="T579" s="4"/>
      <c r="U579" s="4"/>
      <c r="V579" s="4"/>
      <c r="X579" s="4"/>
      <c r="Y579" s="4"/>
      <c r="AA579" s="4"/>
      <c r="AB579" s="4"/>
      <c r="AC579" s="4"/>
      <c r="AD579" s="20"/>
    </row>
    <row r="580" spans="14:30" x14ac:dyDescent="0.25">
      <c r="N580" s="9"/>
      <c r="P580" s="33"/>
      <c r="Q580" s="4"/>
      <c r="R580" s="4"/>
      <c r="S580" s="4"/>
      <c r="T580" s="4"/>
      <c r="U580" s="4"/>
      <c r="V580" s="4"/>
      <c r="X580" s="4"/>
      <c r="Y580" s="4"/>
      <c r="AA580" s="4"/>
      <c r="AB580" s="4"/>
      <c r="AC580" s="4"/>
      <c r="AD580" s="20"/>
    </row>
    <row r="581" spans="14:30" x14ac:dyDescent="0.25">
      <c r="N581" s="9"/>
      <c r="P581" s="33"/>
      <c r="Q581" s="4"/>
      <c r="R581" s="4"/>
      <c r="S581" s="4"/>
      <c r="T581" s="4"/>
      <c r="U581" s="4"/>
      <c r="V581" s="4"/>
      <c r="X581" s="4"/>
      <c r="Y581" s="4"/>
      <c r="AA581" s="4"/>
      <c r="AB581" s="4"/>
      <c r="AC581" s="4"/>
      <c r="AD581" s="20"/>
    </row>
    <row r="582" spans="14:30" x14ac:dyDescent="0.25">
      <c r="N582" s="9"/>
      <c r="P582" s="33"/>
      <c r="Q582" s="4"/>
      <c r="R582" s="4"/>
      <c r="S582" s="4"/>
      <c r="T582" s="4"/>
      <c r="U582" s="4"/>
      <c r="V582" s="4"/>
      <c r="X582" s="4"/>
      <c r="Y582" s="4"/>
      <c r="AA582" s="4"/>
      <c r="AB582" s="4"/>
      <c r="AC582" s="4"/>
      <c r="AD582" s="20"/>
    </row>
    <row r="583" spans="14:30" x14ac:dyDescent="0.25">
      <c r="N583" s="9"/>
      <c r="P583" s="33"/>
      <c r="Q583" s="4"/>
      <c r="R583" s="4"/>
      <c r="S583" s="4"/>
      <c r="T583" s="4"/>
      <c r="U583" s="4"/>
      <c r="V583" s="4"/>
      <c r="X583" s="4"/>
      <c r="Y583" s="4"/>
      <c r="AA583" s="4"/>
      <c r="AB583" s="4"/>
      <c r="AC583" s="4"/>
      <c r="AD583" s="20"/>
    </row>
    <row r="584" spans="14:30" x14ac:dyDescent="0.25">
      <c r="N584" s="9"/>
      <c r="P584" s="33"/>
      <c r="Q584" s="4"/>
      <c r="R584" s="4"/>
      <c r="S584" s="4"/>
      <c r="T584" s="4"/>
      <c r="U584" s="4"/>
      <c r="V584" s="4"/>
      <c r="X584" s="4"/>
      <c r="Y584" s="4"/>
      <c r="AA584" s="4"/>
      <c r="AB584" s="4"/>
      <c r="AC584" s="4"/>
      <c r="AD584" s="20"/>
    </row>
    <row r="585" spans="14:30" x14ac:dyDescent="0.25">
      <c r="N585" s="9"/>
      <c r="P585" s="33"/>
      <c r="Q585" s="4"/>
      <c r="R585" s="4"/>
      <c r="S585" s="4"/>
      <c r="T585" s="4"/>
      <c r="U585" s="4"/>
      <c r="V585" s="4"/>
      <c r="X585" s="4"/>
      <c r="Y585" s="4"/>
      <c r="AA585" s="4"/>
      <c r="AB585" s="4"/>
      <c r="AC585" s="4"/>
      <c r="AD585" s="20"/>
    </row>
    <row r="586" spans="14:30" x14ac:dyDescent="0.25">
      <c r="N586" s="9"/>
      <c r="P586" s="33"/>
      <c r="Q586" s="4"/>
      <c r="R586" s="4"/>
      <c r="S586" s="4"/>
      <c r="T586" s="4"/>
      <c r="U586" s="4"/>
      <c r="V586" s="4"/>
      <c r="X586" s="4"/>
      <c r="Y586" s="4"/>
      <c r="AA586" s="4"/>
      <c r="AB586" s="4"/>
      <c r="AC586" s="4"/>
      <c r="AD586" s="20"/>
    </row>
    <row r="587" spans="14:30" x14ac:dyDescent="0.25">
      <c r="N587" s="9"/>
      <c r="P587" s="33"/>
      <c r="Q587" s="4"/>
      <c r="R587" s="4"/>
      <c r="S587" s="4"/>
      <c r="T587" s="4"/>
      <c r="U587" s="4"/>
      <c r="V587" s="4"/>
      <c r="X587" s="4"/>
      <c r="Y587" s="4"/>
      <c r="AA587" s="4"/>
      <c r="AB587" s="4"/>
      <c r="AC587" s="4"/>
      <c r="AD587" s="20"/>
    </row>
    <row r="588" spans="14:30" x14ac:dyDescent="0.25">
      <c r="N588" s="9"/>
      <c r="P588" s="33"/>
      <c r="Q588" s="4"/>
      <c r="R588" s="4"/>
      <c r="S588" s="4"/>
      <c r="T588" s="4"/>
      <c r="U588" s="4"/>
      <c r="V588" s="4"/>
      <c r="X588" s="4"/>
      <c r="Y588" s="4"/>
      <c r="AA588" s="4"/>
      <c r="AB588" s="4"/>
      <c r="AC588" s="4"/>
      <c r="AD588" s="20"/>
    </row>
    <row r="589" spans="14:30" x14ac:dyDescent="0.25">
      <c r="N589" s="9"/>
      <c r="P589" s="33"/>
      <c r="Q589" s="4"/>
      <c r="R589" s="4"/>
      <c r="S589" s="4"/>
      <c r="T589" s="4"/>
      <c r="U589" s="4"/>
      <c r="V589" s="4"/>
      <c r="X589" s="4"/>
      <c r="Y589" s="4"/>
      <c r="AA589" s="4"/>
      <c r="AB589" s="4"/>
      <c r="AC589" s="4"/>
      <c r="AD589" s="20"/>
    </row>
    <row r="590" spans="14:30" x14ac:dyDescent="0.25">
      <c r="N590" s="9"/>
      <c r="P590" s="33"/>
      <c r="Q590" s="4"/>
      <c r="R590" s="4"/>
      <c r="S590" s="4"/>
      <c r="T590" s="4"/>
      <c r="U590" s="4"/>
      <c r="V590" s="4"/>
      <c r="X590" s="4"/>
      <c r="Y590" s="4"/>
      <c r="AA590" s="4"/>
      <c r="AB590" s="4"/>
      <c r="AC590" s="4"/>
      <c r="AD590" s="20"/>
    </row>
    <row r="591" spans="14:30" x14ac:dyDescent="0.25">
      <c r="N591" s="9"/>
      <c r="P591" s="33"/>
      <c r="Q591" s="4"/>
      <c r="R591" s="4"/>
      <c r="S591" s="4"/>
      <c r="T591" s="4"/>
      <c r="U591" s="4"/>
      <c r="V591" s="4"/>
      <c r="X591" s="4"/>
      <c r="Y591" s="4"/>
      <c r="AA591" s="4"/>
      <c r="AB591" s="4"/>
      <c r="AC591" s="4"/>
      <c r="AD591" s="20"/>
    </row>
    <row r="592" spans="14:30" x14ac:dyDescent="0.25">
      <c r="N592" s="9"/>
      <c r="P592" s="33"/>
      <c r="Q592" s="4"/>
      <c r="R592" s="4"/>
      <c r="S592" s="4"/>
      <c r="T592" s="4"/>
      <c r="U592" s="4"/>
      <c r="V592" s="4"/>
      <c r="X592" s="4"/>
      <c r="Y592" s="4"/>
      <c r="AA592" s="4"/>
      <c r="AB592" s="4"/>
      <c r="AC592" s="4"/>
      <c r="AD592" s="20"/>
    </row>
    <row r="593" spans="14:30" x14ac:dyDescent="0.25">
      <c r="N593" s="9"/>
      <c r="P593" s="33"/>
      <c r="Q593" s="4"/>
      <c r="R593" s="4"/>
      <c r="S593" s="4"/>
      <c r="T593" s="4"/>
      <c r="U593" s="4"/>
      <c r="V593" s="4"/>
      <c r="X593" s="4"/>
      <c r="Y593" s="4"/>
      <c r="AA593" s="4"/>
      <c r="AB593" s="4"/>
      <c r="AC593" s="4"/>
      <c r="AD593" s="20"/>
    </row>
    <row r="594" spans="14:30" x14ac:dyDescent="0.25">
      <c r="N594" s="9"/>
      <c r="P594" s="33"/>
      <c r="Q594" s="4"/>
      <c r="R594" s="4"/>
      <c r="S594" s="4"/>
      <c r="T594" s="4"/>
      <c r="U594" s="4"/>
      <c r="V594" s="4"/>
      <c r="X594" s="4"/>
      <c r="Y594" s="4"/>
      <c r="AA594" s="4"/>
      <c r="AB594" s="4"/>
      <c r="AC594" s="4"/>
      <c r="AD594" s="20"/>
    </row>
    <row r="595" spans="14:30" x14ac:dyDescent="0.25">
      <c r="N595" s="9"/>
      <c r="P595" s="33"/>
      <c r="Q595" s="4"/>
      <c r="R595" s="4"/>
      <c r="S595" s="4"/>
      <c r="T595" s="4"/>
      <c r="U595" s="4"/>
      <c r="V595" s="4"/>
      <c r="X595" s="4"/>
      <c r="Y595" s="4"/>
      <c r="AA595" s="4"/>
      <c r="AB595" s="4"/>
      <c r="AC595" s="4"/>
      <c r="AD595" s="20"/>
    </row>
    <row r="596" spans="14:30" x14ac:dyDescent="0.25">
      <c r="N596" s="9"/>
      <c r="P596" s="33"/>
      <c r="Q596" s="4"/>
      <c r="R596" s="4"/>
      <c r="S596" s="4"/>
      <c r="T596" s="4"/>
      <c r="U596" s="4"/>
      <c r="V596" s="4"/>
      <c r="X596" s="4"/>
      <c r="Y596" s="4"/>
      <c r="AA596" s="4"/>
      <c r="AB596" s="4"/>
      <c r="AC596" s="4"/>
      <c r="AD596" s="20"/>
    </row>
    <row r="597" spans="14:30" x14ac:dyDescent="0.25">
      <c r="N597" s="9"/>
      <c r="P597" s="33"/>
      <c r="Q597" s="4"/>
      <c r="R597" s="4"/>
      <c r="S597" s="4"/>
      <c r="T597" s="4"/>
      <c r="U597" s="4"/>
      <c r="V597" s="4"/>
      <c r="X597" s="4"/>
      <c r="Y597" s="4"/>
      <c r="AA597" s="4"/>
      <c r="AB597" s="4"/>
      <c r="AC597" s="4"/>
      <c r="AD597" s="20"/>
    </row>
    <row r="598" spans="14:30" x14ac:dyDescent="0.25">
      <c r="N598" s="9"/>
      <c r="P598" s="33"/>
      <c r="Q598" s="4"/>
      <c r="R598" s="4"/>
      <c r="S598" s="4"/>
      <c r="T598" s="4"/>
      <c r="U598" s="4"/>
      <c r="V598" s="4"/>
      <c r="X598" s="4"/>
      <c r="Y598" s="4"/>
      <c r="AA598" s="4"/>
      <c r="AB598" s="4"/>
      <c r="AC598" s="4"/>
      <c r="AD598" s="20"/>
    </row>
    <row r="599" spans="14:30" x14ac:dyDescent="0.25">
      <c r="N599" s="9"/>
      <c r="P599" s="33"/>
      <c r="Q599" s="4"/>
      <c r="R599" s="4"/>
      <c r="S599" s="4"/>
      <c r="T599" s="4"/>
      <c r="U599" s="4"/>
      <c r="V599" s="4"/>
      <c r="X599" s="4"/>
      <c r="Y599" s="4"/>
      <c r="AA599" s="4"/>
      <c r="AB599" s="4"/>
      <c r="AC599" s="4"/>
      <c r="AD599" s="20"/>
    </row>
    <row r="600" spans="14:30" x14ac:dyDescent="0.25">
      <c r="N600" s="9"/>
      <c r="P600" s="33"/>
      <c r="Q600" s="4"/>
      <c r="R600" s="4"/>
      <c r="S600" s="4"/>
      <c r="T600" s="4"/>
      <c r="U600" s="4"/>
      <c r="V600" s="4"/>
      <c r="X600" s="4"/>
      <c r="Y600" s="4"/>
      <c r="AA600" s="4"/>
      <c r="AB600" s="4"/>
      <c r="AC600" s="4"/>
      <c r="AD600" s="20"/>
    </row>
    <row r="601" spans="14:30" x14ac:dyDescent="0.25">
      <c r="N601" s="9"/>
      <c r="P601" s="33"/>
      <c r="Q601" s="4"/>
      <c r="R601" s="4"/>
      <c r="S601" s="4"/>
      <c r="T601" s="4"/>
      <c r="U601" s="4"/>
      <c r="V601" s="4"/>
      <c r="X601" s="4"/>
      <c r="Y601" s="4"/>
      <c r="AA601" s="4"/>
      <c r="AB601" s="4"/>
      <c r="AC601" s="4"/>
      <c r="AD601" s="20"/>
    </row>
    <row r="602" spans="14:30" x14ac:dyDescent="0.25">
      <c r="N602" s="9"/>
      <c r="P602" s="33"/>
      <c r="Q602" s="4"/>
      <c r="R602" s="4"/>
      <c r="S602" s="4"/>
      <c r="T602" s="4"/>
      <c r="U602" s="4"/>
      <c r="V602" s="4"/>
      <c r="X602" s="4"/>
      <c r="Y602" s="4"/>
      <c r="AA602" s="4"/>
      <c r="AB602" s="4"/>
      <c r="AC602" s="4"/>
      <c r="AD602" s="20"/>
    </row>
    <row r="603" spans="14:30" x14ac:dyDescent="0.25">
      <c r="N603" s="9"/>
      <c r="P603" s="33"/>
      <c r="Q603" s="4"/>
      <c r="R603" s="4"/>
      <c r="S603" s="4"/>
      <c r="T603" s="4"/>
      <c r="U603" s="4"/>
      <c r="V603" s="4"/>
      <c r="X603" s="4"/>
      <c r="Y603" s="4"/>
      <c r="AA603" s="4"/>
      <c r="AB603" s="4"/>
      <c r="AC603" s="4"/>
      <c r="AD603" s="20"/>
    </row>
    <row r="604" spans="14:30" x14ac:dyDescent="0.25">
      <c r="N604" s="9"/>
      <c r="P604" s="33"/>
      <c r="Q604" s="4"/>
      <c r="R604" s="4"/>
      <c r="S604" s="4"/>
      <c r="T604" s="4"/>
      <c r="U604" s="4"/>
      <c r="V604" s="4"/>
      <c r="X604" s="4"/>
      <c r="Y604" s="4"/>
      <c r="AA604" s="4"/>
      <c r="AB604" s="4"/>
      <c r="AC604" s="4"/>
      <c r="AD604" s="20"/>
    </row>
    <row r="605" spans="14:30" x14ac:dyDescent="0.25">
      <c r="N605" s="9"/>
      <c r="P605" s="33"/>
      <c r="Q605" s="4"/>
      <c r="R605" s="4"/>
      <c r="S605" s="4"/>
      <c r="T605" s="4"/>
      <c r="U605" s="4"/>
      <c r="V605" s="4"/>
      <c r="X605" s="4"/>
      <c r="Y605" s="4"/>
      <c r="AA605" s="4"/>
      <c r="AB605" s="4"/>
      <c r="AC605" s="4"/>
      <c r="AD605" s="20"/>
    </row>
    <row r="606" spans="14:30" x14ac:dyDescent="0.25">
      <c r="N606" s="9"/>
      <c r="P606" s="33"/>
      <c r="Q606" s="4"/>
      <c r="R606" s="4"/>
      <c r="S606" s="4"/>
      <c r="T606" s="4"/>
      <c r="U606" s="4"/>
      <c r="V606" s="4"/>
      <c r="X606" s="4"/>
      <c r="Y606" s="4"/>
      <c r="AA606" s="4"/>
      <c r="AB606" s="4"/>
      <c r="AC606" s="4"/>
      <c r="AD606" s="20"/>
    </row>
    <row r="607" spans="14:30" x14ac:dyDescent="0.25">
      <c r="N607" s="9"/>
      <c r="P607" s="33"/>
      <c r="Q607" s="4"/>
      <c r="R607" s="4"/>
      <c r="S607" s="4"/>
      <c r="T607" s="4"/>
      <c r="U607" s="4"/>
      <c r="V607" s="4"/>
      <c r="X607" s="4"/>
      <c r="Y607" s="4"/>
      <c r="AA607" s="4"/>
      <c r="AB607" s="4"/>
      <c r="AC607" s="4"/>
      <c r="AD607" s="20"/>
    </row>
    <row r="608" spans="14:30" x14ac:dyDescent="0.25">
      <c r="N608" s="9"/>
      <c r="P608" s="33"/>
      <c r="Q608" s="4"/>
      <c r="R608" s="4"/>
      <c r="S608" s="4"/>
      <c r="T608" s="4"/>
      <c r="U608" s="4"/>
      <c r="V608" s="4"/>
      <c r="X608" s="4"/>
      <c r="Y608" s="4"/>
      <c r="AA608" s="4"/>
      <c r="AB608" s="4"/>
      <c r="AC608" s="4"/>
      <c r="AD608" s="20"/>
    </row>
    <row r="609" spans="14:30" x14ac:dyDescent="0.25">
      <c r="N609" s="9"/>
      <c r="P609" s="33"/>
      <c r="Q609" s="4"/>
      <c r="R609" s="4"/>
      <c r="S609" s="4"/>
      <c r="T609" s="4"/>
      <c r="U609" s="4"/>
      <c r="V609" s="4"/>
      <c r="X609" s="4"/>
      <c r="Y609" s="4"/>
      <c r="AA609" s="4"/>
      <c r="AB609" s="4"/>
      <c r="AC609" s="4"/>
      <c r="AD609" s="20"/>
    </row>
    <row r="610" spans="14:30" x14ac:dyDescent="0.25">
      <c r="N610" s="9"/>
      <c r="P610" s="33"/>
      <c r="Q610" s="4"/>
      <c r="R610" s="4"/>
      <c r="S610" s="4"/>
      <c r="T610" s="4"/>
      <c r="U610" s="4"/>
      <c r="V610" s="4"/>
      <c r="X610" s="4"/>
      <c r="Y610" s="4"/>
      <c r="AA610" s="4"/>
      <c r="AB610" s="4"/>
      <c r="AC610" s="4"/>
      <c r="AD610" s="20"/>
    </row>
    <row r="611" spans="14:30" x14ac:dyDescent="0.25">
      <c r="N611" s="9"/>
      <c r="P611" s="33"/>
      <c r="Q611" s="4"/>
      <c r="R611" s="4"/>
      <c r="S611" s="4"/>
      <c r="T611" s="4"/>
      <c r="U611" s="4"/>
      <c r="V611" s="4"/>
      <c r="X611" s="4"/>
      <c r="Y611" s="4"/>
      <c r="AA611" s="4"/>
      <c r="AB611" s="4"/>
      <c r="AC611" s="4"/>
      <c r="AD611" s="20"/>
    </row>
    <row r="612" spans="14:30" x14ac:dyDescent="0.25">
      <c r="N612" s="9"/>
      <c r="P612" s="33"/>
      <c r="Q612" s="4"/>
      <c r="R612" s="4"/>
      <c r="S612" s="4"/>
      <c r="T612" s="4"/>
      <c r="U612" s="4"/>
      <c r="V612" s="4"/>
      <c r="X612" s="4"/>
      <c r="Y612" s="4"/>
      <c r="AA612" s="4"/>
      <c r="AB612" s="4"/>
      <c r="AC612" s="4"/>
      <c r="AD612" s="20"/>
    </row>
    <row r="613" spans="14:30" x14ac:dyDescent="0.25">
      <c r="N613" s="9"/>
      <c r="P613" s="33"/>
      <c r="Q613" s="4"/>
      <c r="R613" s="4"/>
      <c r="S613" s="4"/>
      <c r="T613" s="4"/>
      <c r="U613" s="4"/>
      <c r="V613" s="4"/>
      <c r="X613" s="4"/>
      <c r="Y613" s="4"/>
      <c r="AA613" s="4"/>
      <c r="AB613" s="4"/>
      <c r="AC613" s="4"/>
      <c r="AD613" s="20"/>
    </row>
    <row r="614" spans="14:30" x14ac:dyDescent="0.25">
      <c r="N614" s="9"/>
      <c r="P614" s="33"/>
      <c r="Q614" s="4"/>
      <c r="R614" s="4"/>
      <c r="S614" s="4"/>
      <c r="T614" s="4"/>
      <c r="U614" s="4"/>
      <c r="V614" s="4"/>
      <c r="X614" s="4"/>
      <c r="Y614" s="4"/>
      <c r="AA614" s="4"/>
      <c r="AB614" s="4"/>
      <c r="AC614" s="4"/>
      <c r="AD614" s="20"/>
    </row>
    <row r="615" spans="14:30" x14ac:dyDescent="0.25">
      <c r="N615" s="9"/>
      <c r="P615" s="33"/>
      <c r="Q615" s="4"/>
      <c r="R615" s="4"/>
      <c r="S615" s="4"/>
      <c r="T615" s="4"/>
      <c r="U615" s="4"/>
      <c r="V615" s="4"/>
      <c r="X615" s="4"/>
      <c r="Y615" s="4"/>
      <c r="AA615" s="4"/>
      <c r="AB615" s="4"/>
      <c r="AC615" s="4"/>
      <c r="AD615" s="20"/>
    </row>
    <row r="616" spans="14:30" x14ac:dyDescent="0.25">
      <c r="N616" s="9"/>
      <c r="P616" s="33"/>
      <c r="Q616" s="4"/>
      <c r="R616" s="4"/>
      <c r="S616" s="4"/>
      <c r="T616" s="4"/>
      <c r="U616" s="4"/>
      <c r="V616" s="4"/>
      <c r="X616" s="4"/>
      <c r="Y616" s="4"/>
      <c r="AA616" s="4"/>
      <c r="AB616" s="4"/>
      <c r="AC616" s="4"/>
      <c r="AD616" s="20"/>
    </row>
    <row r="617" spans="14:30" x14ac:dyDescent="0.25">
      <c r="N617" s="9"/>
      <c r="P617" s="33"/>
      <c r="Q617" s="4"/>
      <c r="R617" s="4"/>
      <c r="S617" s="4"/>
      <c r="T617" s="4"/>
      <c r="U617" s="4"/>
      <c r="V617" s="4"/>
      <c r="X617" s="4"/>
      <c r="Y617" s="4"/>
      <c r="AA617" s="4"/>
      <c r="AB617" s="4"/>
      <c r="AC617" s="4"/>
      <c r="AD617" s="20"/>
    </row>
    <row r="618" spans="14:30" x14ac:dyDescent="0.25">
      <c r="N618" s="9"/>
      <c r="P618" s="33"/>
      <c r="Q618" s="4"/>
      <c r="R618" s="4"/>
      <c r="S618" s="4"/>
      <c r="T618" s="4"/>
      <c r="U618" s="4"/>
      <c r="V618" s="4"/>
      <c r="X618" s="4"/>
      <c r="Y618" s="4"/>
      <c r="AA618" s="4"/>
      <c r="AB618" s="4"/>
      <c r="AC618" s="4"/>
      <c r="AD618" s="20"/>
    </row>
    <row r="619" spans="14:30" x14ac:dyDescent="0.25">
      <c r="N619" s="9"/>
      <c r="P619" s="33"/>
      <c r="Q619" s="4"/>
      <c r="R619" s="4"/>
      <c r="S619" s="4"/>
      <c r="T619" s="4"/>
      <c r="U619" s="4"/>
      <c r="V619" s="4"/>
      <c r="X619" s="4"/>
      <c r="Y619" s="4"/>
      <c r="AA619" s="4"/>
      <c r="AB619" s="4"/>
      <c r="AC619" s="4"/>
      <c r="AD619" s="20"/>
    </row>
    <row r="620" spans="14:30" x14ac:dyDescent="0.25">
      <c r="N620" s="9"/>
      <c r="P620" s="33"/>
      <c r="Q620" s="4"/>
      <c r="R620" s="4"/>
      <c r="S620" s="4"/>
      <c r="T620" s="4"/>
      <c r="U620" s="4"/>
      <c r="V620" s="4"/>
      <c r="X620" s="4"/>
      <c r="Y620" s="4"/>
      <c r="AA620" s="4"/>
      <c r="AB620" s="4"/>
      <c r="AC620" s="4"/>
      <c r="AD620" s="20"/>
    </row>
    <row r="621" spans="14:30" x14ac:dyDescent="0.25">
      <c r="N621" s="9"/>
      <c r="P621" s="33"/>
      <c r="Q621" s="4"/>
      <c r="R621" s="4"/>
      <c r="S621" s="4"/>
      <c r="T621" s="4"/>
      <c r="U621" s="4"/>
      <c r="V621" s="4"/>
      <c r="X621" s="4"/>
      <c r="Y621" s="4"/>
      <c r="AA621" s="4"/>
      <c r="AB621" s="4"/>
      <c r="AC621" s="4"/>
      <c r="AD621" s="20"/>
    </row>
    <row r="622" spans="14:30" x14ac:dyDescent="0.25">
      <c r="N622" s="9"/>
      <c r="P622" s="33"/>
      <c r="Q622" s="4"/>
      <c r="R622" s="4"/>
      <c r="S622" s="4"/>
      <c r="T622" s="4"/>
      <c r="U622" s="4"/>
      <c r="V622" s="4"/>
      <c r="X622" s="4"/>
      <c r="Y622" s="4"/>
      <c r="AA622" s="4"/>
      <c r="AB622" s="4"/>
      <c r="AC622" s="4"/>
      <c r="AD622" s="20"/>
    </row>
    <row r="623" spans="14:30" x14ac:dyDescent="0.25">
      <c r="N623" s="9"/>
      <c r="P623" s="33"/>
      <c r="Q623" s="4"/>
      <c r="R623" s="4"/>
      <c r="S623" s="4"/>
      <c r="T623" s="4"/>
      <c r="U623" s="4"/>
      <c r="V623" s="4"/>
      <c r="X623" s="4"/>
      <c r="Y623" s="4"/>
      <c r="AA623" s="4"/>
      <c r="AB623" s="4"/>
      <c r="AC623" s="4"/>
      <c r="AD623" s="20"/>
    </row>
    <row r="624" spans="14:30" x14ac:dyDescent="0.25">
      <c r="N624" s="9"/>
      <c r="P624" s="33"/>
      <c r="Q624" s="4"/>
      <c r="R624" s="4"/>
      <c r="S624" s="4"/>
      <c r="T624" s="4"/>
      <c r="U624" s="4"/>
      <c r="V624" s="4"/>
      <c r="X624" s="4"/>
      <c r="Y624" s="4"/>
      <c r="AA624" s="4"/>
      <c r="AB624" s="4"/>
      <c r="AC624" s="4"/>
      <c r="AD624" s="20"/>
    </row>
    <row r="625" spans="14:30" x14ac:dyDescent="0.25">
      <c r="N625" s="9"/>
      <c r="P625" s="33"/>
      <c r="Q625" s="4"/>
      <c r="R625" s="4"/>
      <c r="S625" s="4"/>
      <c r="T625" s="4"/>
      <c r="U625" s="4"/>
      <c r="V625" s="4"/>
      <c r="X625" s="4"/>
      <c r="Y625" s="4"/>
      <c r="AA625" s="4"/>
      <c r="AB625" s="4"/>
      <c r="AC625" s="4"/>
      <c r="AD625" s="20"/>
    </row>
    <row r="626" spans="14:30" x14ac:dyDescent="0.25">
      <c r="N626" s="9"/>
      <c r="P626" s="33"/>
      <c r="Q626" s="4"/>
      <c r="R626" s="4"/>
      <c r="S626" s="4"/>
      <c r="T626" s="4"/>
      <c r="U626" s="4"/>
      <c r="V626" s="4"/>
      <c r="X626" s="4"/>
      <c r="Y626" s="4"/>
      <c r="AA626" s="4"/>
      <c r="AB626" s="4"/>
      <c r="AC626" s="4"/>
      <c r="AD626" s="20"/>
    </row>
    <row r="627" spans="14:30" x14ac:dyDescent="0.25">
      <c r="N627" s="9"/>
      <c r="P627" s="33"/>
      <c r="Q627" s="4"/>
      <c r="R627" s="4"/>
      <c r="S627" s="4"/>
      <c r="T627" s="4"/>
      <c r="U627" s="4"/>
      <c r="V627" s="4"/>
      <c r="X627" s="4"/>
      <c r="Y627" s="4"/>
      <c r="AA627" s="4"/>
      <c r="AB627" s="4"/>
      <c r="AC627" s="4"/>
      <c r="AD627" s="20"/>
    </row>
    <row r="628" spans="14:30" x14ac:dyDescent="0.25">
      <c r="N628" s="9"/>
      <c r="P628" s="33"/>
      <c r="Q628" s="4"/>
      <c r="R628" s="4"/>
      <c r="S628" s="4"/>
      <c r="T628" s="4"/>
      <c r="U628" s="4"/>
      <c r="V628" s="4"/>
      <c r="X628" s="4"/>
      <c r="Y628" s="4"/>
      <c r="AA628" s="4"/>
      <c r="AB628" s="4"/>
      <c r="AC628" s="4"/>
      <c r="AD628" s="20"/>
    </row>
    <row r="629" spans="14:30" x14ac:dyDescent="0.25">
      <c r="N629" s="9"/>
      <c r="P629" s="33"/>
      <c r="Q629" s="4"/>
      <c r="R629" s="4"/>
      <c r="S629" s="4"/>
      <c r="T629" s="4"/>
      <c r="U629" s="4"/>
      <c r="V629" s="4"/>
      <c r="X629" s="4"/>
      <c r="Y629" s="4"/>
      <c r="AA629" s="4"/>
      <c r="AB629" s="4"/>
      <c r="AC629" s="4"/>
      <c r="AD629" s="20"/>
    </row>
    <row r="630" spans="14:30" x14ac:dyDescent="0.25">
      <c r="N630" s="9"/>
      <c r="P630" s="33"/>
      <c r="Q630" s="4"/>
      <c r="R630" s="4"/>
      <c r="S630" s="4"/>
      <c r="T630" s="4"/>
      <c r="U630" s="4"/>
      <c r="V630" s="4"/>
      <c r="X630" s="4"/>
      <c r="Y630" s="4"/>
      <c r="AA630" s="4"/>
      <c r="AB630" s="4"/>
      <c r="AC630" s="4"/>
      <c r="AD630" s="20"/>
    </row>
    <row r="631" spans="14:30" x14ac:dyDescent="0.25">
      <c r="N631" s="9"/>
      <c r="P631" s="33"/>
      <c r="Q631" s="4"/>
      <c r="R631" s="4"/>
      <c r="S631" s="4"/>
      <c r="T631" s="4"/>
      <c r="U631" s="4"/>
      <c r="V631" s="4"/>
      <c r="X631" s="4"/>
      <c r="Y631" s="4"/>
      <c r="AA631" s="4"/>
      <c r="AB631" s="4"/>
      <c r="AC631" s="4"/>
      <c r="AD631" s="20"/>
    </row>
    <row r="632" spans="14:30" x14ac:dyDescent="0.25">
      <c r="N632" s="9"/>
      <c r="P632" s="33"/>
      <c r="Q632" s="4"/>
      <c r="R632" s="4"/>
      <c r="S632" s="4"/>
      <c r="T632" s="4"/>
      <c r="U632" s="4"/>
      <c r="V632" s="4"/>
      <c r="X632" s="4"/>
      <c r="Y632" s="4"/>
      <c r="AA632" s="4"/>
      <c r="AB632" s="4"/>
      <c r="AC632" s="4"/>
      <c r="AD632" s="20"/>
    </row>
    <row r="633" spans="14:30" x14ac:dyDescent="0.25">
      <c r="N633" s="9"/>
      <c r="P633" s="33"/>
      <c r="Q633" s="4"/>
      <c r="R633" s="4"/>
      <c r="S633" s="4"/>
      <c r="T633" s="4"/>
      <c r="U633" s="4"/>
      <c r="V633" s="4"/>
      <c r="X633" s="4"/>
      <c r="Y633" s="4"/>
      <c r="AA633" s="4"/>
      <c r="AB633" s="4"/>
      <c r="AC633" s="4"/>
      <c r="AD633" s="20"/>
    </row>
    <row r="634" spans="14:30" x14ac:dyDescent="0.25">
      <c r="N634" s="9"/>
      <c r="P634" s="33"/>
      <c r="Q634" s="4"/>
      <c r="R634" s="4"/>
      <c r="S634" s="4"/>
      <c r="T634" s="4"/>
      <c r="U634" s="4"/>
      <c r="V634" s="4"/>
      <c r="X634" s="4"/>
      <c r="Y634" s="4"/>
      <c r="AA634" s="4"/>
      <c r="AB634" s="4"/>
      <c r="AC634" s="4"/>
      <c r="AD634" s="20"/>
    </row>
    <row r="635" spans="14:30" x14ac:dyDescent="0.25">
      <c r="N635" s="9"/>
      <c r="P635" s="33"/>
      <c r="Q635" s="4"/>
      <c r="R635" s="4"/>
      <c r="S635" s="4"/>
      <c r="T635" s="4"/>
      <c r="U635" s="4"/>
      <c r="V635" s="4"/>
      <c r="X635" s="4"/>
      <c r="Y635" s="4"/>
      <c r="AA635" s="4"/>
      <c r="AB635" s="4"/>
      <c r="AC635" s="4"/>
      <c r="AD635" s="20"/>
    </row>
    <row r="636" spans="14:30" x14ac:dyDescent="0.25">
      <c r="N636" s="9"/>
      <c r="P636" s="33"/>
      <c r="Q636" s="4"/>
      <c r="R636" s="4"/>
      <c r="S636" s="4"/>
      <c r="T636" s="4"/>
      <c r="U636" s="4"/>
      <c r="V636" s="4"/>
      <c r="X636" s="4"/>
      <c r="Y636" s="4"/>
      <c r="AA636" s="4"/>
      <c r="AB636" s="4"/>
      <c r="AC636" s="4"/>
      <c r="AD636" s="20"/>
    </row>
    <row r="637" spans="14:30" x14ac:dyDescent="0.25">
      <c r="N637" s="9"/>
      <c r="P637" s="33"/>
      <c r="Q637" s="4"/>
      <c r="R637" s="4"/>
      <c r="S637" s="4"/>
      <c r="T637" s="4"/>
      <c r="U637" s="4"/>
      <c r="V637" s="4"/>
      <c r="X637" s="4"/>
      <c r="Y637" s="4"/>
      <c r="AA637" s="4"/>
      <c r="AB637" s="4"/>
      <c r="AC637" s="4"/>
      <c r="AD637" s="20"/>
    </row>
    <row r="638" spans="14:30" x14ac:dyDescent="0.25">
      <c r="N638" s="9"/>
      <c r="P638" s="33"/>
      <c r="Q638" s="4"/>
      <c r="R638" s="4"/>
      <c r="S638" s="4"/>
      <c r="T638" s="4"/>
      <c r="U638" s="4"/>
      <c r="V638" s="4"/>
      <c r="X638" s="4"/>
      <c r="Y638" s="4"/>
      <c r="AA638" s="4"/>
      <c r="AB638" s="4"/>
      <c r="AC638" s="4"/>
      <c r="AD638" s="20"/>
    </row>
    <row r="639" spans="14:30" x14ac:dyDescent="0.25">
      <c r="N639" s="9"/>
      <c r="P639" s="33"/>
      <c r="Q639" s="4"/>
      <c r="R639" s="4"/>
      <c r="S639" s="4"/>
      <c r="T639" s="4"/>
      <c r="U639" s="4"/>
      <c r="V639" s="4"/>
      <c r="X639" s="4"/>
      <c r="Y639" s="4"/>
      <c r="AA639" s="4"/>
      <c r="AB639" s="4"/>
      <c r="AC639" s="4"/>
      <c r="AD639" s="20"/>
    </row>
    <row r="640" spans="14:30" x14ac:dyDescent="0.25">
      <c r="N640" s="9"/>
      <c r="P640" s="33"/>
      <c r="Q640" s="4"/>
      <c r="R640" s="4"/>
      <c r="S640" s="4"/>
      <c r="T640" s="4"/>
      <c r="U640" s="4"/>
      <c r="V640" s="4"/>
      <c r="X640" s="4"/>
      <c r="Y640" s="4"/>
      <c r="AA640" s="4"/>
      <c r="AB640" s="4"/>
      <c r="AC640" s="4"/>
      <c r="AD640" s="20"/>
    </row>
    <row r="641" spans="14:30" x14ac:dyDescent="0.25">
      <c r="N641" s="9"/>
      <c r="P641" s="33"/>
      <c r="Q641" s="4"/>
      <c r="R641" s="4"/>
      <c r="S641" s="4"/>
      <c r="T641" s="4"/>
      <c r="U641" s="4"/>
      <c r="V641" s="4"/>
      <c r="X641" s="4"/>
      <c r="Y641" s="4"/>
      <c r="AA641" s="4"/>
      <c r="AB641" s="4"/>
      <c r="AC641" s="4"/>
      <c r="AD641" s="20"/>
    </row>
    <row r="642" spans="14:30" x14ac:dyDescent="0.25">
      <c r="N642" s="9"/>
      <c r="P642" s="33"/>
      <c r="Q642" s="4"/>
      <c r="R642" s="4"/>
      <c r="S642" s="4"/>
      <c r="T642" s="4"/>
      <c r="U642" s="4"/>
      <c r="V642" s="4"/>
      <c r="X642" s="4"/>
      <c r="Y642" s="4"/>
      <c r="AA642" s="4"/>
      <c r="AB642" s="4"/>
      <c r="AC642" s="4"/>
      <c r="AD642" s="20"/>
    </row>
    <row r="643" spans="14:30" x14ac:dyDescent="0.25">
      <c r="N643" s="9"/>
      <c r="P643" s="33"/>
      <c r="Q643" s="4"/>
      <c r="R643" s="4"/>
      <c r="S643" s="4"/>
      <c r="T643" s="4"/>
      <c r="U643" s="4"/>
      <c r="V643" s="4"/>
      <c r="X643" s="4"/>
      <c r="Y643" s="4"/>
      <c r="AA643" s="4"/>
      <c r="AB643" s="4"/>
      <c r="AC643" s="4"/>
      <c r="AD643" s="20"/>
    </row>
    <row r="644" spans="14:30" x14ac:dyDescent="0.25">
      <c r="N644" s="9"/>
      <c r="P644" s="33"/>
      <c r="Q644" s="4"/>
      <c r="R644" s="4"/>
      <c r="S644" s="4"/>
      <c r="T644" s="4"/>
      <c r="U644" s="4"/>
      <c r="V644" s="4"/>
      <c r="X644" s="4"/>
      <c r="Y644" s="4"/>
      <c r="AA644" s="4"/>
      <c r="AB644" s="4"/>
      <c r="AC644" s="4"/>
      <c r="AD644" s="20"/>
    </row>
    <row r="645" spans="14:30" x14ac:dyDescent="0.25">
      <c r="N645" s="9"/>
      <c r="P645" s="33"/>
      <c r="Q645" s="4"/>
      <c r="R645" s="4"/>
      <c r="S645" s="4"/>
      <c r="T645" s="4"/>
      <c r="U645" s="4"/>
      <c r="V645" s="4"/>
      <c r="X645" s="4"/>
      <c r="Y645" s="4"/>
      <c r="AA645" s="4"/>
      <c r="AB645" s="4"/>
      <c r="AC645" s="4"/>
      <c r="AD645" s="20"/>
    </row>
    <row r="646" spans="14:30" x14ac:dyDescent="0.25">
      <c r="N646" s="9"/>
      <c r="P646" s="33"/>
      <c r="Q646" s="4"/>
      <c r="R646" s="4"/>
      <c r="S646" s="4"/>
      <c r="T646" s="4"/>
      <c r="U646" s="4"/>
      <c r="V646" s="4"/>
      <c r="X646" s="4"/>
      <c r="Y646" s="4"/>
      <c r="AA646" s="4"/>
      <c r="AB646" s="4"/>
      <c r="AC646" s="4"/>
      <c r="AD646" s="20"/>
    </row>
    <row r="647" spans="14:30" x14ac:dyDescent="0.25">
      <c r="N647" s="9"/>
      <c r="P647" s="33"/>
      <c r="Q647" s="4"/>
      <c r="R647" s="4"/>
      <c r="S647" s="4"/>
      <c r="T647" s="4"/>
      <c r="U647" s="4"/>
      <c r="V647" s="4"/>
      <c r="X647" s="4"/>
      <c r="Y647" s="4"/>
      <c r="AA647" s="4"/>
      <c r="AB647" s="4"/>
      <c r="AC647" s="4"/>
      <c r="AD647" s="20"/>
    </row>
    <row r="648" spans="14:30" x14ac:dyDescent="0.25">
      <c r="N648" s="9"/>
      <c r="P648" s="33"/>
      <c r="Q648" s="4"/>
      <c r="R648" s="4"/>
      <c r="S648" s="4"/>
      <c r="T648" s="4"/>
      <c r="U648" s="4"/>
      <c r="V648" s="4"/>
      <c r="X648" s="4"/>
      <c r="Y648" s="4"/>
      <c r="AA648" s="4"/>
      <c r="AB648" s="4"/>
      <c r="AC648" s="4"/>
      <c r="AD648" s="20"/>
    </row>
    <row r="649" spans="14:30" x14ac:dyDescent="0.25">
      <c r="N649" s="9"/>
      <c r="P649" s="33"/>
      <c r="Q649" s="4"/>
      <c r="R649" s="4"/>
      <c r="S649" s="4"/>
      <c r="T649" s="4"/>
      <c r="U649" s="4"/>
      <c r="V649" s="4"/>
      <c r="X649" s="4"/>
      <c r="Y649" s="4"/>
      <c r="AA649" s="4"/>
      <c r="AB649" s="4"/>
      <c r="AC649" s="4"/>
      <c r="AD649" s="20"/>
    </row>
    <row r="650" spans="14:30" x14ac:dyDescent="0.25">
      <c r="N650" s="9"/>
      <c r="P650" s="33"/>
      <c r="Q650" s="4"/>
      <c r="R650" s="4"/>
      <c r="S650" s="4"/>
      <c r="T650" s="4"/>
      <c r="U650" s="4"/>
      <c r="V650" s="4"/>
      <c r="X650" s="4"/>
      <c r="Y650" s="4"/>
      <c r="AA650" s="4"/>
      <c r="AB650" s="4"/>
      <c r="AC650" s="4"/>
      <c r="AD650" s="20"/>
    </row>
    <row r="651" spans="14:30" x14ac:dyDescent="0.25">
      <c r="N651" s="9"/>
      <c r="P651" s="33"/>
      <c r="Q651" s="4"/>
      <c r="R651" s="4"/>
      <c r="S651" s="4"/>
      <c r="T651" s="4"/>
      <c r="U651" s="4"/>
      <c r="V651" s="4"/>
      <c r="X651" s="4"/>
      <c r="Y651" s="4"/>
      <c r="AA651" s="4"/>
      <c r="AB651" s="4"/>
      <c r="AC651" s="4"/>
      <c r="AD651" s="20"/>
    </row>
    <row r="652" spans="14:30" x14ac:dyDescent="0.25">
      <c r="N652" s="9"/>
      <c r="P652" s="33"/>
      <c r="Q652" s="4"/>
      <c r="R652" s="4"/>
      <c r="S652" s="4"/>
      <c r="T652" s="4"/>
      <c r="U652" s="4"/>
      <c r="V652" s="4"/>
      <c r="X652" s="4"/>
      <c r="Y652" s="4"/>
      <c r="AA652" s="4"/>
      <c r="AB652" s="4"/>
      <c r="AC652" s="4"/>
      <c r="AD652" s="20"/>
    </row>
    <row r="653" spans="14:30" x14ac:dyDescent="0.25">
      <c r="N653" s="9"/>
      <c r="P653" s="33"/>
      <c r="Q653" s="4"/>
      <c r="R653" s="4"/>
      <c r="S653" s="4"/>
      <c r="T653" s="4"/>
      <c r="U653" s="4"/>
      <c r="V653" s="4"/>
      <c r="X653" s="4"/>
      <c r="Y653" s="4"/>
      <c r="AA653" s="4"/>
      <c r="AB653" s="4"/>
      <c r="AC653" s="4"/>
      <c r="AD653" s="20"/>
    </row>
    <row r="654" spans="14:30" x14ac:dyDescent="0.25">
      <c r="N654" s="9"/>
      <c r="P654" s="33"/>
      <c r="Q654" s="4"/>
      <c r="R654" s="4"/>
      <c r="S654" s="4"/>
      <c r="T654" s="4"/>
      <c r="U654" s="4"/>
      <c r="V654" s="4"/>
      <c r="X654" s="4"/>
      <c r="Y654" s="4"/>
      <c r="AA654" s="4"/>
      <c r="AB654" s="4"/>
      <c r="AC654" s="4"/>
      <c r="AD654" s="20"/>
    </row>
    <row r="655" spans="14:30" x14ac:dyDescent="0.25">
      <c r="N655" s="9"/>
      <c r="P655" s="33"/>
      <c r="Q655" s="4"/>
      <c r="R655" s="4"/>
      <c r="S655" s="4"/>
      <c r="T655" s="4"/>
      <c r="U655" s="4"/>
      <c r="V655" s="4"/>
      <c r="X655" s="4"/>
      <c r="Y655" s="4"/>
      <c r="AA655" s="4"/>
      <c r="AB655" s="4"/>
      <c r="AC655" s="4"/>
      <c r="AD655" s="20"/>
    </row>
    <row r="656" spans="14:30" x14ac:dyDescent="0.25">
      <c r="N656" s="9"/>
      <c r="P656" s="33"/>
      <c r="Q656" s="4"/>
      <c r="R656" s="4"/>
      <c r="S656" s="4"/>
      <c r="T656" s="4"/>
      <c r="U656" s="4"/>
      <c r="V656" s="4"/>
      <c r="X656" s="4"/>
      <c r="Y656" s="4"/>
      <c r="AA656" s="4"/>
      <c r="AB656" s="4"/>
      <c r="AC656" s="4"/>
      <c r="AD656" s="20"/>
    </row>
    <row r="657" spans="14:30" x14ac:dyDescent="0.25">
      <c r="N657" s="9"/>
      <c r="P657" s="33"/>
      <c r="Q657" s="4"/>
      <c r="R657" s="4"/>
      <c r="S657" s="4"/>
      <c r="T657" s="4"/>
      <c r="U657" s="4"/>
      <c r="V657" s="4"/>
      <c r="X657" s="4"/>
      <c r="Y657" s="4"/>
      <c r="AA657" s="4"/>
      <c r="AB657" s="4"/>
      <c r="AC657" s="4"/>
      <c r="AD657" s="20"/>
    </row>
    <row r="658" spans="14:30" x14ac:dyDescent="0.25">
      <c r="N658" s="9"/>
      <c r="P658" s="33"/>
      <c r="Q658" s="4"/>
      <c r="R658" s="4"/>
      <c r="S658" s="4"/>
      <c r="T658" s="4"/>
      <c r="U658" s="4"/>
      <c r="V658" s="4"/>
      <c r="X658" s="4"/>
      <c r="Y658" s="4"/>
      <c r="AA658" s="4"/>
      <c r="AB658" s="4"/>
      <c r="AC658" s="4"/>
      <c r="AD658" s="20"/>
    </row>
    <row r="659" spans="14:30" x14ac:dyDescent="0.25">
      <c r="N659" s="9"/>
      <c r="P659" s="33"/>
      <c r="Q659" s="4"/>
      <c r="R659" s="4"/>
      <c r="S659" s="4"/>
      <c r="T659" s="4"/>
      <c r="U659" s="4"/>
      <c r="V659" s="4"/>
      <c r="X659" s="4"/>
      <c r="Y659" s="4"/>
      <c r="AA659" s="4"/>
      <c r="AB659" s="4"/>
      <c r="AC659" s="4"/>
      <c r="AD659" s="20"/>
    </row>
    <row r="660" spans="14:30" x14ac:dyDescent="0.25">
      <c r="N660" s="9"/>
      <c r="P660" s="33"/>
      <c r="Q660" s="4"/>
      <c r="R660" s="4"/>
      <c r="S660" s="4"/>
      <c r="T660" s="4"/>
      <c r="U660" s="4"/>
      <c r="V660" s="4"/>
      <c r="X660" s="4"/>
      <c r="Y660" s="4"/>
      <c r="AA660" s="4"/>
      <c r="AB660" s="4"/>
      <c r="AC660" s="4"/>
      <c r="AD660" s="20"/>
    </row>
    <row r="661" spans="14:30" x14ac:dyDescent="0.25">
      <c r="N661" s="9"/>
      <c r="P661" s="33"/>
      <c r="Q661" s="4"/>
      <c r="R661" s="4"/>
      <c r="S661" s="4"/>
      <c r="T661" s="4"/>
      <c r="U661" s="4"/>
      <c r="V661" s="4"/>
      <c r="X661" s="4"/>
      <c r="Y661" s="4"/>
      <c r="AA661" s="4"/>
      <c r="AB661" s="4"/>
      <c r="AC661" s="4"/>
      <c r="AD661" s="20"/>
    </row>
    <row r="662" spans="14:30" x14ac:dyDescent="0.25">
      <c r="N662" s="9"/>
      <c r="P662" s="33"/>
      <c r="Q662" s="4"/>
      <c r="R662" s="4"/>
      <c r="S662" s="4"/>
      <c r="T662" s="4"/>
      <c r="U662" s="4"/>
      <c r="V662" s="4"/>
      <c r="X662" s="4"/>
      <c r="Y662" s="4"/>
      <c r="AA662" s="4"/>
      <c r="AB662" s="4"/>
      <c r="AC662" s="4"/>
      <c r="AD662" s="20"/>
    </row>
    <row r="663" spans="14:30" x14ac:dyDescent="0.25">
      <c r="N663" s="9"/>
      <c r="P663" s="33"/>
      <c r="Q663" s="4"/>
      <c r="R663" s="4"/>
      <c r="S663" s="4"/>
      <c r="T663" s="4"/>
      <c r="U663" s="4"/>
      <c r="V663" s="4"/>
      <c r="X663" s="4"/>
      <c r="Y663" s="4"/>
      <c r="AA663" s="4"/>
      <c r="AB663" s="4"/>
      <c r="AC663" s="4"/>
      <c r="AD663" s="20"/>
    </row>
    <row r="664" spans="14:30" x14ac:dyDescent="0.25">
      <c r="N664" s="9"/>
      <c r="P664" s="33"/>
      <c r="Q664" s="4"/>
      <c r="R664" s="4"/>
      <c r="S664" s="4"/>
      <c r="T664" s="4"/>
      <c r="U664" s="4"/>
      <c r="V664" s="4"/>
      <c r="X664" s="4"/>
      <c r="Y664" s="4"/>
      <c r="AA664" s="4"/>
      <c r="AB664" s="4"/>
      <c r="AC664" s="4"/>
      <c r="AD664" s="20"/>
    </row>
    <row r="665" spans="14:30" x14ac:dyDescent="0.25">
      <c r="N665" s="9"/>
      <c r="P665" s="33"/>
      <c r="Q665" s="4"/>
      <c r="R665" s="4"/>
      <c r="S665" s="4"/>
      <c r="T665" s="4"/>
      <c r="U665" s="4"/>
      <c r="V665" s="4"/>
      <c r="X665" s="4"/>
      <c r="Y665" s="4"/>
      <c r="AA665" s="4"/>
      <c r="AB665" s="4"/>
      <c r="AC665" s="4"/>
      <c r="AD665" s="20"/>
    </row>
    <row r="666" spans="14:30" x14ac:dyDescent="0.25">
      <c r="N666" s="9"/>
      <c r="P666" s="33"/>
      <c r="Q666" s="4"/>
      <c r="R666" s="4"/>
      <c r="S666" s="4"/>
      <c r="T666" s="4"/>
      <c r="U666" s="4"/>
      <c r="V666" s="4"/>
      <c r="X666" s="4"/>
      <c r="Y666" s="4"/>
      <c r="AA666" s="4"/>
      <c r="AB666" s="4"/>
      <c r="AC666" s="4"/>
      <c r="AD666" s="20"/>
    </row>
    <row r="667" spans="14:30" x14ac:dyDescent="0.25">
      <c r="N667" s="9"/>
      <c r="P667" s="33"/>
      <c r="Q667" s="4"/>
      <c r="R667" s="4"/>
      <c r="S667" s="4"/>
      <c r="T667" s="4"/>
      <c r="U667" s="4"/>
      <c r="V667" s="4"/>
      <c r="X667" s="4"/>
      <c r="Y667" s="4"/>
      <c r="AA667" s="4"/>
      <c r="AB667" s="4"/>
      <c r="AC667" s="4"/>
      <c r="AD667" s="20"/>
    </row>
    <row r="668" spans="14:30" x14ac:dyDescent="0.25">
      <c r="N668" s="9"/>
      <c r="P668" s="33"/>
      <c r="Q668" s="4"/>
      <c r="R668" s="4"/>
      <c r="S668" s="4"/>
      <c r="T668" s="4"/>
      <c r="U668" s="4"/>
      <c r="V668" s="4"/>
      <c r="X668" s="4"/>
      <c r="Y668" s="4"/>
      <c r="AA668" s="4"/>
      <c r="AB668" s="4"/>
      <c r="AC668" s="4"/>
      <c r="AD668" s="20"/>
    </row>
    <row r="669" spans="14:30" x14ac:dyDescent="0.25">
      <c r="N669" s="9"/>
      <c r="P669" s="33"/>
      <c r="Q669" s="4"/>
      <c r="R669" s="4"/>
      <c r="S669" s="4"/>
      <c r="T669" s="4"/>
      <c r="U669" s="4"/>
      <c r="V669" s="4"/>
      <c r="X669" s="4"/>
      <c r="Y669" s="4"/>
      <c r="AA669" s="4"/>
      <c r="AB669" s="4"/>
      <c r="AC669" s="4"/>
      <c r="AD669" s="20"/>
    </row>
    <row r="670" spans="14:30" x14ac:dyDescent="0.25">
      <c r="N670" s="9"/>
      <c r="P670" s="33"/>
      <c r="Q670" s="4"/>
      <c r="R670" s="4"/>
      <c r="S670" s="4"/>
      <c r="T670" s="4"/>
      <c r="U670" s="4"/>
      <c r="V670" s="4"/>
      <c r="X670" s="4"/>
      <c r="Y670" s="4"/>
      <c r="AA670" s="4"/>
      <c r="AB670" s="4"/>
      <c r="AC670" s="4"/>
      <c r="AD670" s="20"/>
    </row>
    <row r="671" spans="14:30" x14ac:dyDescent="0.25">
      <c r="N671" s="9"/>
      <c r="P671" s="33"/>
      <c r="Q671" s="4"/>
      <c r="R671" s="4"/>
      <c r="S671" s="4"/>
      <c r="T671" s="4"/>
      <c r="U671" s="4"/>
      <c r="V671" s="4"/>
      <c r="X671" s="4"/>
      <c r="Y671" s="4"/>
      <c r="AA671" s="4"/>
      <c r="AB671" s="4"/>
      <c r="AC671" s="4"/>
      <c r="AD671" s="20"/>
    </row>
    <row r="672" spans="14:30" x14ac:dyDescent="0.25">
      <c r="N672" s="9"/>
      <c r="P672" s="33"/>
      <c r="Q672" s="4"/>
      <c r="R672" s="4"/>
      <c r="S672" s="4"/>
      <c r="T672" s="4"/>
      <c r="U672" s="4"/>
      <c r="V672" s="4"/>
      <c r="X672" s="4"/>
      <c r="Y672" s="4"/>
      <c r="AA672" s="4"/>
      <c r="AB672" s="4"/>
      <c r="AC672" s="4"/>
      <c r="AD672" s="20"/>
    </row>
    <row r="673" spans="14:30" x14ac:dyDescent="0.25">
      <c r="N673" s="9"/>
      <c r="P673" s="33"/>
      <c r="Q673" s="4"/>
      <c r="R673" s="4"/>
      <c r="S673" s="4"/>
      <c r="T673" s="4"/>
      <c r="U673" s="4"/>
      <c r="V673" s="4"/>
      <c r="X673" s="4"/>
      <c r="Y673" s="4"/>
      <c r="AA673" s="4"/>
      <c r="AB673" s="4"/>
      <c r="AC673" s="4"/>
      <c r="AD673" s="20"/>
    </row>
    <row r="674" spans="14:30" x14ac:dyDescent="0.25">
      <c r="N674" s="9"/>
      <c r="P674" s="33"/>
      <c r="Q674" s="4"/>
      <c r="R674" s="4"/>
      <c r="S674" s="4"/>
      <c r="T674" s="4"/>
      <c r="U674" s="4"/>
      <c r="V674" s="4"/>
      <c r="X674" s="4"/>
      <c r="Y674" s="4"/>
      <c r="AA674" s="4"/>
      <c r="AB674" s="4"/>
      <c r="AC674" s="4"/>
      <c r="AD674" s="20"/>
    </row>
    <row r="675" spans="14:30" x14ac:dyDescent="0.25">
      <c r="N675" s="9"/>
      <c r="P675" s="33"/>
      <c r="Q675" s="4"/>
      <c r="R675" s="4"/>
      <c r="S675" s="4"/>
      <c r="T675" s="4"/>
      <c r="U675" s="4"/>
      <c r="V675" s="4"/>
      <c r="X675" s="4"/>
      <c r="Y675" s="4"/>
      <c r="AA675" s="4"/>
      <c r="AB675" s="4"/>
      <c r="AC675" s="4"/>
      <c r="AD675" s="20"/>
    </row>
    <row r="676" spans="14:30" x14ac:dyDescent="0.25">
      <c r="N676" s="9"/>
      <c r="P676" s="33"/>
      <c r="Q676" s="4"/>
      <c r="R676" s="4"/>
      <c r="S676" s="4"/>
      <c r="T676" s="4"/>
      <c r="U676" s="4"/>
      <c r="V676" s="4"/>
      <c r="X676" s="4"/>
      <c r="Y676" s="4"/>
      <c r="AA676" s="4"/>
      <c r="AB676" s="4"/>
      <c r="AC676" s="4"/>
      <c r="AD676" s="20"/>
    </row>
    <row r="677" spans="14:30" x14ac:dyDescent="0.25">
      <c r="N677" s="9"/>
      <c r="P677" s="33"/>
      <c r="Q677" s="4"/>
      <c r="R677" s="4"/>
      <c r="S677" s="4"/>
      <c r="T677" s="4"/>
      <c r="U677" s="4"/>
      <c r="V677" s="4"/>
      <c r="X677" s="4"/>
      <c r="Y677" s="4"/>
      <c r="AA677" s="4"/>
      <c r="AB677" s="4"/>
      <c r="AC677" s="4"/>
      <c r="AD677" s="20"/>
    </row>
    <row r="678" spans="14:30" x14ac:dyDescent="0.25">
      <c r="N678" s="9"/>
      <c r="P678" s="33"/>
      <c r="Q678" s="4"/>
      <c r="R678" s="4"/>
      <c r="S678" s="4"/>
      <c r="T678" s="4"/>
      <c r="U678" s="4"/>
      <c r="V678" s="4"/>
      <c r="X678" s="4"/>
      <c r="Y678" s="4"/>
      <c r="AA678" s="4"/>
      <c r="AB678" s="4"/>
      <c r="AC678" s="4"/>
      <c r="AD678" s="20"/>
    </row>
    <row r="679" spans="14:30" x14ac:dyDescent="0.25">
      <c r="N679" s="9"/>
      <c r="P679" s="33"/>
      <c r="Q679" s="4"/>
      <c r="R679" s="4"/>
      <c r="S679" s="4"/>
      <c r="T679" s="4"/>
      <c r="U679" s="4"/>
      <c r="V679" s="4"/>
      <c r="X679" s="4"/>
      <c r="Y679" s="4"/>
      <c r="AA679" s="4"/>
      <c r="AB679" s="4"/>
      <c r="AC679" s="4"/>
      <c r="AD679" s="20"/>
    </row>
    <row r="680" spans="14:30" x14ac:dyDescent="0.25">
      <c r="N680" s="9"/>
      <c r="P680" s="33"/>
      <c r="Q680" s="4"/>
      <c r="R680" s="4"/>
      <c r="S680" s="4"/>
      <c r="T680" s="4"/>
      <c r="U680" s="4"/>
      <c r="V680" s="4"/>
      <c r="X680" s="4"/>
      <c r="Y680" s="4"/>
      <c r="AA680" s="4"/>
      <c r="AB680" s="4"/>
      <c r="AC680" s="4"/>
      <c r="AD680" s="20"/>
    </row>
    <row r="681" spans="14:30" x14ac:dyDescent="0.25">
      <c r="N681" s="9"/>
      <c r="P681" s="33"/>
      <c r="Q681" s="4"/>
      <c r="R681" s="4"/>
      <c r="S681" s="4"/>
      <c r="T681" s="4"/>
      <c r="U681" s="4"/>
      <c r="V681" s="4"/>
      <c r="X681" s="4"/>
      <c r="Y681" s="4"/>
      <c r="AA681" s="4"/>
      <c r="AB681" s="4"/>
      <c r="AC681" s="4"/>
      <c r="AD681" s="20"/>
    </row>
    <row r="682" spans="14:30" x14ac:dyDescent="0.25">
      <c r="N682" s="9"/>
      <c r="P682" s="33"/>
      <c r="Q682" s="4"/>
      <c r="R682" s="4"/>
      <c r="S682" s="4"/>
      <c r="T682" s="4"/>
      <c r="U682" s="4"/>
      <c r="V682" s="4"/>
      <c r="X682" s="4"/>
      <c r="Y682" s="4"/>
      <c r="AA682" s="4"/>
      <c r="AB682" s="4"/>
      <c r="AC682" s="4"/>
      <c r="AD682" s="20"/>
    </row>
    <row r="683" spans="14:30" x14ac:dyDescent="0.25">
      <c r="N683" s="9"/>
      <c r="P683" s="33"/>
      <c r="Q683" s="4"/>
      <c r="R683" s="4"/>
      <c r="S683" s="4"/>
      <c r="T683" s="4"/>
      <c r="U683" s="4"/>
      <c r="V683" s="4"/>
      <c r="X683" s="4"/>
      <c r="Y683" s="4"/>
      <c r="AA683" s="4"/>
      <c r="AB683" s="4"/>
      <c r="AC683" s="4"/>
      <c r="AD683" s="20"/>
    </row>
    <row r="684" spans="14:30" x14ac:dyDescent="0.25">
      <c r="N684" s="9"/>
      <c r="P684" s="33"/>
      <c r="Q684" s="4"/>
      <c r="R684" s="4"/>
      <c r="S684" s="4"/>
      <c r="T684" s="4"/>
      <c r="U684" s="4"/>
      <c r="V684" s="4"/>
      <c r="X684" s="4"/>
      <c r="Y684" s="4"/>
      <c r="AA684" s="4"/>
      <c r="AB684" s="4"/>
      <c r="AC684" s="4"/>
      <c r="AD684" s="20"/>
    </row>
    <row r="685" spans="14:30" x14ac:dyDescent="0.25">
      <c r="N685" s="9"/>
      <c r="P685" s="33"/>
      <c r="Q685" s="4"/>
      <c r="R685" s="4"/>
      <c r="S685" s="4"/>
      <c r="T685" s="4"/>
      <c r="U685" s="4"/>
      <c r="V685" s="4"/>
      <c r="X685" s="4"/>
      <c r="Y685" s="4"/>
      <c r="AA685" s="4"/>
      <c r="AB685" s="4"/>
      <c r="AC685" s="4"/>
      <c r="AD685" s="20"/>
    </row>
    <row r="686" spans="14:30" x14ac:dyDescent="0.25">
      <c r="N686" s="9"/>
      <c r="P686" s="33"/>
      <c r="Q686" s="4"/>
      <c r="R686" s="4"/>
      <c r="S686" s="4"/>
      <c r="T686" s="4"/>
      <c r="U686" s="4"/>
      <c r="V686" s="4"/>
      <c r="X686" s="4"/>
      <c r="Y686" s="4"/>
      <c r="AA686" s="4"/>
      <c r="AB686" s="4"/>
      <c r="AC686" s="4"/>
      <c r="AD686" s="20"/>
    </row>
    <row r="687" spans="14:30" x14ac:dyDescent="0.25">
      <c r="N687" s="9"/>
      <c r="P687" s="33"/>
      <c r="Q687" s="4"/>
      <c r="R687" s="4"/>
      <c r="S687" s="4"/>
      <c r="T687" s="4"/>
      <c r="U687" s="4"/>
      <c r="V687" s="4"/>
      <c r="X687" s="4"/>
      <c r="Y687" s="4"/>
      <c r="AA687" s="4"/>
      <c r="AB687" s="4"/>
      <c r="AC687" s="4"/>
      <c r="AD687" s="20"/>
    </row>
    <row r="688" spans="14:30" x14ac:dyDescent="0.25">
      <c r="N688" s="9"/>
      <c r="P688" s="33"/>
      <c r="Q688" s="4"/>
      <c r="R688" s="4"/>
      <c r="S688" s="4"/>
      <c r="T688" s="4"/>
      <c r="U688" s="4"/>
      <c r="V688" s="4"/>
      <c r="X688" s="4"/>
      <c r="Y688" s="4"/>
      <c r="AA688" s="4"/>
      <c r="AB688" s="4"/>
      <c r="AC688" s="4"/>
      <c r="AD688" s="20"/>
    </row>
    <row r="689" spans="14:30" x14ac:dyDescent="0.25">
      <c r="N689" s="9"/>
      <c r="P689" s="33"/>
      <c r="Q689" s="4"/>
      <c r="R689" s="4"/>
      <c r="S689" s="4"/>
      <c r="T689" s="4"/>
      <c r="U689" s="4"/>
      <c r="V689" s="4"/>
      <c r="X689" s="4"/>
      <c r="Y689" s="4"/>
      <c r="AA689" s="4"/>
      <c r="AB689" s="4"/>
      <c r="AC689" s="4"/>
      <c r="AD689" s="20"/>
    </row>
    <row r="690" spans="14:30" x14ac:dyDescent="0.25">
      <c r="N690" s="9"/>
      <c r="P690" s="33"/>
      <c r="Q690" s="4"/>
      <c r="R690" s="4"/>
      <c r="S690" s="4"/>
      <c r="T690" s="4"/>
      <c r="U690" s="4"/>
      <c r="V690" s="4"/>
      <c r="X690" s="4"/>
      <c r="Y690" s="4"/>
      <c r="AA690" s="4"/>
      <c r="AB690" s="4"/>
      <c r="AC690" s="4"/>
      <c r="AD690" s="20"/>
    </row>
    <row r="691" spans="14:30" x14ac:dyDescent="0.25">
      <c r="N691" s="9"/>
      <c r="P691" s="33"/>
      <c r="Q691" s="4"/>
      <c r="R691" s="4"/>
      <c r="S691" s="4"/>
      <c r="T691" s="4"/>
      <c r="U691" s="4"/>
      <c r="V691" s="4"/>
      <c r="X691" s="4"/>
      <c r="Y691" s="4"/>
      <c r="AA691" s="4"/>
      <c r="AB691" s="4"/>
      <c r="AC691" s="4"/>
      <c r="AD691" s="20"/>
    </row>
    <row r="692" spans="14:30" x14ac:dyDescent="0.25">
      <c r="N692" s="9"/>
      <c r="P692" s="33"/>
      <c r="Q692" s="4"/>
      <c r="R692" s="4"/>
      <c r="S692" s="4"/>
      <c r="T692" s="4"/>
      <c r="U692" s="4"/>
      <c r="V692" s="4"/>
      <c r="X692" s="4"/>
      <c r="Y692" s="4"/>
      <c r="AA692" s="4"/>
      <c r="AB692" s="4"/>
      <c r="AC692" s="4"/>
      <c r="AD692" s="20"/>
    </row>
    <row r="693" spans="14:30" x14ac:dyDescent="0.25">
      <c r="N693" s="9"/>
      <c r="P693" s="33"/>
      <c r="Q693" s="4"/>
      <c r="R693" s="4"/>
      <c r="S693" s="4"/>
      <c r="T693" s="4"/>
      <c r="U693" s="4"/>
      <c r="V693" s="4"/>
      <c r="X693" s="4"/>
      <c r="Y693" s="4"/>
      <c r="AA693" s="4"/>
      <c r="AB693" s="4"/>
      <c r="AC693" s="4"/>
      <c r="AD693" s="20"/>
    </row>
    <row r="694" spans="14:30" x14ac:dyDescent="0.25">
      <c r="N694" s="9"/>
      <c r="P694" s="33"/>
      <c r="Q694" s="4"/>
      <c r="R694" s="4"/>
      <c r="S694" s="4"/>
      <c r="T694" s="4"/>
      <c r="U694" s="4"/>
      <c r="V694" s="4"/>
      <c r="X694" s="4"/>
      <c r="Y694" s="4"/>
      <c r="AA694" s="4"/>
      <c r="AB694" s="4"/>
      <c r="AC694" s="4"/>
      <c r="AD694" s="20"/>
    </row>
    <row r="695" spans="14:30" x14ac:dyDescent="0.25">
      <c r="N695" s="9"/>
      <c r="P695" s="33"/>
      <c r="Q695" s="4"/>
      <c r="R695" s="4"/>
      <c r="S695" s="4"/>
      <c r="T695" s="4"/>
      <c r="U695" s="4"/>
      <c r="V695" s="4"/>
      <c r="X695" s="4"/>
      <c r="Y695" s="4"/>
      <c r="AA695" s="4"/>
      <c r="AB695" s="4"/>
      <c r="AC695" s="4"/>
      <c r="AD695" s="20"/>
    </row>
    <row r="696" spans="14:30" x14ac:dyDescent="0.25">
      <c r="N696" s="9"/>
      <c r="P696" s="33"/>
      <c r="Q696" s="4"/>
      <c r="R696" s="4"/>
      <c r="S696" s="4"/>
      <c r="T696" s="4"/>
      <c r="U696" s="4"/>
      <c r="V696" s="4"/>
      <c r="X696" s="4"/>
      <c r="Y696" s="4"/>
      <c r="AA696" s="4"/>
      <c r="AB696" s="4"/>
      <c r="AC696" s="4"/>
      <c r="AD696" s="20"/>
    </row>
    <row r="697" spans="14:30" x14ac:dyDescent="0.25">
      <c r="N697" s="9"/>
      <c r="P697" s="33"/>
      <c r="Q697" s="4"/>
      <c r="R697" s="4"/>
      <c r="S697" s="4"/>
      <c r="T697" s="4"/>
      <c r="U697" s="4"/>
      <c r="V697" s="4"/>
      <c r="X697" s="4"/>
      <c r="Y697" s="4"/>
      <c r="AA697" s="4"/>
      <c r="AB697" s="4"/>
      <c r="AC697" s="4"/>
      <c r="AD697" s="20"/>
    </row>
    <row r="698" spans="14:30" x14ac:dyDescent="0.25">
      <c r="N698" s="9"/>
      <c r="P698" s="33"/>
      <c r="Q698" s="4"/>
      <c r="R698" s="4"/>
      <c r="S698" s="4"/>
      <c r="T698" s="4"/>
      <c r="U698" s="4"/>
      <c r="V698" s="4"/>
      <c r="X698" s="4"/>
      <c r="Y698" s="4"/>
      <c r="AA698" s="4"/>
      <c r="AB698" s="4"/>
      <c r="AC698" s="4"/>
      <c r="AD698" s="20"/>
    </row>
    <row r="699" spans="14:30" x14ac:dyDescent="0.25">
      <c r="N699" s="9"/>
      <c r="P699" s="33"/>
      <c r="Q699" s="4"/>
      <c r="R699" s="4"/>
      <c r="S699" s="4"/>
      <c r="T699" s="4"/>
      <c r="U699" s="4"/>
      <c r="V699" s="4"/>
      <c r="X699" s="4"/>
      <c r="Y699" s="4"/>
      <c r="AA699" s="4"/>
      <c r="AB699" s="4"/>
      <c r="AC699" s="4"/>
      <c r="AD699" s="20"/>
    </row>
    <row r="700" spans="14:30" x14ac:dyDescent="0.25">
      <c r="N700" s="9"/>
      <c r="P700" s="33"/>
      <c r="Q700" s="4"/>
      <c r="R700" s="4"/>
      <c r="S700" s="4"/>
      <c r="T700" s="4"/>
      <c r="U700" s="4"/>
      <c r="V700" s="4"/>
      <c r="X700" s="4"/>
      <c r="Y700" s="4"/>
      <c r="AA700" s="4"/>
      <c r="AB700" s="4"/>
      <c r="AC700" s="4"/>
      <c r="AD700" s="20"/>
    </row>
    <row r="701" spans="14:30" x14ac:dyDescent="0.25">
      <c r="N701" s="9"/>
      <c r="P701" s="33"/>
      <c r="Q701" s="4"/>
      <c r="R701" s="4"/>
      <c r="S701" s="4"/>
      <c r="T701" s="4"/>
      <c r="U701" s="4"/>
      <c r="V701" s="4"/>
      <c r="X701" s="4"/>
      <c r="Y701" s="4"/>
      <c r="AA701" s="4"/>
      <c r="AB701" s="4"/>
      <c r="AC701" s="4"/>
      <c r="AD701" s="20"/>
    </row>
    <row r="702" spans="14:30" x14ac:dyDescent="0.25">
      <c r="N702" s="9"/>
      <c r="P702" s="33"/>
      <c r="Q702" s="4"/>
      <c r="R702" s="4"/>
      <c r="S702" s="4"/>
      <c r="T702" s="4"/>
      <c r="U702" s="4"/>
      <c r="V702" s="4"/>
      <c r="X702" s="4"/>
      <c r="Y702" s="4"/>
      <c r="AA702" s="4"/>
      <c r="AB702" s="4"/>
      <c r="AC702" s="4"/>
      <c r="AD702" s="20"/>
    </row>
    <row r="703" spans="14:30" x14ac:dyDescent="0.25">
      <c r="N703" s="9"/>
      <c r="P703" s="33"/>
      <c r="Q703" s="4"/>
      <c r="R703" s="4"/>
      <c r="S703" s="4"/>
      <c r="T703" s="4"/>
      <c r="U703" s="4"/>
      <c r="V703" s="4"/>
      <c r="X703" s="4"/>
      <c r="Y703" s="4"/>
      <c r="AA703" s="4"/>
      <c r="AB703" s="4"/>
      <c r="AC703" s="4"/>
      <c r="AD703" s="20"/>
    </row>
    <row r="704" spans="14:30" x14ac:dyDescent="0.25">
      <c r="N704" s="9"/>
      <c r="P704" s="33"/>
      <c r="Q704" s="4"/>
      <c r="R704" s="4"/>
      <c r="S704" s="4"/>
      <c r="T704" s="4"/>
      <c r="U704" s="4"/>
      <c r="V704" s="4"/>
      <c r="X704" s="4"/>
      <c r="Y704" s="4"/>
      <c r="AA704" s="4"/>
      <c r="AB704" s="4"/>
      <c r="AC704" s="4"/>
      <c r="AD704" s="20"/>
    </row>
    <row r="705" spans="14:30" x14ac:dyDescent="0.25">
      <c r="N705" s="9"/>
      <c r="P705" s="33"/>
      <c r="Q705" s="4"/>
      <c r="R705" s="4"/>
      <c r="S705" s="4"/>
      <c r="T705" s="4"/>
      <c r="U705" s="4"/>
      <c r="V705" s="4"/>
      <c r="X705" s="4"/>
      <c r="Y705" s="4"/>
      <c r="AA705" s="4"/>
      <c r="AB705" s="4"/>
      <c r="AC705" s="4"/>
      <c r="AD705" s="20"/>
    </row>
    <row r="706" spans="14:30" x14ac:dyDescent="0.25">
      <c r="N706" s="9"/>
      <c r="P706" s="33"/>
      <c r="Q706" s="4"/>
      <c r="R706" s="4"/>
      <c r="S706" s="4"/>
      <c r="T706" s="4"/>
      <c r="U706" s="4"/>
      <c r="V706" s="4"/>
      <c r="X706" s="4"/>
      <c r="Y706" s="4"/>
      <c r="AA706" s="4"/>
      <c r="AB706" s="4"/>
      <c r="AC706" s="4"/>
      <c r="AD706" s="20"/>
    </row>
    <row r="707" spans="14:30" x14ac:dyDescent="0.25">
      <c r="N707" s="9"/>
      <c r="P707" s="33"/>
      <c r="Q707" s="4"/>
      <c r="R707" s="4"/>
      <c r="S707" s="4"/>
      <c r="T707" s="4"/>
      <c r="U707" s="4"/>
      <c r="V707" s="4"/>
      <c r="X707" s="4"/>
      <c r="Y707" s="4"/>
      <c r="AA707" s="4"/>
      <c r="AB707" s="4"/>
      <c r="AC707" s="4"/>
      <c r="AD707" s="20"/>
    </row>
    <row r="708" spans="14:30" x14ac:dyDescent="0.25">
      <c r="N708" s="9"/>
      <c r="P708" s="33"/>
      <c r="Q708" s="4"/>
      <c r="R708" s="4"/>
      <c r="S708" s="4"/>
      <c r="T708" s="4"/>
      <c r="U708" s="4"/>
      <c r="V708" s="4"/>
      <c r="X708" s="4"/>
      <c r="Y708" s="4"/>
      <c r="AA708" s="4"/>
      <c r="AB708" s="4"/>
      <c r="AC708" s="4"/>
      <c r="AD708" s="20"/>
    </row>
  </sheetData>
  <mergeCells count="46">
    <mergeCell ref="AZ17:BB17"/>
    <mergeCell ref="AS16:BE16"/>
    <mergeCell ref="AF16:AR16"/>
    <mergeCell ref="AG17:AI17"/>
    <mergeCell ref="AJ17:AL17"/>
    <mergeCell ref="AM17:AO17"/>
    <mergeCell ref="AP17:AR17"/>
    <mergeCell ref="E6:K6"/>
    <mergeCell ref="Q17:S17"/>
    <mergeCell ref="T17:V17"/>
    <mergeCell ref="W17:Y17"/>
    <mergeCell ref="P16:AE16"/>
    <mergeCell ref="Z17:AB17"/>
    <mergeCell ref="AC17:AE17"/>
    <mergeCell ref="A1:M1"/>
    <mergeCell ref="N1:X1"/>
    <mergeCell ref="P4:AE4"/>
    <mergeCell ref="BL5:BM5"/>
    <mergeCell ref="BL4:BM4"/>
    <mergeCell ref="AS4:BE4"/>
    <mergeCell ref="BF4:BH4"/>
    <mergeCell ref="Q5:S5"/>
    <mergeCell ref="T5:V5"/>
    <mergeCell ref="W5:Y5"/>
    <mergeCell ref="Z5:AB5"/>
    <mergeCell ref="AC5:AE5"/>
    <mergeCell ref="AT5:AV5"/>
    <mergeCell ref="AW5:AY5"/>
    <mergeCell ref="AZ5:BB5"/>
    <mergeCell ref="BC5:BE5"/>
    <mergeCell ref="AF4:AR4"/>
    <mergeCell ref="BL16:BM16"/>
    <mergeCell ref="BI16:BK16"/>
    <mergeCell ref="BI17:BK17"/>
    <mergeCell ref="BI4:BK4"/>
    <mergeCell ref="BI5:BK5"/>
    <mergeCell ref="BF5:BH5"/>
    <mergeCell ref="AG5:AI5"/>
    <mergeCell ref="AJ5:AL5"/>
    <mergeCell ref="AM5:AO5"/>
    <mergeCell ref="AP5:AR5"/>
    <mergeCell ref="BC17:BE17"/>
    <mergeCell ref="BF16:BH16"/>
    <mergeCell ref="BF17:BH17"/>
    <mergeCell ref="AT17:AV17"/>
    <mergeCell ref="AW17:AY17"/>
  </mergeCell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62"/>
  <sheetViews>
    <sheetView topLeftCell="A16" zoomScale="85" zoomScaleNormal="85" workbookViewId="0">
      <selection activeCell="K29" sqref="K29"/>
    </sheetView>
  </sheetViews>
  <sheetFormatPr baseColWidth="10" defaultColWidth="9.140625" defaultRowHeight="15" x14ac:dyDescent="0.25"/>
  <cols>
    <col min="1" max="1" width="26.85546875" customWidth="1"/>
    <col min="2" max="2" width="25.5703125" customWidth="1"/>
    <col min="3" max="3" width="10.140625" customWidth="1"/>
  </cols>
  <sheetData>
    <row r="1" spans="1:9" ht="27.75" x14ac:dyDescent="0.4">
      <c r="A1" s="213" t="s">
        <v>75</v>
      </c>
      <c r="B1" s="213"/>
      <c r="C1" s="213"/>
      <c r="D1" s="213"/>
      <c r="E1" s="213"/>
      <c r="F1" s="213"/>
      <c r="G1" s="213"/>
      <c r="H1" s="213"/>
      <c r="I1" s="213"/>
    </row>
    <row r="2" spans="1:9" x14ac:dyDescent="0.25">
      <c r="A2" s="5"/>
      <c r="B2" s="5" t="s">
        <v>16</v>
      </c>
      <c r="C2" s="6"/>
      <c r="D2" s="4"/>
      <c r="E2" s="5"/>
      <c r="F2" s="5"/>
      <c r="G2" s="5"/>
      <c r="H2" s="5"/>
      <c r="I2" s="5"/>
    </row>
    <row r="3" spans="1:9" x14ac:dyDescent="0.25">
      <c r="A3" s="5"/>
      <c r="B3" s="5" t="s">
        <v>17</v>
      </c>
      <c r="C3" s="7"/>
      <c r="D3" s="4"/>
      <c r="E3" s="5"/>
      <c r="F3" s="5"/>
      <c r="G3" s="5"/>
      <c r="H3" s="5"/>
      <c r="I3" s="5"/>
    </row>
    <row r="4" spans="1:9" x14ac:dyDescent="0.25">
      <c r="A4" s="5"/>
      <c r="B4" s="5" t="s">
        <v>18</v>
      </c>
      <c r="C4" s="8"/>
      <c r="D4" s="4"/>
      <c r="E4" s="5"/>
      <c r="F4" s="5"/>
      <c r="G4" s="5"/>
      <c r="H4" s="5"/>
      <c r="I4" s="5"/>
    </row>
    <row r="5" spans="1:9" x14ac:dyDescent="0.25">
      <c r="A5" s="9" t="s">
        <v>19</v>
      </c>
      <c r="B5" s="9" t="s">
        <v>20</v>
      </c>
      <c r="C5" s="9" t="s">
        <v>21</v>
      </c>
      <c r="D5" s="4"/>
      <c r="E5" s="214" t="s">
        <v>22</v>
      </c>
      <c r="F5" s="214"/>
      <c r="G5" s="214"/>
      <c r="H5" s="214"/>
      <c r="I5" s="9"/>
    </row>
    <row r="6" spans="1:9" x14ac:dyDescent="0.25">
      <c r="A6" s="9"/>
      <c r="B6" s="9"/>
      <c r="C6" s="9"/>
      <c r="D6" s="4"/>
      <c r="E6" s="5"/>
      <c r="F6" s="5"/>
      <c r="G6" s="5"/>
      <c r="H6" s="5"/>
      <c r="I6" s="9"/>
    </row>
    <row r="7" spans="1:9" x14ac:dyDescent="0.25">
      <c r="A7" s="9" t="s">
        <v>55</v>
      </c>
      <c r="B7" s="9"/>
      <c r="C7" s="9"/>
      <c r="D7" s="4"/>
      <c r="E7" s="5"/>
      <c r="F7" s="5"/>
      <c r="G7" s="5"/>
      <c r="H7" s="5"/>
      <c r="I7" s="9"/>
    </row>
    <row r="8" spans="1:9" x14ac:dyDescent="0.25">
      <c r="A8" s="9"/>
      <c r="B8" s="9"/>
      <c r="C8" s="9"/>
      <c r="D8" s="4"/>
      <c r="E8" s="5"/>
      <c r="F8" s="5"/>
      <c r="G8" s="5"/>
      <c r="H8" s="5"/>
      <c r="I8" s="9"/>
    </row>
    <row r="9" spans="1:9" x14ac:dyDescent="0.25">
      <c r="A9" t="s">
        <v>44</v>
      </c>
      <c r="B9" s="12">
        <v>0.8</v>
      </c>
      <c r="D9" t="s">
        <v>47</v>
      </c>
    </row>
    <row r="10" spans="1:9" x14ac:dyDescent="0.25">
      <c r="A10" t="s">
        <v>48</v>
      </c>
      <c r="B10" s="13">
        <f>(1-B9)/(2.2*10^6)</f>
        <v>9.0909090909090888E-8</v>
      </c>
      <c r="C10" t="s">
        <v>51</v>
      </c>
      <c r="D10" t="s">
        <v>54</v>
      </c>
    </row>
    <row r="11" spans="1:9" x14ac:dyDescent="0.25">
      <c r="A11" t="s">
        <v>45</v>
      </c>
      <c r="B11" s="12">
        <v>0.85</v>
      </c>
      <c r="D11" t="s">
        <v>47</v>
      </c>
    </row>
    <row r="12" spans="1:9" x14ac:dyDescent="0.25">
      <c r="A12" t="s">
        <v>49</v>
      </c>
      <c r="B12" s="13">
        <f>(1-B11)/(2.2*10^6)</f>
        <v>6.8181818181818186E-8</v>
      </c>
      <c r="C12" t="s">
        <v>51</v>
      </c>
      <c r="D12" t="s">
        <v>53</v>
      </c>
    </row>
    <row r="13" spans="1:9" x14ac:dyDescent="0.25">
      <c r="A13" t="s">
        <v>46</v>
      </c>
      <c r="B13" s="12">
        <v>0.9</v>
      </c>
      <c r="D13" t="s">
        <v>47</v>
      </c>
    </row>
    <row r="14" spans="1:9" x14ac:dyDescent="0.25">
      <c r="A14" t="s">
        <v>50</v>
      </c>
      <c r="B14" s="13">
        <f>(1-B13)/(2.2*10^6)</f>
        <v>4.5454545454545444E-8</v>
      </c>
      <c r="C14" t="s">
        <v>51</v>
      </c>
      <c r="D14" t="s">
        <v>52</v>
      </c>
    </row>
    <row r="16" spans="1:9" x14ac:dyDescent="0.25">
      <c r="A16" t="s">
        <v>56</v>
      </c>
      <c r="B16" s="12">
        <v>0.9</v>
      </c>
      <c r="D16" t="s">
        <v>62</v>
      </c>
    </row>
    <row r="17" spans="1:8" x14ac:dyDescent="0.25">
      <c r="A17" t="s">
        <v>57</v>
      </c>
      <c r="B17" s="12">
        <v>0.93</v>
      </c>
      <c r="D17" t="s">
        <v>59</v>
      </c>
    </row>
    <row r="18" spans="1:8" x14ac:dyDescent="0.25">
      <c r="A18" t="s">
        <v>58</v>
      </c>
      <c r="B18" s="12">
        <v>0.96</v>
      </c>
      <c r="D18" t="s">
        <v>63</v>
      </c>
    </row>
    <row r="19" spans="1:8" x14ac:dyDescent="0.25">
      <c r="B19">
        <f>IF(((1-D_limit_min)/Constants!B12)&lt;Fsw,2,1)</f>
        <v>2</v>
      </c>
      <c r="D19" t="s">
        <v>438</v>
      </c>
    </row>
    <row r="20" spans="1:8" x14ac:dyDescent="0.25">
      <c r="A20" t="s">
        <v>73</v>
      </c>
      <c r="B20" s="1">
        <f>CHOOSE(B19,D_limit_min,(1-Constants!B10*Fsw))</f>
        <v>0.81818181818181823</v>
      </c>
      <c r="D20" t="s">
        <v>74</v>
      </c>
    </row>
    <row r="22" spans="1:8" x14ac:dyDescent="0.25">
      <c r="A22" t="s">
        <v>80</v>
      </c>
      <c r="B22" s="12">
        <f>50*10^-9</f>
        <v>5.0000000000000004E-8</v>
      </c>
      <c r="C22" t="s">
        <v>51</v>
      </c>
      <c r="D22" t="s">
        <v>81</v>
      </c>
    </row>
    <row r="24" spans="1:8" x14ac:dyDescent="0.25">
      <c r="A24" t="s">
        <v>590</v>
      </c>
      <c r="B24" s="12">
        <f>20*10^-9</f>
        <v>2E-8</v>
      </c>
      <c r="C24" t="s">
        <v>51</v>
      </c>
      <c r="D24" t="s">
        <v>589</v>
      </c>
    </row>
    <row r="25" spans="1:8" ht="15.75" x14ac:dyDescent="0.25">
      <c r="A25" s="27" t="s">
        <v>141</v>
      </c>
    </row>
    <row r="26" spans="1:8" x14ac:dyDescent="0.25">
      <c r="A26" t="s">
        <v>127</v>
      </c>
      <c r="B26" s="12">
        <f>30*10^-6</f>
        <v>2.9999999999999997E-5</v>
      </c>
      <c r="C26" t="s">
        <v>11</v>
      </c>
      <c r="D26" t="s">
        <v>128</v>
      </c>
    </row>
    <row r="27" spans="1:8" x14ac:dyDescent="0.25">
      <c r="A27" t="s">
        <v>129</v>
      </c>
      <c r="B27" s="12">
        <v>3000</v>
      </c>
      <c r="C27" s="2" t="s">
        <v>36</v>
      </c>
      <c r="D27" t="s">
        <v>130</v>
      </c>
      <c r="H27" s="31"/>
    </row>
    <row r="28" spans="1:8" x14ac:dyDescent="0.25">
      <c r="A28" t="s">
        <v>491</v>
      </c>
      <c r="B28" s="12">
        <v>4.4999999999999998E-2</v>
      </c>
      <c r="C28" s="2"/>
    </row>
    <row r="29" spans="1:8" x14ac:dyDescent="0.25">
      <c r="C29" s="2"/>
    </row>
    <row r="30" spans="1:8" x14ac:dyDescent="0.25">
      <c r="A30" t="s">
        <v>132</v>
      </c>
      <c r="B30" s="12">
        <v>0.06</v>
      </c>
      <c r="C30" s="2" t="s">
        <v>10</v>
      </c>
      <c r="D30" t="s">
        <v>133</v>
      </c>
    </row>
    <row r="32" spans="1:8" x14ac:dyDescent="0.25">
      <c r="A32" t="s">
        <v>201</v>
      </c>
      <c r="B32" s="12">
        <v>1</v>
      </c>
      <c r="C32" t="s">
        <v>150</v>
      </c>
      <c r="D32" t="s">
        <v>203</v>
      </c>
    </row>
    <row r="33" spans="1:4" x14ac:dyDescent="0.25">
      <c r="A33" t="s">
        <v>205</v>
      </c>
      <c r="B33" s="12">
        <v>10</v>
      </c>
      <c r="C33" t="s">
        <v>150</v>
      </c>
      <c r="D33" t="s">
        <v>206</v>
      </c>
    </row>
    <row r="35" spans="1:4" x14ac:dyDescent="0.25">
      <c r="A35" s="31" t="s">
        <v>225</v>
      </c>
    </row>
    <row r="36" spans="1:4" x14ac:dyDescent="0.25">
      <c r="A36" t="s">
        <v>244</v>
      </c>
      <c r="B36">
        <v>1</v>
      </c>
      <c r="C36" t="s">
        <v>10</v>
      </c>
      <c r="D36" t="s">
        <v>245</v>
      </c>
    </row>
    <row r="37" spans="1:4" x14ac:dyDescent="0.25">
      <c r="A37" t="s">
        <v>228</v>
      </c>
      <c r="B37">
        <f>(1*10^-3)/1</f>
        <v>1E-3</v>
      </c>
      <c r="C37" t="s">
        <v>230</v>
      </c>
      <c r="D37" t="s">
        <v>229</v>
      </c>
    </row>
    <row r="38" spans="1:4" x14ac:dyDescent="0.25">
      <c r="A38" t="s">
        <v>552</v>
      </c>
      <c r="B38">
        <v>20</v>
      </c>
      <c r="C38" t="s">
        <v>150</v>
      </c>
    </row>
    <row r="39" spans="1:4" x14ac:dyDescent="0.25">
      <c r="A39" t="s">
        <v>553</v>
      </c>
      <c r="B39">
        <v>60</v>
      </c>
      <c r="C39" t="s">
        <v>150</v>
      </c>
    </row>
    <row r="40" spans="1:4" x14ac:dyDescent="0.25">
      <c r="A40" t="s">
        <v>554</v>
      </c>
      <c r="B40">
        <v>100000</v>
      </c>
      <c r="C40" t="s">
        <v>469</v>
      </c>
    </row>
    <row r="41" spans="1:4" x14ac:dyDescent="0.25">
      <c r="A41" t="s">
        <v>555</v>
      </c>
      <c r="B41">
        <v>35000</v>
      </c>
      <c r="C41" t="s">
        <v>469</v>
      </c>
    </row>
    <row r="42" spans="1:4" x14ac:dyDescent="0.25">
      <c r="A42" t="s">
        <v>556</v>
      </c>
      <c r="B42">
        <v>75000</v>
      </c>
      <c r="C42" t="s">
        <v>469</v>
      </c>
    </row>
    <row r="43" spans="1:4" x14ac:dyDescent="0.25">
      <c r="A43" t="s">
        <v>557</v>
      </c>
      <c r="B43">
        <v>20000</v>
      </c>
      <c r="C43" t="s">
        <v>469</v>
      </c>
    </row>
    <row r="46" spans="1:4" x14ac:dyDescent="0.25">
      <c r="A46" s="31" t="s">
        <v>277</v>
      </c>
    </row>
    <row r="47" spans="1:4" x14ac:dyDescent="0.25">
      <c r="A47" t="s">
        <v>278</v>
      </c>
      <c r="B47">
        <f>20*10^-6</f>
        <v>1.9999999999999998E-5</v>
      </c>
      <c r="C47" t="s">
        <v>11</v>
      </c>
      <c r="D47" t="s">
        <v>279</v>
      </c>
    </row>
    <row r="49" spans="1:10" x14ac:dyDescent="0.25">
      <c r="A49" s="31" t="s">
        <v>297</v>
      </c>
    </row>
    <row r="50" spans="1:10" x14ac:dyDescent="0.25">
      <c r="A50" t="s">
        <v>298</v>
      </c>
      <c r="B50">
        <v>1.1000000000000001</v>
      </c>
      <c r="C50" t="s">
        <v>10</v>
      </c>
      <c r="D50" t="s">
        <v>301</v>
      </c>
      <c r="J50" s="31"/>
    </row>
    <row r="51" spans="1:10" x14ac:dyDescent="0.25">
      <c r="A51" t="s">
        <v>299</v>
      </c>
      <c r="B51">
        <v>1.075</v>
      </c>
      <c r="C51" t="s">
        <v>10</v>
      </c>
      <c r="D51" t="s">
        <v>300</v>
      </c>
      <c r="J51" s="31"/>
    </row>
    <row r="52" spans="1:10" x14ac:dyDescent="0.25">
      <c r="A52" t="s">
        <v>304</v>
      </c>
      <c r="B52">
        <f>10*10^-6</f>
        <v>9.9999999999999991E-6</v>
      </c>
      <c r="C52" t="s">
        <v>11</v>
      </c>
      <c r="D52" t="s">
        <v>305</v>
      </c>
      <c r="J52" s="31"/>
    </row>
    <row r="54" spans="1:10" x14ac:dyDescent="0.25">
      <c r="A54" s="31" t="s">
        <v>355</v>
      </c>
    </row>
    <row r="55" spans="1:10" x14ac:dyDescent="0.25">
      <c r="A55" t="s">
        <v>356</v>
      </c>
      <c r="B55">
        <v>5</v>
      </c>
      <c r="C55" t="s">
        <v>10</v>
      </c>
      <c r="D55" t="s">
        <v>357</v>
      </c>
    </row>
    <row r="57" spans="1:10" x14ac:dyDescent="0.25">
      <c r="A57" s="31" t="s">
        <v>373</v>
      </c>
    </row>
    <row r="58" spans="1:10" x14ac:dyDescent="0.25">
      <c r="A58" t="s">
        <v>374</v>
      </c>
      <c r="B58">
        <f>3.3*(10^-6)</f>
        <v>3.2999999999999997E-6</v>
      </c>
      <c r="C58" t="s">
        <v>11</v>
      </c>
      <c r="D58" t="s">
        <v>375</v>
      </c>
    </row>
    <row r="60" spans="1:10" x14ac:dyDescent="0.25">
      <c r="A60" t="s">
        <v>409</v>
      </c>
    </row>
    <row r="61" spans="1:10" x14ac:dyDescent="0.25">
      <c r="A61" t="s">
        <v>410</v>
      </c>
      <c r="B61">
        <v>1.5</v>
      </c>
      <c r="C61" t="s">
        <v>10</v>
      </c>
      <c r="D61" t="s">
        <v>411</v>
      </c>
    </row>
    <row r="62" spans="1:10" x14ac:dyDescent="0.25">
      <c r="A62" t="s">
        <v>413</v>
      </c>
      <c r="B62">
        <v>45</v>
      </c>
      <c r="D62" t="s">
        <v>412</v>
      </c>
    </row>
  </sheetData>
  <mergeCells count="2">
    <mergeCell ref="A1:I1"/>
    <mergeCell ref="E5:H5"/>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2:B3"/>
  <sheetViews>
    <sheetView topLeftCell="B1" zoomScale="70" zoomScaleNormal="70" workbookViewId="0">
      <selection activeCell="P22" sqref="P22"/>
    </sheetView>
  </sheetViews>
  <sheetFormatPr baseColWidth="10" defaultColWidth="9.140625" defaultRowHeight="15" x14ac:dyDescent="0.25"/>
  <cols>
    <col min="3" max="3" width="144.85546875" customWidth="1"/>
  </cols>
  <sheetData>
    <row r="2" spans="2:2" x14ac:dyDescent="0.25">
      <c r="B2" t="str">
        <f>"Eff_vs_IOUT"</f>
        <v>Eff_vs_IOUT</v>
      </c>
    </row>
    <row r="3" spans="2:2" ht="379.7" customHeight="1"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H7"/>
  <sheetViews>
    <sheetView topLeftCell="A4" workbookViewId="0">
      <selection activeCell="B7" sqref="B7"/>
    </sheetView>
  </sheetViews>
  <sheetFormatPr baseColWidth="10" defaultColWidth="9.140625" defaultRowHeight="15" x14ac:dyDescent="0.25"/>
  <cols>
    <col min="1" max="1" width="27.28515625" customWidth="1"/>
    <col min="2" max="2" width="77.140625" customWidth="1"/>
  </cols>
  <sheetData>
    <row r="1" spans="1:8" x14ac:dyDescent="0.25">
      <c r="A1" s="111" t="str">
        <f>IF('Design Converter'!H12= "SKIP", "SCH_1", IF('Design Converter'!H12 = "DEM", "SCH_2", IF('Design Converter'!H12 = "FPWM","SCH_3", "")))</f>
        <v>SCH_3</v>
      </c>
      <c r="F1" t="s">
        <v>604</v>
      </c>
      <c r="G1" t="s">
        <v>605</v>
      </c>
      <c r="H1" t="s">
        <v>606</v>
      </c>
    </row>
    <row r="2" spans="1:8" ht="214.9" customHeight="1" x14ac:dyDescent="0.25">
      <c r="B2" t="s">
        <v>603</v>
      </c>
    </row>
    <row r="5" spans="1:8" ht="214.15" customHeight="1" x14ac:dyDescent="0.25"/>
    <row r="6" spans="1:8" ht="15" customHeight="1" x14ac:dyDescent="0.25"/>
    <row r="7" spans="1:8" ht="213.6" customHeight="1" x14ac:dyDescent="0.25"/>
  </sheetData>
  <pageMargins left="0.7" right="0.7" top="0.75" bottom="0.75" header="0.3" footer="0.3"/>
  <pageSetup orientation="portrait" r:id="rId1"/>
  <drawing r:id="rId2"/>
  <legacyDrawing r:id="rId3"/>
  <oleObjects>
    <mc:AlternateContent xmlns:mc="http://schemas.openxmlformats.org/markup-compatibility/2006">
      <mc:Choice Requires="x14">
        <oleObject progId="Visio.Drawing.15" shapeId="10242" r:id="rId4">
          <objectPr defaultSize="0" r:id="rId5">
            <anchor moveWithCells="1">
              <from>
                <xdr:col>1</xdr:col>
                <xdr:colOff>0</xdr:colOff>
                <xdr:row>1</xdr:row>
                <xdr:rowOff>0</xdr:rowOff>
              </from>
              <to>
                <xdr:col>2</xdr:col>
                <xdr:colOff>28575</xdr:colOff>
                <xdr:row>2</xdr:row>
                <xdr:rowOff>0</xdr:rowOff>
              </to>
            </anchor>
          </objectPr>
        </oleObject>
      </mc:Choice>
      <mc:Fallback>
        <oleObject progId="Visio.Drawing.15" shapeId="10242" r:id="rId4"/>
      </mc:Fallback>
    </mc:AlternateContent>
    <mc:AlternateContent xmlns:mc="http://schemas.openxmlformats.org/markup-compatibility/2006">
      <mc:Choice Requires="x14">
        <oleObject progId="Visio.Drawing.15" shapeId="10243" r:id="rId6">
          <objectPr defaultSize="0" r:id="rId7">
            <anchor moveWithCells="1">
              <from>
                <xdr:col>1</xdr:col>
                <xdr:colOff>0</xdr:colOff>
                <xdr:row>4</xdr:row>
                <xdr:rowOff>0</xdr:rowOff>
              </from>
              <to>
                <xdr:col>2</xdr:col>
                <xdr:colOff>28575</xdr:colOff>
                <xdr:row>5</xdr:row>
                <xdr:rowOff>9525</xdr:rowOff>
              </to>
            </anchor>
          </objectPr>
        </oleObject>
      </mc:Choice>
      <mc:Fallback>
        <oleObject progId="Visio.Drawing.15" shapeId="10243" r:id="rId6"/>
      </mc:Fallback>
    </mc:AlternateContent>
    <mc:AlternateContent xmlns:mc="http://schemas.openxmlformats.org/markup-compatibility/2006">
      <mc:Choice Requires="x14">
        <oleObject progId="Visio.Drawing.15" shapeId="10246" r:id="rId8">
          <objectPr defaultSize="0" r:id="rId9">
            <anchor moveWithCells="1">
              <from>
                <xdr:col>1</xdr:col>
                <xdr:colOff>0</xdr:colOff>
                <xdr:row>6</xdr:row>
                <xdr:rowOff>0</xdr:rowOff>
              </from>
              <to>
                <xdr:col>2</xdr:col>
                <xdr:colOff>28575</xdr:colOff>
                <xdr:row>7</xdr:row>
                <xdr:rowOff>9525</xdr:rowOff>
              </to>
            </anchor>
          </objectPr>
        </oleObject>
      </mc:Choice>
      <mc:Fallback>
        <oleObject progId="Visio.Drawing.15" shapeId="10246" r:id="rId8"/>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2:F5"/>
  <sheetViews>
    <sheetView workbookViewId="0">
      <selection activeCell="F3" sqref="F3"/>
    </sheetView>
  </sheetViews>
  <sheetFormatPr baseColWidth="10" defaultColWidth="9.140625" defaultRowHeight="15" x14ac:dyDescent="0.25"/>
  <sheetData>
    <row r="2" spans="1:6" x14ac:dyDescent="0.25">
      <c r="A2" t="s">
        <v>389</v>
      </c>
    </row>
    <row r="3" spans="1:6" x14ac:dyDescent="0.25">
      <c r="B3">
        <f>VIN_min</f>
        <v>11</v>
      </c>
      <c r="F3" t="str">
        <f>"SKIP"</f>
        <v>SKIP</v>
      </c>
    </row>
    <row r="4" spans="1:6" x14ac:dyDescent="0.25">
      <c r="B4">
        <f>VIN_nom</f>
        <v>11</v>
      </c>
      <c r="D4">
        <v>2.5</v>
      </c>
      <c r="F4" t="str">
        <f>"DEM"</f>
        <v>DEM</v>
      </c>
    </row>
    <row r="5" spans="1:6" x14ac:dyDescent="0.25">
      <c r="B5">
        <f>VIN_max</f>
        <v>22</v>
      </c>
      <c r="F5" t="str">
        <f>"FPWM"</f>
        <v>FPWM</v>
      </c>
    </row>
  </sheetData>
  <dataValidations count="3">
    <dataValidation type="list" allowBlank="1" showInputMessage="1" showErrorMessage="1" sqref="D4" xr:uid="{00000000-0002-0000-0700-000000000000}">
      <formula1>$B$3:$B$5</formula1>
    </dataValidation>
    <dataValidation type="decimal" allowBlank="1" showInputMessage="1" showErrorMessage="1" sqref="F4" xr:uid="{00000000-0002-0000-0700-000001000000}">
      <formula1>B3</formula1>
      <formula2>B5</formula2>
    </dataValidation>
    <dataValidation type="list" showDropDown="1" showInputMessage="1" showErrorMessage="1" sqref="I15" xr:uid="{00000000-0002-0000-0700-000002000000}">
      <formula1>$B$3:$B$5</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
  <sheetViews>
    <sheetView workbookViewId="0">
      <selection activeCell="C31" sqref="C31"/>
    </sheetView>
  </sheetViews>
  <sheetFormatPr baseColWidth="10" defaultColWidth="9.1406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155</vt:i4>
      </vt:variant>
    </vt:vector>
  </HeadingPairs>
  <TitlesOfParts>
    <vt:vector size="164" baseType="lpstr">
      <vt:lpstr>Design Converter</vt:lpstr>
      <vt:lpstr>Variable_Management</vt:lpstr>
      <vt:lpstr>Eff_vs_IOUT</vt:lpstr>
      <vt:lpstr>Loop_Modeling</vt:lpstr>
      <vt:lpstr>Constants</vt:lpstr>
      <vt:lpstr>Plot_Management_Eff</vt:lpstr>
      <vt:lpstr>Plot_Management_Sch</vt:lpstr>
      <vt:lpstr>Lists</vt:lpstr>
      <vt:lpstr>Sheet1</vt:lpstr>
      <vt:lpstr>Acs</vt:lpstr>
      <vt:lpstr>Adc</vt:lpstr>
      <vt:lpstr>Adc_ea</vt:lpstr>
      <vt:lpstr>ADC_VINmin</vt:lpstr>
      <vt:lpstr>CCOMP</vt:lpstr>
      <vt:lpstr>CCOMP_Calc</vt:lpstr>
      <vt:lpstr>CCOMP_calc_CCM</vt:lpstr>
      <vt:lpstr>CCOMP_CALC_DCM</vt:lpstr>
      <vt:lpstr>CHF</vt:lpstr>
      <vt:lpstr>CHF_calc</vt:lpstr>
      <vt:lpstr>CHF_CALC_CCM</vt:lpstr>
      <vt:lpstr>CHF_CALC_DCM</vt:lpstr>
      <vt:lpstr>Comp_calc_CCM</vt:lpstr>
      <vt:lpstr>Cout</vt:lpstr>
      <vt:lpstr>Cout_min</vt:lpstr>
      <vt:lpstr>D_limit_max</vt:lpstr>
      <vt:lpstr>D_limit_min</vt:lpstr>
      <vt:lpstr>D_limit_nom</vt:lpstr>
      <vt:lpstr>DC_DCM_max</vt:lpstr>
      <vt:lpstr>Dc_max_IC</vt:lpstr>
      <vt:lpstr>Dc_max_ideal</vt:lpstr>
      <vt:lpstr>DC_rip</vt:lpstr>
      <vt:lpstr>Dc_rip_max</vt:lpstr>
      <vt:lpstr>Dc_VIN_max</vt:lpstr>
      <vt:lpstr>Dc_VIN_min</vt:lpstr>
      <vt:lpstr>Dc_VIN_nom</vt:lpstr>
      <vt:lpstr>DC_VIN_var_DCM</vt:lpstr>
      <vt:lpstr>'Design Converter'!Druckbereich</vt:lpstr>
      <vt:lpstr>EFF_est</vt:lpstr>
      <vt:lpstr>Eff_vs_IOUT</vt:lpstr>
      <vt:lpstr>fcross</vt:lpstr>
      <vt:lpstr>fcross_est</vt:lpstr>
      <vt:lpstr>fp_ea_est</vt:lpstr>
      <vt:lpstr>Fsw</vt:lpstr>
      <vt:lpstr>fz_ea_est</vt:lpstr>
      <vt:lpstr>fz_rhp</vt:lpstr>
      <vt:lpstr>Gcomp</vt:lpstr>
      <vt:lpstr>gfs</vt:lpstr>
      <vt:lpstr>gm_ea</vt:lpstr>
      <vt:lpstr>Gplant_fc_dB</vt:lpstr>
      <vt:lpstr>IIN_33</vt:lpstr>
      <vt:lpstr>IL_avg_VIN_max</vt:lpstr>
      <vt:lpstr>IL_avg_VIN_min</vt:lpstr>
      <vt:lpstr>IL_avg_VIN_nom</vt:lpstr>
      <vt:lpstr>IL_pk</vt:lpstr>
      <vt:lpstr>IL_pk_max</vt:lpstr>
      <vt:lpstr>ILp_VINmax</vt:lpstr>
      <vt:lpstr>ILp_VINmin</vt:lpstr>
      <vt:lpstr>ILp_VINnom</vt:lpstr>
      <vt:lpstr>ILrip</vt:lpstr>
      <vt:lpstr>ILrip_VINmax</vt:lpstr>
      <vt:lpstr>ILrip_VINmin</vt:lpstr>
      <vt:lpstr>ILrip_VINnom</vt:lpstr>
      <vt:lpstr>IOUT</vt:lpstr>
      <vt:lpstr>IOUT_VAR</vt:lpstr>
      <vt:lpstr>Ipk_margin</vt:lpstr>
      <vt:lpstr>Ipk_selected</vt:lpstr>
      <vt:lpstr>IQ</vt:lpstr>
      <vt:lpstr>IRMS_COUT</vt:lpstr>
      <vt:lpstr>Isl</vt:lpstr>
      <vt:lpstr>Iss</vt:lpstr>
      <vt:lpstr>Kd</vt:lpstr>
      <vt:lpstr>Kd_VINmin</vt:lpstr>
      <vt:lpstr>Kex</vt:lpstr>
      <vt:lpstr>Kex_VINmin</vt:lpstr>
      <vt:lpstr>Kfb</vt:lpstr>
      <vt:lpstr>Kfb_high</vt:lpstr>
      <vt:lpstr>Kfb_low</vt:lpstr>
      <vt:lpstr>Km</vt:lpstr>
      <vt:lpstr>Km_VINmin</vt:lpstr>
      <vt:lpstr>Lm</vt:lpstr>
      <vt:lpstr>Lopt_2</vt:lpstr>
      <vt:lpstr>M_L_DCM</vt:lpstr>
      <vt:lpstr>Np</vt:lpstr>
      <vt:lpstr>POUT</vt:lpstr>
      <vt:lpstr>Q</vt:lpstr>
      <vt:lpstr>Q_VINmin</vt:lpstr>
      <vt:lpstr>Qg_tot</vt:lpstr>
      <vt:lpstr>Qg_tot_HS</vt:lpstr>
      <vt:lpstr>Qgd</vt:lpstr>
      <vt:lpstr>Qgs</vt:lpstr>
      <vt:lpstr>Qrr</vt:lpstr>
      <vt:lpstr>R_cs</vt:lpstr>
      <vt:lpstr>R_sl</vt:lpstr>
      <vt:lpstr>RCOMP</vt:lpstr>
      <vt:lpstr>RCOMP_Calc</vt:lpstr>
      <vt:lpstr>Rcomp_calc_CCM</vt:lpstr>
      <vt:lpstr>RCOMP_CALC_DCM</vt:lpstr>
      <vt:lpstr>Rcs_max</vt:lpstr>
      <vt:lpstr>Rcs_wo_sl</vt:lpstr>
      <vt:lpstr>Rdcr</vt:lpstr>
      <vt:lpstr>RDS_on</vt:lpstr>
      <vt:lpstr>RDS_on_HS</vt:lpstr>
      <vt:lpstr>Resr</vt:lpstr>
      <vt:lpstr>RFBB</vt:lpstr>
      <vt:lpstr>RFBB_calc</vt:lpstr>
      <vt:lpstr>RFBT</vt:lpstr>
      <vt:lpstr>Rgate</vt:lpstr>
      <vt:lpstr>Rmax</vt:lpstr>
      <vt:lpstr>Rmax_high</vt:lpstr>
      <vt:lpstr>Rmax_low</vt:lpstr>
      <vt:lpstr>Rmin</vt:lpstr>
      <vt:lpstr>Rmin_high</vt:lpstr>
      <vt:lpstr>Rmin_low</vt:lpstr>
      <vt:lpstr>ROUT</vt:lpstr>
      <vt:lpstr>Rsl_int</vt:lpstr>
      <vt:lpstr>RT</vt:lpstr>
      <vt:lpstr>Ruvlo_bottom_calc</vt:lpstr>
      <vt:lpstr>Ruvlo_top</vt:lpstr>
      <vt:lpstr>Ruvlo_top_calc</vt:lpstr>
      <vt:lpstr>SCH_1</vt:lpstr>
      <vt:lpstr>SCH_2</vt:lpstr>
      <vt:lpstr>SCH_3</vt:lpstr>
      <vt:lpstr>Se_VINmin</vt:lpstr>
      <vt:lpstr>Sn_VINmin</vt:lpstr>
      <vt:lpstr>t_dead</vt:lpstr>
      <vt:lpstr>tf_sw</vt:lpstr>
      <vt:lpstr>tr_sw</vt:lpstr>
      <vt:lpstr>tss</vt:lpstr>
      <vt:lpstr>UV_fall</vt:lpstr>
      <vt:lpstr>UV_I_hyst</vt:lpstr>
      <vt:lpstr>UV_rise</vt:lpstr>
      <vt:lpstr>Vcc</vt:lpstr>
      <vt:lpstr>Vcl</vt:lpstr>
      <vt:lpstr>Vd_rect</vt:lpstr>
      <vt:lpstr>VIN_33</vt:lpstr>
      <vt:lpstr>VIN_max</vt:lpstr>
      <vt:lpstr>VIN_min</vt:lpstr>
      <vt:lpstr>VIN_nom</vt:lpstr>
      <vt:lpstr>VIN_op_max</vt:lpstr>
      <vt:lpstr>VIN_op_min</vt:lpstr>
      <vt:lpstr>VIN_var</vt:lpstr>
      <vt:lpstr>VOUT</vt:lpstr>
      <vt:lpstr>VOUT_range</vt:lpstr>
      <vt:lpstr>Vout_rip_sel</vt:lpstr>
      <vt:lpstr>Vref</vt:lpstr>
      <vt:lpstr>Vsl</vt:lpstr>
      <vt:lpstr>Vth</vt:lpstr>
      <vt:lpstr>VTRK</vt:lpstr>
      <vt:lpstr>Vuvlo_off</vt:lpstr>
      <vt:lpstr>Vuvlo_on</vt:lpstr>
      <vt:lpstr>wp_lf</vt:lpstr>
      <vt:lpstr>wp_lf_DCM</vt:lpstr>
      <vt:lpstr>wp_lf_VINmin</vt:lpstr>
      <vt:lpstr>wp0_ea</vt:lpstr>
      <vt:lpstr>wp1_ea</vt:lpstr>
      <vt:lpstr>wsl</vt:lpstr>
      <vt:lpstr>wsl_VINmin</vt:lpstr>
      <vt:lpstr>wz_ea</vt:lpstr>
      <vt:lpstr>wz_esr</vt:lpstr>
      <vt:lpstr>wz_esr_VINmin</vt:lpstr>
      <vt:lpstr>wz_rhp</vt:lpstr>
      <vt:lpstr>wz_RHP_VINmin</vt:lpstr>
      <vt:lpstr>wz1_dcm</vt:lpstr>
      <vt:lpstr>wz2_dcm</vt:lpstr>
    </vt:vector>
  </TitlesOfParts>
  <Company>Texas Instruments Incorporated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BMC-BCS</dc:creator>
  <cp:lastModifiedBy>Alex Kharitonov</cp:lastModifiedBy>
  <cp:lastPrinted>2018-08-09T07:13:51Z</cp:lastPrinted>
  <dcterms:created xsi:type="dcterms:W3CDTF">2018-06-26T09:13:29Z</dcterms:created>
  <dcterms:modified xsi:type="dcterms:W3CDTF">2024-07-05T15:47:15Z</dcterms:modified>
</cp:coreProperties>
</file>